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2.xml" ContentType="application/vnd.openxmlformats-officedocument.spreadsheetml.comments+xml"/>
  <Override PartName="/xl/drawings/drawing27.xml" ContentType="application/vnd.openxmlformats-officedocument.drawing+xml"/>
  <Override PartName="/xl/comments3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02_Activos\AR_CENTRO\FEMP_AmpliaciónEstudioEconomicoLicitacion_2026_049\01_Redaccion\"/>
    </mc:Choice>
  </mc:AlternateContent>
  <xr:revisionPtr revIDLastSave="0" documentId="13_ncr:1_{19629CB5-0D41-405F-BB96-6DCFB6E33AF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Presentación" sheetId="65" r:id="rId1"/>
    <sheet name="Caracteristicas Contrato" sheetId="89" r:id="rId2"/>
    <sheet name="PresupuestoBaseLicitación" sheetId="52" r:id="rId3"/>
    <sheet name="CanonAnual" sheetId="53" r:id="rId4"/>
    <sheet name="Trabajos Medición-Suministro" sheetId="54" r:id="rId5"/>
    <sheet name="A. Resumen Costes Personal Año" sheetId="71" r:id="rId6"/>
    <sheet name="A.0_Tablas salariales SC" sheetId="14" r:id="rId7"/>
    <sheet name="A.1. Plantilla_Subrogacion" sheetId="79" r:id="rId8"/>
    <sheet name="A.1.0_TablaAntigüedad_Sub" sheetId="57" r:id="rId9"/>
    <sheet name="A.1_Tabla Costes Subrog_2026" sheetId="72" r:id="rId10"/>
    <sheet name="A.1_Tabla Costes Subrog_2027" sheetId="73" r:id="rId11"/>
    <sheet name="A.1_Tabla Costes Subrog_2028" sheetId="74" r:id="rId12"/>
    <sheet name="A.1_Tabla Costes Subrog_2029" sheetId="75" r:id="rId13"/>
    <sheet name="A.1_Tabla Costes Subrog_2030" sheetId="76" r:id="rId14"/>
    <sheet name="A.1_Tabla Costes Subrog_2031" sheetId="77" r:id="rId15"/>
    <sheet name="A.1_Tabla Costes Subrog_2032" sheetId="78" r:id="rId16"/>
    <sheet name="A.2.Plantilla_NuevaContratacion" sheetId="80" r:id="rId17"/>
    <sheet name="A.2.0_TablaAntigüedad_NVContr" sheetId="82" r:id="rId18"/>
    <sheet name="A.2_Tabla Costes NuevContr_2026" sheetId="81" r:id="rId19"/>
    <sheet name="A.2_Tabla Costes NuevContr_2027" sheetId="83" r:id="rId20"/>
    <sheet name="A.2_Tabla Costes NuevContr_2028" sheetId="84" r:id="rId21"/>
    <sheet name="A.2_Tabla Costes NuevContr_2029" sheetId="85" r:id="rId22"/>
    <sheet name="A.2_Tabla Costes NuevContr_2030" sheetId="86" r:id="rId23"/>
    <sheet name="A.2_Tabla Costes NuevContr_3031" sheetId="87" r:id="rId24"/>
    <sheet name="A.2_Tabla Costes NuevContr_3032" sheetId="88" r:id="rId25"/>
    <sheet name="estudio coste RRHH" sheetId="44" state="hidden" r:id="rId26"/>
    <sheet name="B. Resumen Costes Veh_Maq" sheetId="59" r:id="rId27"/>
    <sheet name="B.0.ConsumiblesMaquinaria" sheetId="47" r:id="rId28"/>
    <sheet name="B.1.Vehículos" sheetId="45" r:id="rId29"/>
    <sheet name="B.2.Maquinaria" sheetId="46" r:id="rId30"/>
    <sheet name="C. Resumen Costes Vest_Util_Her" sheetId="60" r:id="rId31"/>
    <sheet name="C.1.1.Vestuario_Equip" sheetId="35" r:id="rId32"/>
    <sheet name="C.1.2.PRL" sheetId="34" r:id="rId33"/>
    <sheet name="C.2. Herramientas" sheetId="49" r:id="rId34"/>
    <sheet name="D. Resumen Costes Locales e ins" sheetId="61" r:id="rId35"/>
    <sheet name="D.1_2_Locales_Inst" sheetId="62" r:id="rId36"/>
    <sheet name="E. Resumen Costes Materiales " sheetId="63" r:id="rId37"/>
    <sheet name="E.1. Mat_Primas" sheetId="48" r:id="rId38"/>
    <sheet name="E.2. Productos Fitosanitarios" sheetId="50" r:id="rId39"/>
    <sheet name="F. Resumen Otros Costes" sheetId="67" r:id="rId40"/>
    <sheet name="F.1. Eq_Tecno_Soft" sheetId="51" r:id="rId41"/>
    <sheet name="F.2 Inventario" sheetId="68" r:id="rId42"/>
    <sheet name="F.3 ServiciosProfesionales" sheetId="70" r:id="rId43"/>
    <sheet name="F.4 Otros Costes" sheetId="69" r:id="rId44"/>
  </sheets>
  <externalReferences>
    <externalReference r:id="rId45"/>
    <externalReference r:id="rId46"/>
  </externalReferences>
  <definedNames>
    <definedName name="aa" localSheetId="26">#REF!</definedName>
    <definedName name="aa" localSheetId="30">#REF!</definedName>
    <definedName name="aa" localSheetId="34">#REF!</definedName>
    <definedName name="aa" localSheetId="35">#REF!</definedName>
    <definedName name="aa" localSheetId="36">#REF!</definedName>
    <definedName name="aa" localSheetId="39">#REF!</definedName>
    <definedName name="aa" localSheetId="41">#REF!</definedName>
    <definedName name="aa" localSheetId="42">#REF!</definedName>
    <definedName name="aa" localSheetId="43">#REF!</definedName>
    <definedName name="aa">#REF!</definedName>
    <definedName name="aaa" localSheetId="35">#REF!</definedName>
    <definedName name="aaa" localSheetId="36">#REF!</definedName>
    <definedName name="aaa" localSheetId="39">#REF!</definedName>
    <definedName name="aaa" localSheetId="41">#REF!</definedName>
    <definedName name="aaa" localSheetId="42">#REF!</definedName>
    <definedName name="aaa" localSheetId="43">#REF!</definedName>
    <definedName name="aaa">#REF!</definedName>
    <definedName name="ADMINISTRATIVO" localSheetId="31">[1]TABLAS!$A$14:$A$19</definedName>
    <definedName name="ADMINISTRATIVO" localSheetId="32">[1]TABLAS!$A$14:$A$19</definedName>
    <definedName name="ADMINISTRATIVO">[2]TABLAS!$A$14:$A$19</definedName>
    <definedName name="_xlnm.Print_Area" localSheetId="5">'A. Resumen Costes Personal Año'!$B$1:$U$19</definedName>
    <definedName name="_xlnm.Print_Area" localSheetId="6">'A.0_Tablas salariales SC'!$A$1:$M$168</definedName>
    <definedName name="_xlnm.Print_Area" localSheetId="7">'A.1. Plantilla_Subrogacion'!$A$1:$J$178</definedName>
    <definedName name="_xlnm.Print_Area" localSheetId="8">'A.1.0_TablaAntigüedad_Sub'!$B$1:$E$183</definedName>
    <definedName name="_xlnm.Print_Area" localSheetId="9">'A.1_Tabla Costes Subrog_2026'!$A$1:$T$183</definedName>
    <definedName name="_xlnm.Print_Area" localSheetId="10">'A.1_Tabla Costes Subrog_2027'!$A$1:$T$183</definedName>
    <definedName name="_xlnm.Print_Area" localSheetId="11">'A.1_Tabla Costes Subrog_2028'!$A$1:$T$183</definedName>
    <definedName name="_xlnm.Print_Area" localSheetId="12">'A.1_Tabla Costes Subrog_2029'!$A$1:$T$183</definedName>
    <definedName name="_xlnm.Print_Area" localSheetId="13">'A.1_Tabla Costes Subrog_2030'!$A$1:$T$183</definedName>
    <definedName name="_xlnm.Print_Area" localSheetId="14">'A.1_Tabla Costes Subrog_2031'!$A$1:$T$183</definedName>
    <definedName name="_xlnm.Print_Area" localSheetId="15">'A.1_Tabla Costes Subrog_2032'!$A$1:$T$183</definedName>
    <definedName name="_xlnm.Print_Area" localSheetId="17">'A.2.0_TablaAntigüedad_NVContr'!$B$1:$E$35</definedName>
    <definedName name="_xlnm.Print_Area" localSheetId="16">'A.2.Plantilla_NuevaContratacion'!$A$1:$J$31</definedName>
    <definedName name="_xlnm.Print_Area" localSheetId="18">'A.2_Tabla Costes NuevContr_2026'!$A$1:$T$34</definedName>
    <definedName name="_xlnm.Print_Area" localSheetId="19">'A.2_Tabla Costes NuevContr_2027'!$A$1:$T$34</definedName>
    <definedName name="_xlnm.Print_Area" localSheetId="20">'A.2_Tabla Costes NuevContr_2028'!$A$1:$T$34</definedName>
    <definedName name="_xlnm.Print_Area" localSheetId="21">'A.2_Tabla Costes NuevContr_2029'!$A$1:$T$34</definedName>
    <definedName name="_xlnm.Print_Area" localSheetId="22">'A.2_Tabla Costes NuevContr_2030'!$A$1:$T$34</definedName>
    <definedName name="_xlnm.Print_Area" localSheetId="23">'A.2_Tabla Costes NuevContr_3031'!$A$1:$T$34</definedName>
    <definedName name="_xlnm.Print_Area" localSheetId="24">'A.2_Tabla Costes NuevContr_3032'!$A$1:$T$34</definedName>
    <definedName name="_xlnm.Print_Area" localSheetId="26">'B. Resumen Costes Veh_Maq'!$B$1:$X$23</definedName>
    <definedName name="_xlnm.Print_Area" localSheetId="27">'B.0.ConsumiblesMaquinaria'!$A$1:$F$56</definedName>
    <definedName name="_xlnm.Print_Area" localSheetId="28">'B.1.Vehículos'!$A$1:$AO$55</definedName>
    <definedName name="_xlnm.Print_Area" localSheetId="29">'B.2.Maquinaria'!$A$1:$AO$102</definedName>
    <definedName name="_xlnm.Print_Area" localSheetId="30">'C. Resumen Costes Vest_Util_Her'!$B$1:$Q$12</definedName>
    <definedName name="_xlnm.Print_Area" localSheetId="31">'C.1.1.Vestuario_Equip'!$A$1:$G$14</definedName>
    <definedName name="_xlnm.Print_Area" localSheetId="32">'C.1.2.PRL'!$C$1:$I$35</definedName>
    <definedName name="_xlnm.Print_Area" localSheetId="33">'C.2. Herramientas'!$C$1:$I$90</definedName>
    <definedName name="_xlnm.Print_Area" localSheetId="3">CanonAnual!$B$1:$X$30</definedName>
    <definedName name="_xlnm.Print_Area" localSheetId="34">'D. Resumen Costes Locales e ins'!$B$1:$Q$10</definedName>
    <definedName name="_xlnm.Print_Area" localSheetId="35">D.1_2_Locales_Inst!$A$1:$H$25</definedName>
    <definedName name="_xlnm.Print_Area" localSheetId="36">'E. Resumen Costes Materiales '!$B$1:$Q$7</definedName>
    <definedName name="_xlnm.Print_Area" localSheetId="37">'E.1. Mat_Primas'!$A$1:$K$21</definedName>
    <definedName name="_xlnm.Print_Area" localSheetId="38">'E.2. Productos Fitosanitarios'!$A$1:$E$17</definedName>
    <definedName name="_xlnm.Print_Area" localSheetId="39">'F. Resumen Otros Costes'!$B$1:$O$12</definedName>
    <definedName name="_xlnm.Print_Area" localSheetId="40">'F.1. Eq_Tecno_Soft'!$C$1:$I$19</definedName>
    <definedName name="_xlnm.Print_Area" localSheetId="41">'F.2 Inventario'!$A$1:$F$27</definedName>
    <definedName name="_xlnm.Print_Area" localSheetId="42">'F.3 ServiciosProfesionales'!$A$1:$F$127</definedName>
    <definedName name="_xlnm.Print_Area" localSheetId="43">'F.4 Otros Costes'!$B$1:$H$16</definedName>
    <definedName name="_xlnm.Print_Area" localSheetId="2">PresupuestoBaseLicitación!$B$1:$T$37</definedName>
    <definedName name="_xlnm.Print_Area" localSheetId="4">'Trabajos Medición-Suministro'!$B$1:$Z$50</definedName>
    <definedName name="Capítulos" localSheetId="8">#REF!</definedName>
    <definedName name="Capítulos" localSheetId="17">#REF!</definedName>
    <definedName name="Capítulos" localSheetId="26">#REF!</definedName>
    <definedName name="Capítulos" localSheetId="30">#REF!</definedName>
    <definedName name="Capítulos" localSheetId="34">#REF!</definedName>
    <definedName name="Capítulos" localSheetId="35">#REF!</definedName>
    <definedName name="Capítulos" localSheetId="36">#REF!</definedName>
    <definedName name="Capítulos" localSheetId="39">#REF!</definedName>
    <definedName name="Capítulos" localSheetId="41">#REF!</definedName>
    <definedName name="Capítulos" localSheetId="42">#REF!</definedName>
    <definedName name="Capítulos" localSheetId="43">#REF!</definedName>
    <definedName name="Capítulos">#REF!</definedName>
    <definedName name="cc">#REF!</definedName>
    <definedName name="MAQID" localSheetId="8">#REF!</definedName>
    <definedName name="MAQID" localSheetId="17">#REF!</definedName>
    <definedName name="MAQID" localSheetId="26">#REF!</definedName>
    <definedName name="MAQID" localSheetId="30">#REF!</definedName>
    <definedName name="MAQID" localSheetId="34">#REF!</definedName>
    <definedName name="MAQID" localSheetId="35">#REF!</definedName>
    <definedName name="MAQID" localSheetId="36">#REF!</definedName>
    <definedName name="MAQID" localSheetId="39">#REF!</definedName>
    <definedName name="MAQID" localSheetId="41">#REF!</definedName>
    <definedName name="MAQID" localSheetId="42">#REF!</definedName>
    <definedName name="MAQID" localSheetId="43">#REF!</definedName>
    <definedName name="MAQID">#REF!</definedName>
    <definedName name="Med_armaduras" localSheetId="8">#REF!</definedName>
    <definedName name="Med_armaduras" localSheetId="17">#REF!</definedName>
    <definedName name="Med_armaduras" localSheetId="26">#REF!</definedName>
    <definedName name="Med_armaduras" localSheetId="30">#REF!</definedName>
    <definedName name="Med_armaduras" localSheetId="34">#REF!</definedName>
    <definedName name="Med_armaduras" localSheetId="35">#REF!</definedName>
    <definedName name="Med_armaduras" localSheetId="36">#REF!</definedName>
    <definedName name="Med_armaduras" localSheetId="39">#REF!</definedName>
    <definedName name="Med_armaduras" localSheetId="41">#REF!</definedName>
    <definedName name="Med_armaduras" localSheetId="42">#REF!</definedName>
    <definedName name="Med_armaduras" localSheetId="43">#REF!</definedName>
    <definedName name="Med_armaduras">#REF!</definedName>
    <definedName name="Med_tierras" localSheetId="8">#REF!</definedName>
    <definedName name="Med_tierras" localSheetId="17">#REF!</definedName>
    <definedName name="Med_tierras" localSheetId="26">#REF!</definedName>
    <definedName name="Med_tierras" localSheetId="30">#REF!</definedName>
    <definedName name="Med_tierras" localSheetId="34">#REF!</definedName>
    <definedName name="Med_tierras" localSheetId="35">#REF!</definedName>
    <definedName name="Med_tierras" localSheetId="36">#REF!</definedName>
    <definedName name="Med_tierras" localSheetId="39">#REF!</definedName>
    <definedName name="Med_tierras" localSheetId="41">#REF!</definedName>
    <definedName name="Med_tierras" localSheetId="42">#REF!</definedName>
    <definedName name="Med_tierras" localSheetId="43">#REF!</definedName>
    <definedName name="Med_tierras">#REF!</definedName>
    <definedName name="Presupuesto" localSheetId="8">#REF!</definedName>
    <definedName name="Presupuesto" localSheetId="17">#REF!</definedName>
    <definedName name="Presupuesto" localSheetId="26">#REF!</definedName>
    <definedName name="Presupuesto" localSheetId="30">#REF!</definedName>
    <definedName name="Presupuesto" localSheetId="34">#REF!</definedName>
    <definedName name="Presupuesto" localSheetId="35">#REF!</definedName>
    <definedName name="Presupuesto" localSheetId="36">#REF!</definedName>
    <definedName name="Presupuesto" localSheetId="39">#REF!</definedName>
    <definedName name="Presupuesto" localSheetId="41">#REF!</definedName>
    <definedName name="Presupuesto" localSheetId="42">#REF!</definedName>
    <definedName name="Presupuesto" localSheetId="43">#REF!</definedName>
    <definedName name="Presupuesto">#REF!</definedName>
    <definedName name="TECNICO" localSheetId="31">[1]TABLAS!$A$7:$A$11</definedName>
    <definedName name="TECNICO" localSheetId="32">[1]TABLAS!$A$7:$A$11</definedName>
    <definedName name="TECNICO">[2]TABLAS!$A$7:$A$11</definedName>
    <definedName name="_xlnm.Print_Titles" localSheetId="7">'A.1. Plantilla_Subrogacion'!$3:$4</definedName>
    <definedName name="_xlnm.Print_Titles" localSheetId="9">'A.1_Tabla Costes Subrog_2026'!$3:$4</definedName>
    <definedName name="_xlnm.Print_Titles" localSheetId="10">'A.1_Tabla Costes Subrog_2027'!$3:$4</definedName>
    <definedName name="_xlnm.Print_Titles" localSheetId="11">'A.1_Tabla Costes Subrog_2028'!$3:$4</definedName>
    <definedName name="_xlnm.Print_Titles" localSheetId="12">'A.1_Tabla Costes Subrog_2029'!$3:$4</definedName>
    <definedName name="_xlnm.Print_Titles" localSheetId="13">'A.1_Tabla Costes Subrog_2030'!$3:$4</definedName>
    <definedName name="_xlnm.Print_Titles" localSheetId="14">'A.1_Tabla Costes Subrog_2031'!$3:$4</definedName>
    <definedName name="_xlnm.Print_Titles" localSheetId="15">'A.1_Tabla Costes Subrog_2032'!$3:$4</definedName>
    <definedName name="_xlnm.Print_Titles" localSheetId="16">'A.2.Plantilla_NuevaContratacion'!$3:$4</definedName>
    <definedName name="_xlnm.Print_Titles" localSheetId="18">'A.2_Tabla Costes NuevContr_2026'!$3:$4</definedName>
    <definedName name="_xlnm.Print_Titles" localSheetId="19">'A.2_Tabla Costes NuevContr_2027'!$3:$4</definedName>
    <definedName name="_xlnm.Print_Titles" localSheetId="20">'A.2_Tabla Costes NuevContr_2028'!$3:$4</definedName>
    <definedName name="_xlnm.Print_Titles" localSheetId="21">'A.2_Tabla Costes NuevContr_2029'!$3:$4</definedName>
    <definedName name="_xlnm.Print_Titles" localSheetId="22">'A.2_Tabla Costes NuevContr_2030'!$3:$4</definedName>
    <definedName name="_xlnm.Print_Titles" localSheetId="23">'A.2_Tabla Costes NuevContr_3031'!$3:$4</definedName>
    <definedName name="_xlnm.Print_Titles" localSheetId="24">'A.2_Tabla Costes NuevContr_3032'!$3:$4</definedName>
    <definedName name="_xlnm.Print_Titles" localSheetId="28">'B.1.Vehículos'!$A:$D,'B.1.Vehículos'!$2:$5</definedName>
    <definedName name="_xlnm.Print_Titles" localSheetId="29">'B.2.Maquinaria'!$A:$AL,'B.2.Maquinaria'!$2:$5</definedName>
    <definedName name="_xlnm.Print_Titles" localSheetId="33">'C.2. Herramientas'!$2:$2</definedName>
    <definedName name="_xlnm.Print_Titles" localSheetId="42">'F.3 ServiciosProfesionales'!$2:$2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" i="52" l="1"/>
  <c r="S17" i="52"/>
  <c r="R17" i="52"/>
  <c r="Q17" i="52"/>
  <c r="P17" i="52"/>
  <c r="O17" i="52"/>
  <c r="N17" i="52"/>
  <c r="H3" i="51"/>
  <c r="G19" i="62"/>
  <c r="I8" i="51"/>
  <c r="I7" i="51"/>
  <c r="I6" i="51"/>
  <c r="I4" i="51"/>
  <c r="H18" i="51"/>
  <c r="I18" i="51" s="1"/>
  <c r="H17" i="51"/>
  <c r="I17" i="51" s="1"/>
  <c r="H16" i="51"/>
  <c r="I16" i="51" s="1"/>
  <c r="H15" i="51"/>
  <c r="I15" i="51" s="1"/>
  <c r="H14" i="51"/>
  <c r="I14" i="51" s="1"/>
  <c r="H13" i="51"/>
  <c r="I13" i="51" s="1"/>
  <c r="H11" i="51"/>
  <c r="I11" i="51" s="1"/>
  <c r="H10" i="51"/>
  <c r="I10" i="51" s="1"/>
  <c r="H8" i="51"/>
  <c r="H7" i="51"/>
  <c r="H6" i="51"/>
  <c r="H4" i="51"/>
  <c r="F20" i="62"/>
  <c r="F21" i="62"/>
  <c r="F19" i="62"/>
  <c r="H89" i="49"/>
  <c r="H88" i="49"/>
  <c r="H87" i="49"/>
  <c r="H86" i="49"/>
  <c r="H85" i="49"/>
  <c r="H84" i="49"/>
  <c r="H83" i="49"/>
  <c r="H82" i="49"/>
  <c r="H81" i="49"/>
  <c r="H80" i="49"/>
  <c r="H79" i="49"/>
  <c r="H78" i="49"/>
  <c r="H77" i="49"/>
  <c r="H76" i="49"/>
  <c r="H75" i="49"/>
  <c r="H74" i="49"/>
  <c r="H73" i="49"/>
  <c r="H72" i="49"/>
  <c r="H71" i="49"/>
  <c r="H70" i="49"/>
  <c r="H69" i="49"/>
  <c r="H68" i="49"/>
  <c r="H67" i="49"/>
  <c r="H66" i="49"/>
  <c r="H65" i="49"/>
  <c r="H64" i="49"/>
  <c r="H63" i="49"/>
  <c r="H62" i="49"/>
  <c r="H60" i="49"/>
  <c r="H59" i="49"/>
  <c r="H58" i="49"/>
  <c r="H57" i="49"/>
  <c r="H56" i="49"/>
  <c r="H55" i="49"/>
  <c r="H54" i="49"/>
  <c r="H53" i="49"/>
  <c r="H52" i="49"/>
  <c r="H51" i="49"/>
  <c r="H49" i="49"/>
  <c r="H48" i="49"/>
  <c r="H47" i="49"/>
  <c r="H46" i="49"/>
  <c r="H45" i="49"/>
  <c r="H44" i="49"/>
  <c r="H43" i="49"/>
  <c r="H42" i="49"/>
  <c r="H40" i="49"/>
  <c r="H39" i="49"/>
  <c r="H38" i="49"/>
  <c r="H37" i="49"/>
  <c r="H36" i="49"/>
  <c r="H35" i="49"/>
  <c r="H34" i="49"/>
  <c r="H33" i="49"/>
  <c r="H32" i="49"/>
  <c r="H31" i="49"/>
  <c r="H29" i="49"/>
  <c r="H28" i="49"/>
  <c r="H27" i="49"/>
  <c r="H26" i="49"/>
  <c r="H24" i="49"/>
  <c r="H23" i="49"/>
  <c r="H22" i="49"/>
  <c r="H21" i="49"/>
  <c r="H20" i="49"/>
  <c r="H19" i="49"/>
  <c r="H18" i="49"/>
  <c r="H17" i="49"/>
  <c r="H16" i="49"/>
  <c r="H15" i="49"/>
  <c r="H14" i="49"/>
  <c r="H13" i="49"/>
  <c r="H12" i="49"/>
  <c r="H11" i="49"/>
  <c r="H10" i="49"/>
  <c r="H9" i="49"/>
  <c r="H8" i="49"/>
  <c r="H7" i="49"/>
  <c r="H6" i="49"/>
  <c r="H5" i="49"/>
  <c r="C4" i="49"/>
  <c r="H4" i="49" s="1"/>
  <c r="H33" i="34"/>
  <c r="H32" i="34"/>
  <c r="H31" i="34"/>
  <c r="H30" i="34"/>
  <c r="H29" i="34"/>
  <c r="H28" i="34"/>
  <c r="H27" i="34"/>
  <c r="H26" i="34"/>
  <c r="H25" i="34"/>
  <c r="H24" i="34"/>
  <c r="H22" i="34"/>
  <c r="H21" i="34"/>
  <c r="H20" i="34"/>
  <c r="H19" i="34"/>
  <c r="H17" i="34"/>
  <c r="H16" i="34"/>
  <c r="H15" i="34"/>
  <c r="H13" i="34"/>
  <c r="H12" i="34"/>
  <c r="H11" i="34"/>
  <c r="H10" i="34"/>
  <c r="H9" i="34"/>
  <c r="H8" i="34"/>
  <c r="H7" i="34"/>
  <c r="H6" i="34"/>
  <c r="H5" i="34"/>
  <c r="H4" i="34"/>
  <c r="A4" i="35"/>
  <c r="F13" i="35"/>
  <c r="F12" i="35"/>
  <c r="F11" i="35"/>
  <c r="F10" i="35"/>
  <c r="F9" i="35"/>
  <c r="F7" i="35"/>
  <c r="F6" i="35"/>
  <c r="F5" i="35"/>
  <c r="E4" i="35"/>
  <c r="F4" i="35" s="1"/>
  <c r="Q98" i="46"/>
  <c r="Q97" i="46"/>
  <c r="Q96" i="46"/>
  <c r="Q95" i="46"/>
  <c r="Q94" i="46"/>
  <c r="Q93" i="46"/>
  <c r="Q92" i="46"/>
  <c r="Q91" i="46"/>
  <c r="Q90" i="46"/>
  <c r="Q89" i="46"/>
  <c r="Q88" i="46"/>
  <c r="Q87" i="46"/>
  <c r="Q86" i="46"/>
  <c r="Q85" i="46"/>
  <c r="Q84" i="46"/>
  <c r="Q83" i="46"/>
  <c r="Q82" i="46"/>
  <c r="Q81" i="46"/>
  <c r="Q80" i="46"/>
  <c r="Q78" i="46"/>
  <c r="Q77" i="46"/>
  <c r="Q76" i="46"/>
  <c r="Q75" i="46"/>
  <c r="Q74" i="46"/>
  <c r="Q73" i="46"/>
  <c r="Q72" i="46"/>
  <c r="Q71" i="46"/>
  <c r="Q70" i="46"/>
  <c r="Q69" i="46"/>
  <c r="Q68" i="46"/>
  <c r="Q67" i="46"/>
  <c r="Q66" i="46"/>
  <c r="Q64" i="46"/>
  <c r="Q63" i="46"/>
  <c r="Q62" i="46"/>
  <c r="Q60" i="46"/>
  <c r="Q59" i="46"/>
  <c r="Q58" i="46"/>
  <c r="Q57" i="46"/>
  <c r="Q56" i="46"/>
  <c r="Q54" i="46"/>
  <c r="Q53" i="46"/>
  <c r="Q52" i="46"/>
  <c r="Q51" i="46"/>
  <c r="Q50" i="46"/>
  <c r="Q49" i="46"/>
  <c r="Q47" i="46"/>
  <c r="Q46" i="46"/>
  <c r="Q45" i="46"/>
  <c r="Q44" i="46"/>
  <c r="Q43" i="46"/>
  <c r="Q42" i="46"/>
  <c r="Q41" i="46"/>
  <c r="Q40" i="46"/>
  <c r="Q39" i="46"/>
  <c r="Q38" i="46"/>
  <c r="Q37" i="46"/>
  <c r="Q36" i="46"/>
  <c r="Q35" i="46"/>
  <c r="Q34" i="46"/>
  <c r="Q33" i="46"/>
  <c r="Q32" i="46"/>
  <c r="Q30" i="46"/>
  <c r="Q29" i="46"/>
  <c r="Q28" i="46"/>
  <c r="Q27" i="46"/>
  <c r="Q25" i="46"/>
  <c r="Q24" i="46"/>
  <c r="Q23" i="46"/>
  <c r="Q22" i="46"/>
  <c r="Q21" i="46"/>
  <c r="Q20" i="46"/>
  <c r="Q19" i="46"/>
  <c r="Q18" i="46"/>
  <c r="Q17" i="46"/>
  <c r="Q16" i="46"/>
  <c r="Q15" i="46"/>
  <c r="Q14" i="46"/>
  <c r="Q13" i="46"/>
  <c r="Q12" i="46"/>
  <c r="Q11" i="46"/>
  <c r="Q10" i="46"/>
  <c r="Q9" i="46"/>
  <c r="Q8" i="46"/>
  <c r="Q46" i="45"/>
  <c r="Q45" i="45"/>
  <c r="Q44" i="45"/>
  <c r="Q43" i="45"/>
  <c r="Q42" i="45"/>
  <c r="Q41" i="45"/>
  <c r="Q40" i="45"/>
  <c r="Q39" i="45"/>
  <c r="Q38" i="45"/>
  <c r="Q37" i="45"/>
  <c r="Q35" i="45"/>
  <c r="Q34" i="45"/>
  <c r="Q33" i="45"/>
  <c r="Q32" i="45"/>
  <c r="Q31" i="45"/>
  <c r="Q30" i="45"/>
  <c r="Q29" i="45"/>
  <c r="Q27" i="45"/>
  <c r="Q26" i="45"/>
  <c r="Q24" i="45"/>
  <c r="Q23" i="45"/>
  <c r="Q22" i="45"/>
  <c r="Q21" i="45"/>
  <c r="Q20" i="45"/>
  <c r="Q19" i="45"/>
  <c r="Q18" i="45"/>
  <c r="Q16" i="45"/>
  <c r="Q15" i="45"/>
  <c r="Q14" i="45"/>
  <c r="Q13" i="45"/>
  <c r="Q12" i="45"/>
  <c r="Q11" i="45"/>
  <c r="Q10" i="45"/>
  <c r="Q9" i="45"/>
  <c r="Q8" i="45"/>
  <c r="R7" i="45"/>
  <c r="T14" i="52" l="1"/>
  <c r="S14" i="52"/>
  <c r="Q14" i="52"/>
  <c r="P14" i="52"/>
  <c r="O14" i="52"/>
  <c r="Y25" i="82"/>
  <c r="Y26" i="82"/>
  <c r="Y27" i="82"/>
  <c r="Y28" i="82"/>
  <c r="Y24" i="82"/>
  <c r="Y19" i="82"/>
  <c r="Y20" i="82"/>
  <c r="Y21" i="82"/>
  <c r="Y22" i="82"/>
  <c r="Y18" i="82"/>
  <c r="I30" i="84"/>
  <c r="I29" i="84"/>
  <c r="I27" i="84"/>
  <c r="I26" i="84"/>
  <c r="I25" i="84"/>
  <c r="I24" i="84"/>
  <c r="I23" i="84"/>
  <c r="I21" i="84"/>
  <c r="I20" i="84"/>
  <c r="I19" i="84"/>
  <c r="I18" i="84"/>
  <c r="I17" i="84"/>
  <c r="I15" i="84"/>
  <c r="I14" i="84"/>
  <c r="I12" i="84"/>
  <c r="I11" i="84"/>
  <c r="I9" i="84"/>
  <c r="I7" i="84"/>
  <c r="I5" i="84"/>
  <c r="H30" i="80"/>
  <c r="H29" i="80"/>
  <c r="H27" i="80"/>
  <c r="H26" i="80"/>
  <c r="H25" i="80"/>
  <c r="H24" i="80"/>
  <c r="H23" i="80"/>
  <c r="H21" i="80"/>
  <c r="H20" i="80"/>
  <c r="H19" i="80"/>
  <c r="H18" i="80"/>
  <c r="H17" i="80"/>
  <c r="H15" i="80"/>
  <c r="H14" i="80"/>
  <c r="H12" i="80"/>
  <c r="H11" i="80"/>
  <c r="H9" i="80"/>
  <c r="H7" i="80"/>
  <c r="H5" i="80"/>
  <c r="U11" i="53"/>
  <c r="T11" i="53"/>
  <c r="S11" i="53"/>
  <c r="R11" i="53"/>
  <c r="Q11" i="53"/>
  <c r="P11" i="53"/>
  <c r="M179" i="78"/>
  <c r="N179" i="78" s="1"/>
  <c r="M178" i="78"/>
  <c r="N178" i="78" s="1"/>
  <c r="M176" i="78"/>
  <c r="N176" i="78" s="1"/>
  <c r="M175" i="78"/>
  <c r="N175" i="78" s="1"/>
  <c r="M174" i="78"/>
  <c r="N174" i="78" s="1"/>
  <c r="M172" i="78"/>
  <c r="N172" i="78" s="1"/>
  <c r="M171" i="78"/>
  <c r="N171" i="78" s="1"/>
  <c r="M170" i="78"/>
  <c r="N170" i="78" s="1"/>
  <c r="M169" i="78"/>
  <c r="N169" i="78" s="1"/>
  <c r="M168" i="78"/>
  <c r="N168" i="78" s="1"/>
  <c r="M167" i="78"/>
  <c r="N167" i="78" s="1"/>
  <c r="M166" i="78"/>
  <c r="N166" i="78" s="1"/>
  <c r="M165" i="78"/>
  <c r="N165" i="78" s="1"/>
  <c r="M164" i="78"/>
  <c r="N164" i="78" s="1"/>
  <c r="M162" i="78"/>
  <c r="N162" i="78" s="1"/>
  <c r="M161" i="78"/>
  <c r="N161" i="78" s="1"/>
  <c r="M160" i="78"/>
  <c r="N160" i="78" s="1"/>
  <c r="M159" i="78"/>
  <c r="N159" i="78" s="1"/>
  <c r="M158" i="78"/>
  <c r="N158" i="78" s="1"/>
  <c r="M157" i="78"/>
  <c r="N157" i="78" s="1"/>
  <c r="M156" i="78"/>
  <c r="N156" i="78" s="1"/>
  <c r="M155" i="78"/>
  <c r="N155" i="78" s="1"/>
  <c r="M154" i="78"/>
  <c r="N154" i="78" s="1"/>
  <c r="M153" i="78"/>
  <c r="N153" i="78" s="1"/>
  <c r="M151" i="78"/>
  <c r="N151" i="78" s="1"/>
  <c r="M150" i="78"/>
  <c r="N150" i="78" s="1"/>
  <c r="M149" i="78"/>
  <c r="N149" i="78" s="1"/>
  <c r="M148" i="78"/>
  <c r="N148" i="78" s="1"/>
  <c r="M147" i="78"/>
  <c r="N147" i="78" s="1"/>
  <c r="M146" i="78"/>
  <c r="N146" i="78" s="1"/>
  <c r="M145" i="78"/>
  <c r="N145" i="78" s="1"/>
  <c r="M144" i="78"/>
  <c r="N144" i="78" s="1"/>
  <c r="M143" i="78"/>
  <c r="N143" i="78" s="1"/>
  <c r="M142" i="78"/>
  <c r="N142" i="78" s="1"/>
  <c r="M141" i="78"/>
  <c r="N141" i="78" s="1"/>
  <c r="M140" i="78"/>
  <c r="N140" i="78" s="1"/>
  <c r="M138" i="78"/>
  <c r="N138" i="78" s="1"/>
  <c r="M137" i="78"/>
  <c r="N137" i="78" s="1"/>
  <c r="M136" i="78"/>
  <c r="N136" i="78" s="1"/>
  <c r="M135" i="78"/>
  <c r="N135" i="78" s="1"/>
  <c r="M134" i="78"/>
  <c r="N134" i="78" s="1"/>
  <c r="M133" i="78"/>
  <c r="N133" i="78" s="1"/>
  <c r="M132" i="78"/>
  <c r="N132" i="78" s="1"/>
  <c r="M131" i="78"/>
  <c r="N131" i="78" s="1"/>
  <c r="M130" i="78"/>
  <c r="N130" i="78" s="1"/>
  <c r="M129" i="78"/>
  <c r="N129" i="78" s="1"/>
  <c r="M128" i="78"/>
  <c r="N128" i="78" s="1"/>
  <c r="M127" i="78"/>
  <c r="N127" i="78" s="1"/>
  <c r="M126" i="78"/>
  <c r="N126" i="78" s="1"/>
  <c r="M125" i="78"/>
  <c r="N125" i="78" s="1"/>
  <c r="M124" i="78"/>
  <c r="N124" i="78" s="1"/>
  <c r="M123" i="78"/>
  <c r="N123" i="78" s="1"/>
  <c r="M122" i="78"/>
  <c r="N122" i="78" s="1"/>
  <c r="M121" i="78"/>
  <c r="N121" i="78" s="1"/>
  <c r="M120" i="78"/>
  <c r="N120" i="78" s="1"/>
  <c r="M119" i="78"/>
  <c r="N119" i="78" s="1"/>
  <c r="M118" i="78"/>
  <c r="N118" i="78" s="1"/>
  <c r="M117" i="78"/>
  <c r="N117" i="78" s="1"/>
  <c r="M116" i="78"/>
  <c r="N116" i="78" s="1"/>
  <c r="M115" i="78"/>
  <c r="N115" i="78" s="1"/>
  <c r="M113" i="78"/>
  <c r="N113" i="78" s="1"/>
  <c r="M112" i="78"/>
  <c r="N112" i="78" s="1"/>
  <c r="M111" i="78"/>
  <c r="N111" i="78" s="1"/>
  <c r="M110" i="78"/>
  <c r="N110" i="78" s="1"/>
  <c r="M109" i="78"/>
  <c r="N109" i="78" s="1"/>
  <c r="M108" i="78"/>
  <c r="N108" i="78" s="1"/>
  <c r="M107" i="78"/>
  <c r="N107" i="78" s="1"/>
  <c r="M106" i="78"/>
  <c r="N106" i="78" s="1"/>
  <c r="M105" i="78"/>
  <c r="N105" i="78" s="1"/>
  <c r="M104" i="78"/>
  <c r="N104" i="78" s="1"/>
  <c r="M103" i="78"/>
  <c r="N103" i="78" s="1"/>
  <c r="M102" i="78"/>
  <c r="N102" i="78" s="1"/>
  <c r="M101" i="78"/>
  <c r="N101" i="78" s="1"/>
  <c r="M100" i="78"/>
  <c r="N100" i="78" s="1"/>
  <c r="M99" i="78"/>
  <c r="N99" i="78" s="1"/>
  <c r="M98" i="78"/>
  <c r="N98" i="78" s="1"/>
  <c r="M97" i="78"/>
  <c r="N97" i="78" s="1"/>
  <c r="M96" i="78"/>
  <c r="N96" i="78" s="1"/>
  <c r="M95" i="78"/>
  <c r="N95" i="78" s="1"/>
  <c r="M94" i="78"/>
  <c r="N94" i="78" s="1"/>
  <c r="M93" i="78"/>
  <c r="N93" i="78" s="1"/>
  <c r="M92" i="78"/>
  <c r="N92" i="78" s="1"/>
  <c r="M91" i="78"/>
  <c r="N91" i="78" s="1"/>
  <c r="M90" i="78"/>
  <c r="N90" i="78" s="1"/>
  <c r="M89" i="78"/>
  <c r="N89" i="78" s="1"/>
  <c r="M88" i="78"/>
  <c r="N88" i="78" s="1"/>
  <c r="M87" i="78"/>
  <c r="N87" i="78" s="1"/>
  <c r="M85" i="78"/>
  <c r="N85" i="78" s="1"/>
  <c r="M84" i="78"/>
  <c r="N84" i="78" s="1"/>
  <c r="M83" i="78"/>
  <c r="N83" i="78" s="1"/>
  <c r="M82" i="78"/>
  <c r="N82" i="78" s="1"/>
  <c r="M81" i="78"/>
  <c r="N81" i="78" s="1"/>
  <c r="M80" i="78"/>
  <c r="N80" i="78" s="1"/>
  <c r="M79" i="78"/>
  <c r="N79" i="78" s="1"/>
  <c r="M78" i="78"/>
  <c r="N78" i="78" s="1"/>
  <c r="M77" i="78"/>
  <c r="N77" i="78" s="1"/>
  <c r="M76" i="78"/>
  <c r="N76" i="78" s="1"/>
  <c r="M75" i="78"/>
  <c r="N75" i="78" s="1"/>
  <c r="M74" i="78"/>
  <c r="N74" i="78" s="1"/>
  <c r="M73" i="78"/>
  <c r="N73" i="78" s="1"/>
  <c r="M72" i="78"/>
  <c r="N72" i="78" s="1"/>
  <c r="M71" i="78"/>
  <c r="N71" i="78" s="1"/>
  <c r="M70" i="78"/>
  <c r="N70" i="78" s="1"/>
  <c r="M69" i="78"/>
  <c r="N69" i="78" s="1"/>
  <c r="M68" i="78"/>
  <c r="N68" i="78" s="1"/>
  <c r="M67" i="78"/>
  <c r="N67" i="78" s="1"/>
  <c r="M66" i="78"/>
  <c r="N66" i="78" s="1"/>
  <c r="M65" i="78"/>
  <c r="N65" i="78" s="1"/>
  <c r="M64" i="78"/>
  <c r="N64" i="78" s="1"/>
  <c r="M63" i="78"/>
  <c r="N63" i="78" s="1"/>
  <c r="M62" i="78"/>
  <c r="N62" i="78" s="1"/>
  <c r="M61" i="78"/>
  <c r="N61" i="78" s="1"/>
  <c r="M60" i="78"/>
  <c r="N60" i="78" s="1"/>
  <c r="M59" i="78"/>
  <c r="N59" i="78" s="1"/>
  <c r="M58" i="78"/>
  <c r="N58" i="78" s="1"/>
  <c r="M57" i="78"/>
  <c r="N57" i="78" s="1"/>
  <c r="M56" i="78"/>
  <c r="N56" i="78" s="1"/>
  <c r="M55" i="78"/>
  <c r="N55" i="78" s="1"/>
  <c r="M54" i="78"/>
  <c r="N54" i="78" s="1"/>
  <c r="M53" i="78"/>
  <c r="N53" i="78" s="1"/>
  <c r="M52" i="78"/>
  <c r="N52" i="78" s="1"/>
  <c r="M51" i="78"/>
  <c r="N51" i="78" s="1"/>
  <c r="M50" i="78"/>
  <c r="N50" i="78" s="1"/>
  <c r="M49" i="78"/>
  <c r="N49" i="78" s="1"/>
  <c r="M48" i="78"/>
  <c r="N48" i="78" s="1"/>
  <c r="M47" i="78"/>
  <c r="N47" i="78" s="1"/>
  <c r="M46" i="78"/>
  <c r="N46" i="78" s="1"/>
  <c r="M45" i="78"/>
  <c r="N45" i="78" s="1"/>
  <c r="M44" i="78"/>
  <c r="N44" i="78" s="1"/>
  <c r="M43" i="78"/>
  <c r="N43" i="78" s="1"/>
  <c r="M42" i="78"/>
  <c r="N42" i="78" s="1"/>
  <c r="M41" i="78"/>
  <c r="N41" i="78" s="1"/>
  <c r="M40" i="78"/>
  <c r="N40" i="78" s="1"/>
  <c r="M39" i="78"/>
  <c r="N39" i="78" s="1"/>
  <c r="M38" i="78"/>
  <c r="N38" i="78" s="1"/>
  <c r="M37" i="78"/>
  <c r="N37" i="78" s="1"/>
  <c r="M36" i="78"/>
  <c r="N36" i="78" s="1"/>
  <c r="M35" i="78"/>
  <c r="N35" i="78" s="1"/>
  <c r="M34" i="78"/>
  <c r="N34" i="78" s="1"/>
  <c r="M33" i="78"/>
  <c r="N33" i="78" s="1"/>
  <c r="M32" i="78"/>
  <c r="N32" i="78" s="1"/>
  <c r="M31" i="78"/>
  <c r="N31" i="78" s="1"/>
  <c r="M30" i="78"/>
  <c r="N30" i="78" s="1"/>
  <c r="M29" i="78"/>
  <c r="N29" i="78" s="1"/>
  <c r="N28" i="78"/>
  <c r="M28" i="78"/>
  <c r="M27" i="78"/>
  <c r="N27" i="78" s="1"/>
  <c r="M26" i="78"/>
  <c r="N26" i="78" s="1"/>
  <c r="M25" i="78"/>
  <c r="N25" i="78" s="1"/>
  <c r="M24" i="78"/>
  <c r="N24" i="78" s="1"/>
  <c r="M23" i="78"/>
  <c r="N23" i="78" s="1"/>
  <c r="M22" i="78"/>
  <c r="N22" i="78" s="1"/>
  <c r="M21" i="78"/>
  <c r="N21" i="78" s="1"/>
  <c r="M20" i="78"/>
  <c r="N20" i="78" s="1"/>
  <c r="M19" i="78"/>
  <c r="N19" i="78" s="1"/>
  <c r="M18" i="78"/>
  <c r="N18" i="78" s="1"/>
  <c r="M17" i="78"/>
  <c r="N17" i="78" s="1"/>
  <c r="M16" i="78"/>
  <c r="N16" i="78" s="1"/>
  <c r="M15" i="78"/>
  <c r="N15" i="78" s="1"/>
  <c r="M14" i="78"/>
  <c r="N14" i="78" s="1"/>
  <c r="M12" i="78"/>
  <c r="N12" i="78" s="1"/>
  <c r="M11" i="78"/>
  <c r="N11" i="78" s="1"/>
  <c r="M10" i="78"/>
  <c r="N10" i="78" s="1"/>
  <c r="M9" i="78"/>
  <c r="N9" i="78" s="1"/>
  <c r="M8" i="78"/>
  <c r="N8" i="78" s="1"/>
  <c r="M7" i="78"/>
  <c r="N7" i="78" s="1"/>
  <c r="M6" i="78"/>
  <c r="N6" i="78" s="1"/>
  <c r="M5" i="78"/>
  <c r="N5" i="78" s="1"/>
  <c r="M179" i="77"/>
  <c r="N179" i="77" s="1"/>
  <c r="M178" i="77"/>
  <c r="N178" i="77" s="1"/>
  <c r="M176" i="77"/>
  <c r="N176" i="77" s="1"/>
  <c r="M175" i="77"/>
  <c r="N175" i="77" s="1"/>
  <c r="M174" i="77"/>
  <c r="N174" i="77" s="1"/>
  <c r="M172" i="77"/>
  <c r="N172" i="77" s="1"/>
  <c r="M171" i="77"/>
  <c r="N171" i="77" s="1"/>
  <c r="M170" i="77"/>
  <c r="N170" i="77" s="1"/>
  <c r="M169" i="77"/>
  <c r="N169" i="77" s="1"/>
  <c r="M168" i="77"/>
  <c r="N168" i="77" s="1"/>
  <c r="M167" i="77"/>
  <c r="N167" i="77" s="1"/>
  <c r="M166" i="77"/>
  <c r="N166" i="77" s="1"/>
  <c r="M165" i="77"/>
  <c r="N165" i="77" s="1"/>
  <c r="M164" i="77"/>
  <c r="N164" i="77" s="1"/>
  <c r="M162" i="77"/>
  <c r="N162" i="77" s="1"/>
  <c r="M161" i="77"/>
  <c r="N161" i="77" s="1"/>
  <c r="M160" i="77"/>
  <c r="N160" i="77" s="1"/>
  <c r="M159" i="77"/>
  <c r="N159" i="77" s="1"/>
  <c r="M158" i="77"/>
  <c r="N158" i="77" s="1"/>
  <c r="M157" i="77"/>
  <c r="N157" i="77" s="1"/>
  <c r="M156" i="77"/>
  <c r="N156" i="77" s="1"/>
  <c r="M155" i="77"/>
  <c r="N155" i="77" s="1"/>
  <c r="M154" i="77"/>
  <c r="N154" i="77" s="1"/>
  <c r="M153" i="77"/>
  <c r="N153" i="77" s="1"/>
  <c r="M151" i="77"/>
  <c r="N151" i="77" s="1"/>
  <c r="M150" i="77"/>
  <c r="N150" i="77" s="1"/>
  <c r="M149" i="77"/>
  <c r="N149" i="77" s="1"/>
  <c r="M148" i="77"/>
  <c r="N148" i="77" s="1"/>
  <c r="M147" i="77"/>
  <c r="N147" i="77" s="1"/>
  <c r="M146" i="77"/>
  <c r="N146" i="77" s="1"/>
  <c r="M145" i="77"/>
  <c r="N145" i="77" s="1"/>
  <c r="M144" i="77"/>
  <c r="N144" i="77" s="1"/>
  <c r="M143" i="77"/>
  <c r="N143" i="77" s="1"/>
  <c r="M142" i="77"/>
  <c r="N142" i="77" s="1"/>
  <c r="M141" i="77"/>
  <c r="N141" i="77" s="1"/>
  <c r="M140" i="77"/>
  <c r="N140" i="77" s="1"/>
  <c r="M138" i="77"/>
  <c r="N138" i="77" s="1"/>
  <c r="M137" i="77"/>
  <c r="N137" i="77" s="1"/>
  <c r="M136" i="77"/>
  <c r="N136" i="77" s="1"/>
  <c r="M135" i="77"/>
  <c r="N135" i="77" s="1"/>
  <c r="M134" i="77"/>
  <c r="N134" i="77" s="1"/>
  <c r="M133" i="77"/>
  <c r="N133" i="77" s="1"/>
  <c r="M132" i="77"/>
  <c r="N132" i="77" s="1"/>
  <c r="M131" i="77"/>
  <c r="N131" i="77" s="1"/>
  <c r="M130" i="77"/>
  <c r="N130" i="77" s="1"/>
  <c r="M129" i="77"/>
  <c r="N129" i="77" s="1"/>
  <c r="M128" i="77"/>
  <c r="N128" i="77" s="1"/>
  <c r="M127" i="77"/>
  <c r="N127" i="77" s="1"/>
  <c r="M126" i="77"/>
  <c r="N126" i="77" s="1"/>
  <c r="M125" i="77"/>
  <c r="N125" i="77" s="1"/>
  <c r="M124" i="77"/>
  <c r="N124" i="77" s="1"/>
  <c r="M123" i="77"/>
  <c r="N123" i="77" s="1"/>
  <c r="M122" i="77"/>
  <c r="N122" i="77" s="1"/>
  <c r="M121" i="77"/>
  <c r="N121" i="77" s="1"/>
  <c r="M120" i="77"/>
  <c r="N120" i="77" s="1"/>
  <c r="M119" i="77"/>
  <c r="N119" i="77" s="1"/>
  <c r="M118" i="77"/>
  <c r="N118" i="77" s="1"/>
  <c r="M117" i="77"/>
  <c r="N117" i="77" s="1"/>
  <c r="M116" i="77"/>
  <c r="N116" i="77" s="1"/>
  <c r="N115" i="77"/>
  <c r="M115" i="77"/>
  <c r="M113" i="77"/>
  <c r="N113" i="77" s="1"/>
  <c r="M112" i="77"/>
  <c r="N112" i="77" s="1"/>
  <c r="M111" i="77"/>
  <c r="N111" i="77" s="1"/>
  <c r="M110" i="77"/>
  <c r="N110" i="77" s="1"/>
  <c r="M109" i="77"/>
  <c r="N109" i="77" s="1"/>
  <c r="M108" i="77"/>
  <c r="N108" i="77" s="1"/>
  <c r="M107" i="77"/>
  <c r="N107" i="77" s="1"/>
  <c r="M106" i="77"/>
  <c r="N106" i="77" s="1"/>
  <c r="M105" i="77"/>
  <c r="N105" i="77" s="1"/>
  <c r="M104" i="77"/>
  <c r="N104" i="77" s="1"/>
  <c r="M103" i="77"/>
  <c r="N103" i="77" s="1"/>
  <c r="M102" i="77"/>
  <c r="N102" i="77" s="1"/>
  <c r="M101" i="77"/>
  <c r="N101" i="77" s="1"/>
  <c r="M100" i="77"/>
  <c r="N100" i="77" s="1"/>
  <c r="M99" i="77"/>
  <c r="N99" i="77" s="1"/>
  <c r="M98" i="77"/>
  <c r="N98" i="77" s="1"/>
  <c r="M97" i="77"/>
  <c r="N97" i="77" s="1"/>
  <c r="M96" i="77"/>
  <c r="N96" i="77" s="1"/>
  <c r="M95" i="77"/>
  <c r="N95" i="77" s="1"/>
  <c r="M94" i="77"/>
  <c r="N94" i="77" s="1"/>
  <c r="M93" i="77"/>
  <c r="N93" i="77" s="1"/>
  <c r="M92" i="77"/>
  <c r="N92" i="77" s="1"/>
  <c r="M91" i="77"/>
  <c r="N91" i="77" s="1"/>
  <c r="M90" i="77"/>
  <c r="N90" i="77" s="1"/>
  <c r="M89" i="77"/>
  <c r="N89" i="77" s="1"/>
  <c r="M88" i="77"/>
  <c r="N88" i="77" s="1"/>
  <c r="M87" i="77"/>
  <c r="N87" i="77" s="1"/>
  <c r="M85" i="77"/>
  <c r="N85" i="77" s="1"/>
  <c r="M84" i="77"/>
  <c r="N84" i="77" s="1"/>
  <c r="M83" i="77"/>
  <c r="N83" i="77" s="1"/>
  <c r="M82" i="77"/>
  <c r="N82" i="77" s="1"/>
  <c r="M81" i="77"/>
  <c r="N81" i="77" s="1"/>
  <c r="M80" i="77"/>
  <c r="N80" i="77" s="1"/>
  <c r="M79" i="77"/>
  <c r="N79" i="77" s="1"/>
  <c r="M78" i="77"/>
  <c r="N78" i="77" s="1"/>
  <c r="M77" i="77"/>
  <c r="N77" i="77" s="1"/>
  <c r="M76" i="77"/>
  <c r="N76" i="77" s="1"/>
  <c r="M75" i="77"/>
  <c r="N75" i="77" s="1"/>
  <c r="M74" i="77"/>
  <c r="N74" i="77" s="1"/>
  <c r="M73" i="77"/>
  <c r="N73" i="77" s="1"/>
  <c r="M72" i="77"/>
  <c r="N72" i="77" s="1"/>
  <c r="M71" i="77"/>
  <c r="N71" i="77" s="1"/>
  <c r="M70" i="77"/>
  <c r="N70" i="77" s="1"/>
  <c r="M69" i="77"/>
  <c r="N69" i="77" s="1"/>
  <c r="M68" i="77"/>
  <c r="N68" i="77" s="1"/>
  <c r="M67" i="77"/>
  <c r="N67" i="77" s="1"/>
  <c r="M66" i="77"/>
  <c r="N66" i="77" s="1"/>
  <c r="M65" i="77"/>
  <c r="N65" i="77" s="1"/>
  <c r="M64" i="77"/>
  <c r="N64" i="77" s="1"/>
  <c r="M63" i="77"/>
  <c r="N63" i="77" s="1"/>
  <c r="M62" i="77"/>
  <c r="N62" i="77" s="1"/>
  <c r="M61" i="77"/>
  <c r="N61" i="77" s="1"/>
  <c r="M60" i="77"/>
  <c r="N60" i="77" s="1"/>
  <c r="M59" i="77"/>
  <c r="N59" i="77" s="1"/>
  <c r="M58" i="77"/>
  <c r="N58" i="77" s="1"/>
  <c r="M57" i="77"/>
  <c r="N57" i="77" s="1"/>
  <c r="M56" i="77"/>
  <c r="N56" i="77" s="1"/>
  <c r="M55" i="77"/>
  <c r="N55" i="77" s="1"/>
  <c r="M54" i="77"/>
  <c r="N54" i="77" s="1"/>
  <c r="M53" i="77"/>
  <c r="N53" i="77" s="1"/>
  <c r="M52" i="77"/>
  <c r="N52" i="77" s="1"/>
  <c r="M51" i="77"/>
  <c r="N51" i="77" s="1"/>
  <c r="M50" i="77"/>
  <c r="N50" i="77" s="1"/>
  <c r="M49" i="77"/>
  <c r="N49" i="77" s="1"/>
  <c r="M48" i="77"/>
  <c r="N48" i="77" s="1"/>
  <c r="M47" i="77"/>
  <c r="N47" i="77" s="1"/>
  <c r="M46" i="77"/>
  <c r="N46" i="77" s="1"/>
  <c r="M45" i="77"/>
  <c r="N45" i="77" s="1"/>
  <c r="M44" i="77"/>
  <c r="N44" i="77" s="1"/>
  <c r="M43" i="77"/>
  <c r="N43" i="77" s="1"/>
  <c r="M42" i="77"/>
  <c r="N42" i="77" s="1"/>
  <c r="M41" i="77"/>
  <c r="N41" i="77" s="1"/>
  <c r="M40" i="77"/>
  <c r="N40" i="77" s="1"/>
  <c r="M39" i="77"/>
  <c r="N39" i="77" s="1"/>
  <c r="M38" i="77"/>
  <c r="N38" i="77" s="1"/>
  <c r="M37" i="77"/>
  <c r="N37" i="77" s="1"/>
  <c r="M36" i="77"/>
  <c r="N36" i="77" s="1"/>
  <c r="M35" i="77"/>
  <c r="N35" i="77" s="1"/>
  <c r="M34" i="77"/>
  <c r="N34" i="77" s="1"/>
  <c r="M33" i="77"/>
  <c r="N33" i="77" s="1"/>
  <c r="M32" i="77"/>
  <c r="N32" i="77" s="1"/>
  <c r="M31" i="77"/>
  <c r="N31" i="77" s="1"/>
  <c r="M30" i="77"/>
  <c r="N30" i="77" s="1"/>
  <c r="M29" i="77"/>
  <c r="N29" i="77" s="1"/>
  <c r="M28" i="77"/>
  <c r="N28" i="77" s="1"/>
  <c r="N27" i="77"/>
  <c r="M27" i="77"/>
  <c r="M26" i="77"/>
  <c r="N26" i="77" s="1"/>
  <c r="M25" i="77"/>
  <c r="N25" i="77" s="1"/>
  <c r="M24" i="77"/>
  <c r="N24" i="77" s="1"/>
  <c r="M23" i="77"/>
  <c r="N23" i="77" s="1"/>
  <c r="M22" i="77"/>
  <c r="N22" i="77" s="1"/>
  <c r="M21" i="77"/>
  <c r="N21" i="77" s="1"/>
  <c r="M20" i="77"/>
  <c r="N20" i="77" s="1"/>
  <c r="M19" i="77"/>
  <c r="N19" i="77" s="1"/>
  <c r="M18" i="77"/>
  <c r="N18" i="77" s="1"/>
  <c r="M17" i="77"/>
  <c r="N17" i="77" s="1"/>
  <c r="M16" i="77"/>
  <c r="N16" i="77" s="1"/>
  <c r="M15" i="77"/>
  <c r="N15" i="77" s="1"/>
  <c r="M14" i="77"/>
  <c r="N14" i="77" s="1"/>
  <c r="M12" i="77"/>
  <c r="N12" i="77" s="1"/>
  <c r="M11" i="77"/>
  <c r="N11" i="77" s="1"/>
  <c r="M10" i="77"/>
  <c r="N10" i="77" s="1"/>
  <c r="M9" i="77"/>
  <c r="N9" i="77" s="1"/>
  <c r="M8" i="77"/>
  <c r="N8" i="77" s="1"/>
  <c r="M7" i="77"/>
  <c r="N7" i="77" s="1"/>
  <c r="M6" i="77"/>
  <c r="N6" i="77" s="1"/>
  <c r="M5" i="77"/>
  <c r="N5" i="77" s="1"/>
  <c r="M179" i="76"/>
  <c r="N179" i="76" s="1"/>
  <c r="M178" i="76"/>
  <c r="N178" i="76" s="1"/>
  <c r="M176" i="76"/>
  <c r="N176" i="76" s="1"/>
  <c r="M175" i="76"/>
  <c r="N175" i="76" s="1"/>
  <c r="M174" i="76"/>
  <c r="N174" i="76" s="1"/>
  <c r="M172" i="76"/>
  <c r="N172" i="76" s="1"/>
  <c r="M171" i="76"/>
  <c r="N171" i="76" s="1"/>
  <c r="M170" i="76"/>
  <c r="N170" i="76" s="1"/>
  <c r="M169" i="76"/>
  <c r="N169" i="76" s="1"/>
  <c r="N168" i="76"/>
  <c r="M168" i="76"/>
  <c r="M167" i="76"/>
  <c r="N167" i="76" s="1"/>
  <c r="M166" i="76"/>
  <c r="N166" i="76" s="1"/>
  <c r="M165" i="76"/>
  <c r="N165" i="76" s="1"/>
  <c r="M164" i="76"/>
  <c r="N164" i="76" s="1"/>
  <c r="M162" i="76"/>
  <c r="N162" i="76" s="1"/>
  <c r="M161" i="76"/>
  <c r="N161" i="76" s="1"/>
  <c r="M160" i="76"/>
  <c r="N160" i="76" s="1"/>
  <c r="M159" i="76"/>
  <c r="N159" i="76" s="1"/>
  <c r="M158" i="76"/>
  <c r="N158" i="76" s="1"/>
  <c r="N157" i="76"/>
  <c r="M157" i="76"/>
  <c r="M156" i="76"/>
  <c r="N156" i="76" s="1"/>
  <c r="M155" i="76"/>
  <c r="N155" i="76" s="1"/>
  <c r="M154" i="76"/>
  <c r="N154" i="76" s="1"/>
  <c r="M153" i="76"/>
  <c r="N153" i="76" s="1"/>
  <c r="M151" i="76"/>
  <c r="N151" i="76" s="1"/>
  <c r="M150" i="76"/>
  <c r="N150" i="76" s="1"/>
  <c r="M149" i="76"/>
  <c r="N149" i="76" s="1"/>
  <c r="M148" i="76"/>
  <c r="N148" i="76" s="1"/>
  <c r="M147" i="76"/>
  <c r="N147" i="76" s="1"/>
  <c r="N146" i="76"/>
  <c r="M146" i="76"/>
  <c r="M145" i="76"/>
  <c r="N145" i="76" s="1"/>
  <c r="M144" i="76"/>
  <c r="N144" i="76" s="1"/>
  <c r="M143" i="76"/>
  <c r="N143" i="76" s="1"/>
  <c r="M142" i="76"/>
  <c r="N142" i="76" s="1"/>
  <c r="M141" i="76"/>
  <c r="N141" i="76" s="1"/>
  <c r="M140" i="76"/>
  <c r="N140" i="76" s="1"/>
  <c r="M138" i="76"/>
  <c r="N138" i="76" s="1"/>
  <c r="M137" i="76"/>
  <c r="N137" i="76" s="1"/>
  <c r="M136" i="76"/>
  <c r="N136" i="76" s="1"/>
  <c r="N135" i="76"/>
  <c r="M135" i="76"/>
  <c r="M134" i="76"/>
  <c r="N134" i="76" s="1"/>
  <c r="M133" i="76"/>
  <c r="N133" i="76" s="1"/>
  <c r="M132" i="76"/>
  <c r="N132" i="76" s="1"/>
  <c r="M131" i="76"/>
  <c r="N131" i="76" s="1"/>
  <c r="M130" i="76"/>
  <c r="N130" i="76" s="1"/>
  <c r="M129" i="76"/>
  <c r="N129" i="76" s="1"/>
  <c r="M128" i="76"/>
  <c r="N128" i="76" s="1"/>
  <c r="M127" i="76"/>
  <c r="N127" i="76" s="1"/>
  <c r="M126" i="76"/>
  <c r="N126" i="76" s="1"/>
  <c r="M125" i="76"/>
  <c r="N125" i="76" s="1"/>
  <c r="N124" i="76"/>
  <c r="M124" i="76"/>
  <c r="N123" i="76"/>
  <c r="M123" i="76"/>
  <c r="M122" i="76"/>
  <c r="N122" i="76" s="1"/>
  <c r="M121" i="76"/>
  <c r="N121" i="76" s="1"/>
  <c r="M120" i="76"/>
  <c r="N120" i="76" s="1"/>
  <c r="M119" i="76"/>
  <c r="N119" i="76" s="1"/>
  <c r="M118" i="76"/>
  <c r="N118" i="76" s="1"/>
  <c r="M117" i="76"/>
  <c r="N117" i="76" s="1"/>
  <c r="M116" i="76"/>
  <c r="N116" i="76" s="1"/>
  <c r="M115" i="76"/>
  <c r="N115" i="76" s="1"/>
  <c r="N113" i="76"/>
  <c r="M113" i="76"/>
  <c r="N112" i="76"/>
  <c r="M112" i="76"/>
  <c r="M111" i="76"/>
  <c r="N111" i="76" s="1"/>
  <c r="M110" i="76"/>
  <c r="N110" i="76" s="1"/>
  <c r="M109" i="76"/>
  <c r="N109" i="76" s="1"/>
  <c r="M108" i="76"/>
  <c r="N108" i="76" s="1"/>
  <c r="M107" i="76"/>
  <c r="N107" i="76" s="1"/>
  <c r="M106" i="76"/>
  <c r="N106" i="76" s="1"/>
  <c r="M105" i="76"/>
  <c r="N105" i="76" s="1"/>
  <c r="M104" i="76"/>
  <c r="N104" i="76" s="1"/>
  <c r="M103" i="76"/>
  <c r="N103" i="76" s="1"/>
  <c r="N102" i="76"/>
  <c r="M102" i="76"/>
  <c r="N101" i="76"/>
  <c r="M101" i="76"/>
  <c r="M100" i="76"/>
  <c r="N100" i="76" s="1"/>
  <c r="M99" i="76"/>
  <c r="N99" i="76" s="1"/>
  <c r="M98" i="76"/>
  <c r="N98" i="76" s="1"/>
  <c r="M97" i="76"/>
  <c r="N97" i="76" s="1"/>
  <c r="M96" i="76"/>
  <c r="N96" i="76" s="1"/>
  <c r="M95" i="76"/>
  <c r="N95" i="76" s="1"/>
  <c r="M94" i="76"/>
  <c r="N94" i="76" s="1"/>
  <c r="M93" i="76"/>
  <c r="N93" i="76" s="1"/>
  <c r="M92" i="76"/>
  <c r="N92" i="76" s="1"/>
  <c r="N91" i="76"/>
  <c r="M91" i="76"/>
  <c r="N90" i="76"/>
  <c r="M90" i="76"/>
  <c r="M89" i="76"/>
  <c r="N89" i="76" s="1"/>
  <c r="M88" i="76"/>
  <c r="N88" i="76" s="1"/>
  <c r="M87" i="76"/>
  <c r="N87" i="76" s="1"/>
  <c r="M85" i="76"/>
  <c r="N85" i="76" s="1"/>
  <c r="M84" i="76"/>
  <c r="N84" i="76" s="1"/>
  <c r="M83" i="76"/>
  <c r="N83" i="76" s="1"/>
  <c r="M82" i="76"/>
  <c r="N82" i="76" s="1"/>
  <c r="N81" i="76"/>
  <c r="M81" i="76"/>
  <c r="N80" i="76"/>
  <c r="M80" i="76"/>
  <c r="N79" i="76"/>
  <c r="M79" i="76"/>
  <c r="M78" i="76"/>
  <c r="N78" i="76" s="1"/>
  <c r="M77" i="76"/>
  <c r="N77" i="76" s="1"/>
  <c r="M76" i="76"/>
  <c r="N76" i="76" s="1"/>
  <c r="M75" i="76"/>
  <c r="N75" i="76" s="1"/>
  <c r="M74" i="76"/>
  <c r="N74" i="76" s="1"/>
  <c r="M73" i="76"/>
  <c r="N73" i="76" s="1"/>
  <c r="M72" i="76"/>
  <c r="N72" i="76" s="1"/>
  <c r="M71" i="76"/>
  <c r="N71" i="76" s="1"/>
  <c r="M70" i="76"/>
  <c r="N70" i="76" s="1"/>
  <c r="N69" i="76"/>
  <c r="M69" i="76"/>
  <c r="N68" i="76"/>
  <c r="M68" i="76"/>
  <c r="M67" i="76"/>
  <c r="N67" i="76" s="1"/>
  <c r="M66" i="76"/>
  <c r="N66" i="76" s="1"/>
  <c r="M65" i="76"/>
  <c r="N65" i="76" s="1"/>
  <c r="M64" i="76"/>
  <c r="N64" i="76" s="1"/>
  <c r="M63" i="76"/>
  <c r="N63" i="76" s="1"/>
  <c r="M62" i="76"/>
  <c r="N62" i="76" s="1"/>
  <c r="M61" i="76"/>
  <c r="N61" i="76" s="1"/>
  <c r="M60" i="76"/>
  <c r="N60" i="76" s="1"/>
  <c r="M59" i="76"/>
  <c r="N59" i="76" s="1"/>
  <c r="N58" i="76"/>
  <c r="M58" i="76"/>
  <c r="N57" i="76"/>
  <c r="M57" i="76"/>
  <c r="M56" i="76"/>
  <c r="N56" i="76" s="1"/>
  <c r="M55" i="76"/>
  <c r="N55" i="76" s="1"/>
  <c r="M54" i="76"/>
  <c r="N54" i="76" s="1"/>
  <c r="M53" i="76"/>
  <c r="N53" i="76" s="1"/>
  <c r="M52" i="76"/>
  <c r="N52" i="76" s="1"/>
  <c r="M51" i="76"/>
  <c r="N51" i="76" s="1"/>
  <c r="M50" i="76"/>
  <c r="N50" i="76" s="1"/>
  <c r="M49" i="76"/>
  <c r="N49" i="76" s="1"/>
  <c r="M48" i="76"/>
  <c r="N48" i="76" s="1"/>
  <c r="N47" i="76"/>
  <c r="M47" i="76"/>
  <c r="N46" i="76"/>
  <c r="M46" i="76"/>
  <c r="M45" i="76"/>
  <c r="N45" i="76" s="1"/>
  <c r="M44" i="76"/>
  <c r="N44" i="76" s="1"/>
  <c r="M43" i="76"/>
  <c r="N43" i="76" s="1"/>
  <c r="M42" i="76"/>
  <c r="N42" i="76" s="1"/>
  <c r="M41" i="76"/>
  <c r="N41" i="76" s="1"/>
  <c r="M40" i="76"/>
  <c r="N40" i="76" s="1"/>
  <c r="M39" i="76"/>
  <c r="N39" i="76" s="1"/>
  <c r="M38" i="76"/>
  <c r="N38" i="76" s="1"/>
  <c r="M37" i="76"/>
  <c r="N37" i="76" s="1"/>
  <c r="N36" i="76"/>
  <c r="M36" i="76"/>
  <c r="N35" i="76"/>
  <c r="M35" i="76"/>
  <c r="M34" i="76"/>
  <c r="N34" i="76" s="1"/>
  <c r="M33" i="76"/>
  <c r="N33" i="76" s="1"/>
  <c r="M32" i="76"/>
  <c r="N32" i="76" s="1"/>
  <c r="M31" i="76"/>
  <c r="N31" i="76" s="1"/>
  <c r="M30" i="76"/>
  <c r="N30" i="76" s="1"/>
  <c r="M29" i="76"/>
  <c r="N29" i="76" s="1"/>
  <c r="M28" i="76"/>
  <c r="N28" i="76" s="1"/>
  <c r="M27" i="76"/>
  <c r="N27" i="76" s="1"/>
  <c r="M26" i="76"/>
  <c r="N26" i="76" s="1"/>
  <c r="N25" i="76"/>
  <c r="M25" i="76"/>
  <c r="N24" i="76"/>
  <c r="M24" i="76"/>
  <c r="M23" i="76"/>
  <c r="N23" i="76" s="1"/>
  <c r="M22" i="76"/>
  <c r="N22" i="76" s="1"/>
  <c r="M21" i="76"/>
  <c r="N21" i="76" s="1"/>
  <c r="M20" i="76"/>
  <c r="N20" i="76" s="1"/>
  <c r="M19" i="76"/>
  <c r="N19" i="76" s="1"/>
  <c r="M18" i="76"/>
  <c r="N18" i="76" s="1"/>
  <c r="M17" i="76"/>
  <c r="N17" i="76" s="1"/>
  <c r="N16" i="76"/>
  <c r="M16" i="76"/>
  <c r="M15" i="76"/>
  <c r="N15" i="76" s="1"/>
  <c r="N14" i="76"/>
  <c r="M14" i="76"/>
  <c r="M12" i="76"/>
  <c r="N12" i="76" s="1"/>
  <c r="M11" i="76"/>
  <c r="N11" i="76" s="1"/>
  <c r="M10" i="76"/>
  <c r="N10" i="76" s="1"/>
  <c r="M9" i="76"/>
  <c r="N9" i="76" s="1"/>
  <c r="M8" i="76"/>
  <c r="N8" i="76" s="1"/>
  <c r="M7" i="76"/>
  <c r="N7" i="76" s="1"/>
  <c r="M6" i="76"/>
  <c r="N6" i="76" s="1"/>
  <c r="M5" i="76"/>
  <c r="N5" i="76" s="1"/>
  <c r="M179" i="75"/>
  <c r="N179" i="75" s="1"/>
  <c r="M178" i="75"/>
  <c r="N178" i="75" s="1"/>
  <c r="M176" i="75"/>
  <c r="N176" i="75" s="1"/>
  <c r="M175" i="75"/>
  <c r="N175" i="75" s="1"/>
  <c r="M174" i="75"/>
  <c r="N174" i="75" s="1"/>
  <c r="M172" i="75"/>
  <c r="N172" i="75" s="1"/>
  <c r="M171" i="75"/>
  <c r="N171" i="75" s="1"/>
  <c r="M170" i="75"/>
  <c r="N170" i="75" s="1"/>
  <c r="M169" i="75"/>
  <c r="N169" i="75" s="1"/>
  <c r="M168" i="75"/>
  <c r="N168" i="75" s="1"/>
  <c r="M167" i="75"/>
  <c r="N167" i="75" s="1"/>
  <c r="M166" i="75"/>
  <c r="N166" i="75" s="1"/>
  <c r="M165" i="75"/>
  <c r="N165" i="75" s="1"/>
  <c r="M164" i="75"/>
  <c r="N164" i="75" s="1"/>
  <c r="M162" i="75"/>
  <c r="N162" i="75" s="1"/>
  <c r="M161" i="75"/>
  <c r="N161" i="75" s="1"/>
  <c r="M160" i="75"/>
  <c r="N160" i="75" s="1"/>
  <c r="M159" i="75"/>
  <c r="N159" i="75" s="1"/>
  <c r="M158" i="75"/>
  <c r="N158" i="75" s="1"/>
  <c r="M157" i="75"/>
  <c r="N157" i="75" s="1"/>
  <c r="M156" i="75"/>
  <c r="N156" i="75" s="1"/>
  <c r="M155" i="75"/>
  <c r="N155" i="75" s="1"/>
  <c r="M154" i="75"/>
  <c r="N154" i="75" s="1"/>
  <c r="M153" i="75"/>
  <c r="N153" i="75" s="1"/>
  <c r="M151" i="75"/>
  <c r="N151" i="75" s="1"/>
  <c r="M150" i="75"/>
  <c r="N150" i="75" s="1"/>
  <c r="M149" i="75"/>
  <c r="N149" i="75" s="1"/>
  <c r="M148" i="75"/>
  <c r="N148" i="75" s="1"/>
  <c r="M147" i="75"/>
  <c r="N147" i="75" s="1"/>
  <c r="M146" i="75"/>
  <c r="N146" i="75" s="1"/>
  <c r="M145" i="75"/>
  <c r="N145" i="75" s="1"/>
  <c r="M144" i="75"/>
  <c r="N144" i="75" s="1"/>
  <c r="M143" i="75"/>
  <c r="N143" i="75" s="1"/>
  <c r="M142" i="75"/>
  <c r="N142" i="75" s="1"/>
  <c r="M141" i="75"/>
  <c r="N141" i="75" s="1"/>
  <c r="M140" i="75"/>
  <c r="N140" i="75" s="1"/>
  <c r="M138" i="75"/>
  <c r="N138" i="75" s="1"/>
  <c r="M137" i="75"/>
  <c r="N137" i="75" s="1"/>
  <c r="M136" i="75"/>
  <c r="N136" i="75" s="1"/>
  <c r="M135" i="75"/>
  <c r="N135" i="75" s="1"/>
  <c r="M134" i="75"/>
  <c r="N134" i="75" s="1"/>
  <c r="M133" i="75"/>
  <c r="N133" i="75" s="1"/>
  <c r="M132" i="75"/>
  <c r="N132" i="75" s="1"/>
  <c r="M131" i="75"/>
  <c r="N131" i="75" s="1"/>
  <c r="M130" i="75"/>
  <c r="N130" i="75" s="1"/>
  <c r="M129" i="75"/>
  <c r="N129" i="75" s="1"/>
  <c r="M128" i="75"/>
  <c r="N128" i="75" s="1"/>
  <c r="M127" i="75"/>
  <c r="N127" i="75" s="1"/>
  <c r="M126" i="75"/>
  <c r="N126" i="75" s="1"/>
  <c r="N125" i="75"/>
  <c r="M125" i="75"/>
  <c r="M124" i="75"/>
  <c r="N124" i="75" s="1"/>
  <c r="M123" i="75"/>
  <c r="N123" i="75" s="1"/>
  <c r="M122" i="75"/>
  <c r="N122" i="75" s="1"/>
  <c r="M121" i="75"/>
  <c r="N121" i="75" s="1"/>
  <c r="M120" i="75"/>
  <c r="N120" i="75" s="1"/>
  <c r="M119" i="75"/>
  <c r="N119" i="75" s="1"/>
  <c r="M118" i="75"/>
  <c r="N118" i="75" s="1"/>
  <c r="M117" i="75"/>
  <c r="N117" i="75" s="1"/>
  <c r="M116" i="75"/>
  <c r="N116" i="75" s="1"/>
  <c r="M115" i="75"/>
  <c r="N115" i="75" s="1"/>
  <c r="M113" i="75"/>
  <c r="N113" i="75" s="1"/>
  <c r="M112" i="75"/>
  <c r="N112" i="75" s="1"/>
  <c r="M111" i="75"/>
  <c r="N111" i="75" s="1"/>
  <c r="M110" i="75"/>
  <c r="N110" i="75" s="1"/>
  <c r="M109" i="75"/>
  <c r="N109" i="75" s="1"/>
  <c r="M108" i="75"/>
  <c r="N108" i="75" s="1"/>
  <c r="M107" i="75"/>
  <c r="N107" i="75" s="1"/>
  <c r="M106" i="75"/>
  <c r="N106" i="75" s="1"/>
  <c r="M105" i="75"/>
  <c r="N105" i="75" s="1"/>
  <c r="M104" i="75"/>
  <c r="N104" i="75" s="1"/>
  <c r="M103" i="75"/>
  <c r="N103" i="75" s="1"/>
  <c r="M102" i="75"/>
  <c r="N102" i="75" s="1"/>
  <c r="M101" i="75"/>
  <c r="N101" i="75" s="1"/>
  <c r="M100" i="75"/>
  <c r="N100" i="75" s="1"/>
  <c r="M99" i="75"/>
  <c r="N99" i="75" s="1"/>
  <c r="M98" i="75"/>
  <c r="N98" i="75" s="1"/>
  <c r="M97" i="75"/>
  <c r="N97" i="75" s="1"/>
  <c r="M96" i="75"/>
  <c r="N96" i="75" s="1"/>
  <c r="M95" i="75"/>
  <c r="N95" i="75" s="1"/>
  <c r="M94" i="75"/>
  <c r="N94" i="75" s="1"/>
  <c r="M93" i="75"/>
  <c r="N93" i="75" s="1"/>
  <c r="M92" i="75"/>
  <c r="N92" i="75" s="1"/>
  <c r="M91" i="75"/>
  <c r="N91" i="75" s="1"/>
  <c r="M90" i="75"/>
  <c r="N90" i="75" s="1"/>
  <c r="M89" i="75"/>
  <c r="N89" i="75" s="1"/>
  <c r="M88" i="75"/>
  <c r="N88" i="75" s="1"/>
  <c r="M87" i="75"/>
  <c r="N87" i="75" s="1"/>
  <c r="M85" i="75"/>
  <c r="N85" i="75" s="1"/>
  <c r="M84" i="75"/>
  <c r="N84" i="75" s="1"/>
  <c r="M83" i="75"/>
  <c r="N83" i="75" s="1"/>
  <c r="M82" i="75"/>
  <c r="N82" i="75" s="1"/>
  <c r="M81" i="75"/>
  <c r="N81" i="75" s="1"/>
  <c r="M80" i="75"/>
  <c r="N80" i="75" s="1"/>
  <c r="M79" i="75"/>
  <c r="N79" i="75" s="1"/>
  <c r="M78" i="75"/>
  <c r="N78" i="75" s="1"/>
  <c r="M77" i="75"/>
  <c r="N77" i="75" s="1"/>
  <c r="M76" i="75"/>
  <c r="N76" i="75" s="1"/>
  <c r="M75" i="75"/>
  <c r="N75" i="75" s="1"/>
  <c r="M74" i="75"/>
  <c r="N74" i="75" s="1"/>
  <c r="M73" i="75"/>
  <c r="N73" i="75" s="1"/>
  <c r="N72" i="75"/>
  <c r="M72" i="75"/>
  <c r="M71" i="75"/>
  <c r="N71" i="75" s="1"/>
  <c r="M70" i="75"/>
  <c r="N70" i="75" s="1"/>
  <c r="M69" i="75"/>
  <c r="N69" i="75" s="1"/>
  <c r="M68" i="75"/>
  <c r="N68" i="75" s="1"/>
  <c r="M67" i="75"/>
  <c r="N67" i="75" s="1"/>
  <c r="M66" i="75"/>
  <c r="N66" i="75" s="1"/>
  <c r="M65" i="75"/>
  <c r="N65" i="75" s="1"/>
  <c r="M64" i="75"/>
  <c r="N64" i="75" s="1"/>
  <c r="M63" i="75"/>
  <c r="N63" i="75" s="1"/>
  <c r="M62" i="75"/>
  <c r="N62" i="75" s="1"/>
  <c r="M61" i="75"/>
  <c r="N61" i="75" s="1"/>
  <c r="M60" i="75"/>
  <c r="N60" i="75" s="1"/>
  <c r="M59" i="75"/>
  <c r="N59" i="75" s="1"/>
  <c r="M58" i="75"/>
  <c r="N58" i="75" s="1"/>
  <c r="M57" i="75"/>
  <c r="N57" i="75" s="1"/>
  <c r="M56" i="75"/>
  <c r="N56" i="75" s="1"/>
  <c r="M55" i="75"/>
  <c r="N55" i="75" s="1"/>
  <c r="M54" i="75"/>
  <c r="N54" i="75" s="1"/>
  <c r="M53" i="75"/>
  <c r="N53" i="75" s="1"/>
  <c r="M52" i="75"/>
  <c r="N52" i="75" s="1"/>
  <c r="M51" i="75"/>
  <c r="N51" i="75" s="1"/>
  <c r="M50" i="75"/>
  <c r="N50" i="75" s="1"/>
  <c r="M49" i="75"/>
  <c r="N49" i="75" s="1"/>
  <c r="M48" i="75"/>
  <c r="N48" i="75" s="1"/>
  <c r="M47" i="75"/>
  <c r="N47" i="75" s="1"/>
  <c r="M46" i="75"/>
  <c r="N46" i="75" s="1"/>
  <c r="M45" i="75"/>
  <c r="N45" i="75" s="1"/>
  <c r="M44" i="75"/>
  <c r="N44" i="75" s="1"/>
  <c r="M43" i="75"/>
  <c r="N43" i="75" s="1"/>
  <c r="M42" i="75"/>
  <c r="N42" i="75" s="1"/>
  <c r="M41" i="75"/>
  <c r="N41" i="75" s="1"/>
  <c r="M40" i="75"/>
  <c r="N40" i="75" s="1"/>
  <c r="M39" i="75"/>
  <c r="N39" i="75" s="1"/>
  <c r="N38" i="75"/>
  <c r="M38" i="75"/>
  <c r="M37" i="75"/>
  <c r="N37" i="75" s="1"/>
  <c r="M36" i="75"/>
  <c r="N36" i="75" s="1"/>
  <c r="M35" i="75"/>
  <c r="N35" i="75" s="1"/>
  <c r="M34" i="75"/>
  <c r="N34" i="75" s="1"/>
  <c r="M33" i="75"/>
  <c r="N33" i="75" s="1"/>
  <c r="M32" i="75"/>
  <c r="N32" i="75" s="1"/>
  <c r="M31" i="75"/>
  <c r="N31" i="75" s="1"/>
  <c r="M30" i="75"/>
  <c r="N30" i="75" s="1"/>
  <c r="M29" i="75"/>
  <c r="N29" i="75" s="1"/>
  <c r="M28" i="75"/>
  <c r="N28" i="75" s="1"/>
  <c r="M27" i="75"/>
  <c r="N27" i="75" s="1"/>
  <c r="M26" i="75"/>
  <c r="N26" i="75" s="1"/>
  <c r="M25" i="75"/>
  <c r="N25" i="75" s="1"/>
  <c r="M24" i="75"/>
  <c r="N24" i="75" s="1"/>
  <c r="M23" i="75"/>
  <c r="N23" i="75" s="1"/>
  <c r="M22" i="75"/>
  <c r="N22" i="75" s="1"/>
  <c r="M21" i="75"/>
  <c r="N21" i="75" s="1"/>
  <c r="M20" i="75"/>
  <c r="N20" i="75" s="1"/>
  <c r="M19" i="75"/>
  <c r="N19" i="75" s="1"/>
  <c r="M18" i="75"/>
  <c r="N18" i="75" s="1"/>
  <c r="M17" i="75"/>
  <c r="N17" i="75" s="1"/>
  <c r="M16" i="75"/>
  <c r="N16" i="75" s="1"/>
  <c r="M15" i="75"/>
  <c r="N15" i="75" s="1"/>
  <c r="M14" i="75"/>
  <c r="N14" i="75" s="1"/>
  <c r="M12" i="75"/>
  <c r="N12" i="75" s="1"/>
  <c r="M11" i="75"/>
  <c r="N11" i="75" s="1"/>
  <c r="M10" i="75"/>
  <c r="N10" i="75" s="1"/>
  <c r="M9" i="75"/>
  <c r="N9" i="75" s="1"/>
  <c r="M8" i="75"/>
  <c r="N8" i="75" s="1"/>
  <c r="M7" i="75"/>
  <c r="N7" i="75" s="1"/>
  <c r="M6" i="75"/>
  <c r="N6" i="75" s="1"/>
  <c r="M5" i="75"/>
  <c r="N5" i="75" s="1"/>
  <c r="M179" i="74"/>
  <c r="N179" i="74" s="1"/>
  <c r="M178" i="74"/>
  <c r="N178" i="74" s="1"/>
  <c r="M176" i="74"/>
  <c r="N176" i="74" s="1"/>
  <c r="M175" i="74"/>
  <c r="N175" i="74" s="1"/>
  <c r="M174" i="74"/>
  <c r="N174" i="74" s="1"/>
  <c r="M172" i="74"/>
  <c r="N172" i="74" s="1"/>
  <c r="M171" i="74"/>
  <c r="N171" i="74" s="1"/>
  <c r="M170" i="74"/>
  <c r="N170" i="74" s="1"/>
  <c r="M169" i="74"/>
  <c r="N169" i="74" s="1"/>
  <c r="M168" i="74"/>
  <c r="N168" i="74" s="1"/>
  <c r="M167" i="74"/>
  <c r="N167" i="74" s="1"/>
  <c r="M166" i="74"/>
  <c r="N166" i="74" s="1"/>
  <c r="M165" i="74"/>
  <c r="N165" i="74" s="1"/>
  <c r="M164" i="74"/>
  <c r="N164" i="74" s="1"/>
  <c r="M162" i="74"/>
  <c r="N162" i="74" s="1"/>
  <c r="M161" i="74"/>
  <c r="N161" i="74" s="1"/>
  <c r="M160" i="74"/>
  <c r="N160" i="74" s="1"/>
  <c r="M159" i="74"/>
  <c r="N159" i="74" s="1"/>
  <c r="M158" i="74"/>
  <c r="N158" i="74" s="1"/>
  <c r="M157" i="74"/>
  <c r="N157" i="74" s="1"/>
  <c r="M156" i="74"/>
  <c r="N156" i="74" s="1"/>
  <c r="M155" i="74"/>
  <c r="N155" i="74" s="1"/>
  <c r="M154" i="74"/>
  <c r="N154" i="74" s="1"/>
  <c r="M153" i="74"/>
  <c r="N153" i="74" s="1"/>
  <c r="M151" i="74"/>
  <c r="N151" i="74" s="1"/>
  <c r="M150" i="74"/>
  <c r="N150" i="74" s="1"/>
  <c r="M149" i="74"/>
  <c r="N149" i="74" s="1"/>
  <c r="M148" i="74"/>
  <c r="N148" i="74" s="1"/>
  <c r="M147" i="74"/>
  <c r="N147" i="74" s="1"/>
  <c r="M146" i="74"/>
  <c r="N146" i="74" s="1"/>
  <c r="M145" i="74"/>
  <c r="N145" i="74" s="1"/>
  <c r="M144" i="74"/>
  <c r="N144" i="74" s="1"/>
  <c r="M143" i="74"/>
  <c r="N143" i="74" s="1"/>
  <c r="M142" i="74"/>
  <c r="N142" i="74" s="1"/>
  <c r="M141" i="74"/>
  <c r="N141" i="74" s="1"/>
  <c r="M140" i="74"/>
  <c r="N140" i="74" s="1"/>
  <c r="M138" i="74"/>
  <c r="N138" i="74" s="1"/>
  <c r="M137" i="74"/>
  <c r="N137" i="74" s="1"/>
  <c r="M136" i="74"/>
  <c r="N136" i="74" s="1"/>
  <c r="M135" i="74"/>
  <c r="N135" i="74" s="1"/>
  <c r="M134" i="74"/>
  <c r="N134" i="74" s="1"/>
  <c r="M133" i="74"/>
  <c r="N133" i="74" s="1"/>
  <c r="M132" i="74"/>
  <c r="N132" i="74" s="1"/>
  <c r="M131" i="74"/>
  <c r="N131" i="74" s="1"/>
  <c r="M130" i="74"/>
  <c r="N130" i="74" s="1"/>
  <c r="M129" i="74"/>
  <c r="N129" i="74" s="1"/>
  <c r="M128" i="74"/>
  <c r="N128" i="74" s="1"/>
  <c r="M127" i="74"/>
  <c r="N127" i="74" s="1"/>
  <c r="M126" i="74"/>
  <c r="N126" i="74" s="1"/>
  <c r="M125" i="74"/>
  <c r="N125" i="74" s="1"/>
  <c r="M124" i="74"/>
  <c r="N124" i="74" s="1"/>
  <c r="M123" i="74"/>
  <c r="N123" i="74" s="1"/>
  <c r="M122" i="74"/>
  <c r="N122" i="74" s="1"/>
  <c r="M121" i="74"/>
  <c r="N121" i="74" s="1"/>
  <c r="M120" i="74"/>
  <c r="N120" i="74" s="1"/>
  <c r="M119" i="74"/>
  <c r="N119" i="74" s="1"/>
  <c r="N118" i="74"/>
  <c r="M118" i="74"/>
  <c r="M117" i="74"/>
  <c r="N117" i="74" s="1"/>
  <c r="M116" i="74"/>
  <c r="N116" i="74" s="1"/>
  <c r="M115" i="74"/>
  <c r="N115" i="74" s="1"/>
  <c r="M113" i="74"/>
  <c r="N113" i="74" s="1"/>
  <c r="M112" i="74"/>
  <c r="N112" i="74" s="1"/>
  <c r="M111" i="74"/>
  <c r="N111" i="74" s="1"/>
  <c r="M110" i="74"/>
  <c r="N110" i="74" s="1"/>
  <c r="M109" i="74"/>
  <c r="N109" i="74" s="1"/>
  <c r="M108" i="74"/>
  <c r="N108" i="74" s="1"/>
  <c r="M107" i="74"/>
  <c r="N107" i="74" s="1"/>
  <c r="M106" i="74"/>
  <c r="N106" i="74" s="1"/>
  <c r="M105" i="74"/>
  <c r="N105" i="74" s="1"/>
  <c r="M104" i="74"/>
  <c r="N104" i="74" s="1"/>
  <c r="M103" i="74"/>
  <c r="N103" i="74" s="1"/>
  <c r="M102" i="74"/>
  <c r="N102" i="74" s="1"/>
  <c r="M101" i="74"/>
  <c r="N101" i="74" s="1"/>
  <c r="M100" i="74"/>
  <c r="N100" i="74" s="1"/>
  <c r="M99" i="74"/>
  <c r="N99" i="74" s="1"/>
  <c r="M98" i="74"/>
  <c r="N98" i="74" s="1"/>
  <c r="M97" i="74"/>
  <c r="N97" i="74" s="1"/>
  <c r="M96" i="74"/>
  <c r="N96" i="74" s="1"/>
  <c r="M95" i="74"/>
  <c r="N95" i="74" s="1"/>
  <c r="M94" i="74"/>
  <c r="N94" i="74" s="1"/>
  <c r="M93" i="74"/>
  <c r="N93" i="74" s="1"/>
  <c r="M92" i="74"/>
  <c r="N92" i="74" s="1"/>
  <c r="M91" i="74"/>
  <c r="N91" i="74" s="1"/>
  <c r="M90" i="74"/>
  <c r="N90" i="74" s="1"/>
  <c r="M89" i="74"/>
  <c r="N89" i="74" s="1"/>
  <c r="M88" i="74"/>
  <c r="N88" i="74" s="1"/>
  <c r="M87" i="74"/>
  <c r="N87" i="74" s="1"/>
  <c r="M85" i="74"/>
  <c r="N85" i="74" s="1"/>
  <c r="M84" i="74"/>
  <c r="N84" i="74" s="1"/>
  <c r="M83" i="74"/>
  <c r="N83" i="74" s="1"/>
  <c r="M82" i="74"/>
  <c r="N82" i="74" s="1"/>
  <c r="M81" i="74"/>
  <c r="N81" i="74" s="1"/>
  <c r="M80" i="74"/>
  <c r="N80" i="74" s="1"/>
  <c r="M79" i="74"/>
  <c r="N79" i="74" s="1"/>
  <c r="M78" i="74"/>
  <c r="N78" i="74" s="1"/>
  <c r="M77" i="74"/>
  <c r="N77" i="74" s="1"/>
  <c r="M76" i="74"/>
  <c r="N76" i="74" s="1"/>
  <c r="N75" i="74"/>
  <c r="M75" i="74"/>
  <c r="M74" i="74"/>
  <c r="N74" i="74" s="1"/>
  <c r="M73" i="74"/>
  <c r="N73" i="74" s="1"/>
  <c r="M72" i="74"/>
  <c r="N72" i="74" s="1"/>
  <c r="M71" i="74"/>
  <c r="N71" i="74" s="1"/>
  <c r="M70" i="74"/>
  <c r="N70" i="74" s="1"/>
  <c r="M69" i="74"/>
  <c r="N69" i="74" s="1"/>
  <c r="M68" i="74"/>
  <c r="N68" i="74" s="1"/>
  <c r="M67" i="74"/>
  <c r="N67" i="74" s="1"/>
  <c r="M66" i="74"/>
  <c r="N66" i="74" s="1"/>
  <c r="M65" i="74"/>
  <c r="N65" i="74" s="1"/>
  <c r="M64" i="74"/>
  <c r="N64" i="74" s="1"/>
  <c r="M63" i="74"/>
  <c r="N63" i="74" s="1"/>
  <c r="M62" i="74"/>
  <c r="N62" i="74" s="1"/>
  <c r="M61" i="74"/>
  <c r="N61" i="74" s="1"/>
  <c r="M60" i="74"/>
  <c r="N60" i="74" s="1"/>
  <c r="M59" i="74"/>
  <c r="N59" i="74" s="1"/>
  <c r="M58" i="74"/>
  <c r="N58" i="74" s="1"/>
  <c r="M57" i="74"/>
  <c r="N57" i="74" s="1"/>
  <c r="M56" i="74"/>
  <c r="N56" i="74" s="1"/>
  <c r="M55" i="74"/>
  <c r="N55" i="74" s="1"/>
  <c r="M54" i="74"/>
  <c r="N54" i="74" s="1"/>
  <c r="M53" i="74"/>
  <c r="N53" i="74" s="1"/>
  <c r="M52" i="74"/>
  <c r="N52" i="74" s="1"/>
  <c r="M51" i="74"/>
  <c r="N51" i="74" s="1"/>
  <c r="M50" i="74"/>
  <c r="N50" i="74" s="1"/>
  <c r="M49" i="74"/>
  <c r="N49" i="74" s="1"/>
  <c r="N48" i="74"/>
  <c r="M48" i="74"/>
  <c r="M47" i="74"/>
  <c r="N47" i="74" s="1"/>
  <c r="M46" i="74"/>
  <c r="N46" i="74" s="1"/>
  <c r="M45" i="74"/>
  <c r="N45" i="74" s="1"/>
  <c r="M44" i="74"/>
  <c r="N44" i="74" s="1"/>
  <c r="M43" i="74"/>
  <c r="N43" i="74" s="1"/>
  <c r="M42" i="74"/>
  <c r="N42" i="74" s="1"/>
  <c r="M41" i="74"/>
  <c r="N41" i="74" s="1"/>
  <c r="M40" i="74"/>
  <c r="N40" i="74" s="1"/>
  <c r="M39" i="74"/>
  <c r="N39" i="74" s="1"/>
  <c r="M38" i="74"/>
  <c r="N38" i="74" s="1"/>
  <c r="M37" i="74"/>
  <c r="N37" i="74" s="1"/>
  <c r="M36" i="74"/>
  <c r="N36" i="74" s="1"/>
  <c r="M35" i="74"/>
  <c r="N35" i="74" s="1"/>
  <c r="M34" i="74"/>
  <c r="N34" i="74" s="1"/>
  <c r="M33" i="74"/>
  <c r="N33" i="74" s="1"/>
  <c r="M32" i="74"/>
  <c r="N32" i="74" s="1"/>
  <c r="M31" i="74"/>
  <c r="N31" i="74" s="1"/>
  <c r="M30" i="74"/>
  <c r="N30" i="74" s="1"/>
  <c r="M29" i="74"/>
  <c r="N29" i="74" s="1"/>
  <c r="M28" i="74"/>
  <c r="N28" i="74" s="1"/>
  <c r="M27" i="74"/>
  <c r="N27" i="74" s="1"/>
  <c r="M26" i="74"/>
  <c r="N26" i="74" s="1"/>
  <c r="M25" i="74"/>
  <c r="N25" i="74" s="1"/>
  <c r="M24" i="74"/>
  <c r="N24" i="74" s="1"/>
  <c r="M23" i="74"/>
  <c r="N23" i="74" s="1"/>
  <c r="M22" i="74"/>
  <c r="N22" i="74" s="1"/>
  <c r="M21" i="74"/>
  <c r="N21" i="74" s="1"/>
  <c r="M20" i="74"/>
  <c r="N20" i="74" s="1"/>
  <c r="M19" i="74"/>
  <c r="N19" i="74" s="1"/>
  <c r="M18" i="74"/>
  <c r="N18" i="74" s="1"/>
  <c r="M17" i="74"/>
  <c r="N17" i="74" s="1"/>
  <c r="M16" i="74"/>
  <c r="N16" i="74" s="1"/>
  <c r="M15" i="74"/>
  <c r="N15" i="74" s="1"/>
  <c r="M14" i="74"/>
  <c r="N14" i="74" s="1"/>
  <c r="M12" i="74"/>
  <c r="N12" i="74" s="1"/>
  <c r="M11" i="74"/>
  <c r="N11" i="74" s="1"/>
  <c r="M10" i="74"/>
  <c r="N10" i="74" s="1"/>
  <c r="M9" i="74"/>
  <c r="N9" i="74" s="1"/>
  <c r="M8" i="74"/>
  <c r="N8" i="74" s="1"/>
  <c r="M7" i="74"/>
  <c r="N7" i="74" s="1"/>
  <c r="M6" i="74"/>
  <c r="N6" i="74" s="1"/>
  <c r="M5" i="74"/>
  <c r="N5" i="74" s="1"/>
  <c r="M179" i="73"/>
  <c r="N179" i="73" s="1"/>
  <c r="M178" i="73"/>
  <c r="N178" i="73" s="1"/>
  <c r="M176" i="73"/>
  <c r="N176" i="73" s="1"/>
  <c r="M175" i="73"/>
  <c r="N175" i="73" s="1"/>
  <c r="M174" i="73"/>
  <c r="N174" i="73" s="1"/>
  <c r="M172" i="73"/>
  <c r="N172" i="73" s="1"/>
  <c r="M171" i="73"/>
  <c r="N171" i="73" s="1"/>
  <c r="M170" i="73"/>
  <c r="N170" i="73" s="1"/>
  <c r="M169" i="73"/>
  <c r="N169" i="73" s="1"/>
  <c r="M168" i="73"/>
  <c r="N168" i="73" s="1"/>
  <c r="M167" i="73"/>
  <c r="N167" i="73" s="1"/>
  <c r="M166" i="73"/>
  <c r="N166" i="73" s="1"/>
  <c r="M165" i="73"/>
  <c r="N165" i="73" s="1"/>
  <c r="M164" i="73"/>
  <c r="N164" i="73" s="1"/>
  <c r="M162" i="73"/>
  <c r="N162" i="73" s="1"/>
  <c r="M161" i="73"/>
  <c r="N161" i="73" s="1"/>
  <c r="M160" i="73"/>
  <c r="N160" i="73" s="1"/>
  <c r="M159" i="73"/>
  <c r="N159" i="73" s="1"/>
  <c r="M158" i="73"/>
  <c r="N158" i="73" s="1"/>
  <c r="M157" i="73"/>
  <c r="N157" i="73" s="1"/>
  <c r="M156" i="73"/>
  <c r="N156" i="73" s="1"/>
  <c r="M155" i="73"/>
  <c r="N155" i="73" s="1"/>
  <c r="M154" i="73"/>
  <c r="N154" i="73" s="1"/>
  <c r="M153" i="73"/>
  <c r="N153" i="73" s="1"/>
  <c r="M151" i="73"/>
  <c r="N151" i="73" s="1"/>
  <c r="M150" i="73"/>
  <c r="N150" i="73" s="1"/>
  <c r="M149" i="73"/>
  <c r="N149" i="73" s="1"/>
  <c r="M148" i="73"/>
  <c r="N148" i="73" s="1"/>
  <c r="M147" i="73"/>
  <c r="N147" i="73" s="1"/>
  <c r="M146" i="73"/>
  <c r="N146" i="73" s="1"/>
  <c r="M145" i="73"/>
  <c r="N145" i="73" s="1"/>
  <c r="M144" i="73"/>
  <c r="N144" i="73" s="1"/>
  <c r="M143" i="73"/>
  <c r="N143" i="73" s="1"/>
  <c r="M142" i="73"/>
  <c r="N142" i="73" s="1"/>
  <c r="M141" i="73"/>
  <c r="N141" i="73" s="1"/>
  <c r="M140" i="73"/>
  <c r="N140" i="73" s="1"/>
  <c r="M138" i="73"/>
  <c r="N138" i="73" s="1"/>
  <c r="M137" i="73"/>
  <c r="N137" i="73" s="1"/>
  <c r="M136" i="73"/>
  <c r="N136" i="73" s="1"/>
  <c r="M135" i="73"/>
  <c r="N135" i="73" s="1"/>
  <c r="M134" i="73"/>
  <c r="N134" i="73" s="1"/>
  <c r="M133" i="73"/>
  <c r="N133" i="73" s="1"/>
  <c r="M132" i="73"/>
  <c r="N132" i="73" s="1"/>
  <c r="M131" i="73"/>
  <c r="N131" i="73" s="1"/>
  <c r="M130" i="73"/>
  <c r="N130" i="73" s="1"/>
  <c r="M129" i="73"/>
  <c r="N129" i="73" s="1"/>
  <c r="M128" i="73"/>
  <c r="N128" i="73" s="1"/>
  <c r="M127" i="73"/>
  <c r="N127" i="73" s="1"/>
  <c r="M126" i="73"/>
  <c r="N126" i="73" s="1"/>
  <c r="M125" i="73"/>
  <c r="N125" i="73" s="1"/>
  <c r="M124" i="73"/>
  <c r="N124" i="73" s="1"/>
  <c r="M123" i="73"/>
  <c r="N123" i="73" s="1"/>
  <c r="M122" i="73"/>
  <c r="N122" i="73" s="1"/>
  <c r="M121" i="73"/>
  <c r="N121" i="73" s="1"/>
  <c r="M120" i="73"/>
  <c r="N120" i="73" s="1"/>
  <c r="M119" i="73"/>
  <c r="N119" i="73" s="1"/>
  <c r="M118" i="73"/>
  <c r="N118" i="73" s="1"/>
  <c r="M117" i="73"/>
  <c r="N117" i="73" s="1"/>
  <c r="M116" i="73"/>
  <c r="N116" i="73" s="1"/>
  <c r="M115" i="73"/>
  <c r="N115" i="73" s="1"/>
  <c r="M113" i="73"/>
  <c r="N113" i="73" s="1"/>
  <c r="M112" i="73"/>
  <c r="N112" i="73" s="1"/>
  <c r="M111" i="73"/>
  <c r="N111" i="73" s="1"/>
  <c r="M110" i="73"/>
  <c r="N110" i="73" s="1"/>
  <c r="M109" i="73"/>
  <c r="N109" i="73" s="1"/>
  <c r="M108" i="73"/>
  <c r="N108" i="73" s="1"/>
  <c r="M107" i="73"/>
  <c r="N107" i="73" s="1"/>
  <c r="M106" i="73"/>
  <c r="N106" i="73" s="1"/>
  <c r="M105" i="73"/>
  <c r="N105" i="73" s="1"/>
  <c r="N104" i="73"/>
  <c r="M104" i="73"/>
  <c r="M103" i="73"/>
  <c r="N103" i="73" s="1"/>
  <c r="M102" i="73"/>
  <c r="N102" i="73" s="1"/>
  <c r="M101" i="73"/>
  <c r="N101" i="73" s="1"/>
  <c r="M100" i="73"/>
  <c r="N100" i="73" s="1"/>
  <c r="M99" i="73"/>
  <c r="N99" i="73" s="1"/>
  <c r="M98" i="73"/>
  <c r="N98" i="73" s="1"/>
  <c r="M97" i="73"/>
  <c r="N97" i="73" s="1"/>
  <c r="M96" i="73"/>
  <c r="N96" i="73" s="1"/>
  <c r="M95" i="73"/>
  <c r="N95" i="73" s="1"/>
  <c r="M94" i="73"/>
  <c r="N94" i="73" s="1"/>
  <c r="M93" i="73"/>
  <c r="N93" i="73" s="1"/>
  <c r="M92" i="73"/>
  <c r="N92" i="73" s="1"/>
  <c r="M91" i="73"/>
  <c r="N91" i="73" s="1"/>
  <c r="M90" i="73"/>
  <c r="N90" i="73" s="1"/>
  <c r="M89" i="73"/>
  <c r="N89" i="73" s="1"/>
  <c r="M88" i="73"/>
  <c r="N88" i="73" s="1"/>
  <c r="M87" i="73"/>
  <c r="N87" i="73" s="1"/>
  <c r="M85" i="73"/>
  <c r="N85" i="73" s="1"/>
  <c r="M84" i="73"/>
  <c r="N84" i="73" s="1"/>
  <c r="M83" i="73"/>
  <c r="N83" i="73" s="1"/>
  <c r="M82" i="73"/>
  <c r="N82" i="73" s="1"/>
  <c r="M81" i="73"/>
  <c r="N81" i="73" s="1"/>
  <c r="M80" i="73"/>
  <c r="N80" i="73" s="1"/>
  <c r="M79" i="73"/>
  <c r="N79" i="73" s="1"/>
  <c r="M78" i="73"/>
  <c r="N78" i="73" s="1"/>
  <c r="M77" i="73"/>
  <c r="N77" i="73" s="1"/>
  <c r="M76" i="73"/>
  <c r="N76" i="73" s="1"/>
  <c r="M75" i="73"/>
  <c r="N75" i="73" s="1"/>
  <c r="M74" i="73"/>
  <c r="N74" i="73" s="1"/>
  <c r="M73" i="73"/>
  <c r="N73" i="73" s="1"/>
  <c r="M72" i="73"/>
  <c r="N72" i="73" s="1"/>
  <c r="M71" i="73"/>
  <c r="N71" i="73" s="1"/>
  <c r="M70" i="73"/>
  <c r="N70" i="73" s="1"/>
  <c r="M69" i="73"/>
  <c r="N69" i="73" s="1"/>
  <c r="M68" i="73"/>
  <c r="N68" i="73" s="1"/>
  <c r="M67" i="73"/>
  <c r="N67" i="73" s="1"/>
  <c r="M66" i="73"/>
  <c r="N66" i="73" s="1"/>
  <c r="M65" i="73"/>
  <c r="N65" i="73" s="1"/>
  <c r="M64" i="73"/>
  <c r="N64" i="73" s="1"/>
  <c r="M63" i="73"/>
  <c r="N63" i="73" s="1"/>
  <c r="M62" i="73"/>
  <c r="N62" i="73" s="1"/>
  <c r="M61" i="73"/>
  <c r="N61" i="73" s="1"/>
  <c r="M60" i="73"/>
  <c r="N60" i="73" s="1"/>
  <c r="M59" i="73"/>
  <c r="N59" i="73" s="1"/>
  <c r="M58" i="73"/>
  <c r="N58" i="73" s="1"/>
  <c r="M57" i="73"/>
  <c r="N57" i="73" s="1"/>
  <c r="M56" i="73"/>
  <c r="N56" i="73" s="1"/>
  <c r="M55" i="73"/>
  <c r="N55" i="73" s="1"/>
  <c r="M54" i="73"/>
  <c r="N54" i="73" s="1"/>
  <c r="M53" i="73"/>
  <c r="N53" i="73" s="1"/>
  <c r="M52" i="73"/>
  <c r="N52" i="73" s="1"/>
  <c r="M51" i="73"/>
  <c r="N51" i="73" s="1"/>
  <c r="M50" i="73"/>
  <c r="N50" i="73" s="1"/>
  <c r="M49" i="73"/>
  <c r="N49" i="73" s="1"/>
  <c r="M48" i="73"/>
  <c r="N48" i="73" s="1"/>
  <c r="M47" i="73"/>
  <c r="N47" i="73" s="1"/>
  <c r="M46" i="73"/>
  <c r="N46" i="73" s="1"/>
  <c r="M45" i="73"/>
  <c r="N45" i="73" s="1"/>
  <c r="M44" i="73"/>
  <c r="N44" i="73" s="1"/>
  <c r="M43" i="73"/>
  <c r="N43" i="73" s="1"/>
  <c r="M42" i="73"/>
  <c r="N42" i="73" s="1"/>
  <c r="M41" i="73"/>
  <c r="N41" i="73" s="1"/>
  <c r="M40" i="73"/>
  <c r="N40" i="73" s="1"/>
  <c r="M39" i="73"/>
  <c r="N39" i="73" s="1"/>
  <c r="M38" i="73"/>
  <c r="N38" i="73" s="1"/>
  <c r="M37" i="73"/>
  <c r="N37" i="73" s="1"/>
  <c r="M36" i="73"/>
  <c r="N36" i="73" s="1"/>
  <c r="M35" i="73"/>
  <c r="N35" i="73" s="1"/>
  <c r="M34" i="73"/>
  <c r="N34" i="73" s="1"/>
  <c r="M33" i="73"/>
  <c r="N33" i="73" s="1"/>
  <c r="M32" i="73"/>
  <c r="N32" i="73" s="1"/>
  <c r="M31" i="73"/>
  <c r="N31" i="73" s="1"/>
  <c r="M30" i="73"/>
  <c r="N30" i="73" s="1"/>
  <c r="M29" i="73"/>
  <c r="N29" i="73" s="1"/>
  <c r="M28" i="73"/>
  <c r="N28" i="73" s="1"/>
  <c r="M27" i="73"/>
  <c r="N27" i="73" s="1"/>
  <c r="M26" i="73"/>
  <c r="N26" i="73" s="1"/>
  <c r="M25" i="73"/>
  <c r="N25" i="73" s="1"/>
  <c r="M24" i="73"/>
  <c r="N24" i="73" s="1"/>
  <c r="M23" i="73"/>
  <c r="N23" i="73" s="1"/>
  <c r="M22" i="73"/>
  <c r="N22" i="73" s="1"/>
  <c r="M21" i="73"/>
  <c r="N21" i="73" s="1"/>
  <c r="M20" i="73"/>
  <c r="N20" i="73" s="1"/>
  <c r="M19" i="73"/>
  <c r="N19" i="73" s="1"/>
  <c r="M18" i="73"/>
  <c r="N18" i="73" s="1"/>
  <c r="M17" i="73"/>
  <c r="N17" i="73" s="1"/>
  <c r="M16" i="73"/>
  <c r="N16" i="73" s="1"/>
  <c r="M15" i="73"/>
  <c r="N15" i="73" s="1"/>
  <c r="M14" i="73"/>
  <c r="N14" i="73" s="1"/>
  <c r="M12" i="73"/>
  <c r="N12" i="73" s="1"/>
  <c r="M11" i="73"/>
  <c r="N11" i="73" s="1"/>
  <c r="M10" i="73"/>
  <c r="N10" i="73" s="1"/>
  <c r="M9" i="73"/>
  <c r="N9" i="73" s="1"/>
  <c r="M8" i="73"/>
  <c r="N8" i="73" s="1"/>
  <c r="M7" i="73"/>
  <c r="N7" i="73" s="1"/>
  <c r="M6" i="73"/>
  <c r="N6" i="73" s="1"/>
  <c r="M5" i="73"/>
  <c r="N5" i="73" s="1"/>
  <c r="N179" i="72"/>
  <c r="N178" i="72"/>
  <c r="N176" i="72"/>
  <c r="N175" i="72"/>
  <c r="N174" i="72"/>
  <c r="N172" i="72"/>
  <c r="N171" i="72"/>
  <c r="N170" i="72"/>
  <c r="N169" i="72"/>
  <c r="N168" i="72"/>
  <c r="N167" i="72"/>
  <c r="N166" i="72"/>
  <c r="N165" i="72"/>
  <c r="N164" i="72"/>
  <c r="N162" i="72"/>
  <c r="N161" i="72"/>
  <c r="N160" i="72"/>
  <c r="N159" i="72"/>
  <c r="N158" i="72"/>
  <c r="N157" i="72"/>
  <c r="N156" i="72"/>
  <c r="N155" i="72"/>
  <c r="N154" i="72"/>
  <c r="N153" i="72"/>
  <c r="N151" i="72"/>
  <c r="N150" i="72"/>
  <c r="N149" i="72"/>
  <c r="N148" i="72"/>
  <c r="N147" i="72"/>
  <c r="N146" i="72"/>
  <c r="N145" i="72"/>
  <c r="N144" i="72"/>
  <c r="N143" i="72"/>
  <c r="N142" i="72"/>
  <c r="N141" i="72"/>
  <c r="N140" i="72"/>
  <c r="N138" i="72"/>
  <c r="N137" i="72"/>
  <c r="N136" i="72"/>
  <c r="N135" i="72"/>
  <c r="N134" i="72"/>
  <c r="N133" i="72"/>
  <c r="N132" i="72"/>
  <c r="N131" i="72"/>
  <c r="N130" i="72"/>
  <c r="N129" i="72"/>
  <c r="N128" i="72"/>
  <c r="N127" i="72"/>
  <c r="N126" i="72"/>
  <c r="N125" i="72"/>
  <c r="N124" i="72"/>
  <c r="N123" i="72"/>
  <c r="N122" i="72"/>
  <c r="N121" i="72"/>
  <c r="N120" i="72"/>
  <c r="N119" i="72"/>
  <c r="N118" i="72"/>
  <c r="N117" i="72"/>
  <c r="N116" i="72"/>
  <c r="N115" i="72"/>
  <c r="N113" i="72"/>
  <c r="N112" i="72"/>
  <c r="N111" i="72"/>
  <c r="N110" i="72"/>
  <c r="N109" i="72"/>
  <c r="N108" i="72"/>
  <c r="N107" i="72"/>
  <c r="N106" i="72"/>
  <c r="N105" i="72"/>
  <c r="N104" i="72"/>
  <c r="N103" i="72"/>
  <c r="N102" i="72"/>
  <c r="N101" i="72"/>
  <c r="N100" i="72"/>
  <c r="N99" i="72"/>
  <c r="N98" i="72"/>
  <c r="N97" i="72"/>
  <c r="N96" i="72"/>
  <c r="N95" i="72"/>
  <c r="N94" i="72"/>
  <c r="N93" i="72"/>
  <c r="N92" i="72"/>
  <c r="N91" i="72"/>
  <c r="N90" i="72"/>
  <c r="N89" i="72"/>
  <c r="N88" i="72"/>
  <c r="N87" i="72"/>
  <c r="N85" i="72"/>
  <c r="N84" i="72"/>
  <c r="N83" i="72"/>
  <c r="N82" i="72"/>
  <c r="N81" i="72"/>
  <c r="N80" i="72"/>
  <c r="N79" i="72"/>
  <c r="N78" i="72"/>
  <c r="N77" i="72"/>
  <c r="N76" i="72"/>
  <c r="N75" i="72"/>
  <c r="N74" i="72"/>
  <c r="N73" i="72"/>
  <c r="N72" i="72"/>
  <c r="N71" i="72"/>
  <c r="N70" i="72"/>
  <c r="N69" i="72"/>
  <c r="N68" i="72"/>
  <c r="N67" i="72"/>
  <c r="N66" i="72"/>
  <c r="N65" i="72"/>
  <c r="N64" i="72"/>
  <c r="N63" i="72"/>
  <c r="N62" i="72"/>
  <c r="N61" i="72"/>
  <c r="N60" i="72"/>
  <c r="N59" i="72"/>
  <c r="N58" i="72"/>
  <c r="N57" i="72"/>
  <c r="N56" i="72"/>
  <c r="N55" i="72"/>
  <c r="N54" i="72"/>
  <c r="N53" i="72"/>
  <c r="N52" i="72"/>
  <c r="N51" i="72"/>
  <c r="N50" i="72"/>
  <c r="N49" i="72"/>
  <c r="N48" i="72"/>
  <c r="N47" i="72"/>
  <c r="N46" i="72"/>
  <c r="N45" i="72"/>
  <c r="N44" i="72"/>
  <c r="N43" i="72"/>
  <c r="N42" i="72"/>
  <c r="N41" i="72"/>
  <c r="N40" i="72"/>
  <c r="N39" i="72"/>
  <c r="N38" i="72"/>
  <c r="N37" i="72"/>
  <c r="N36" i="72"/>
  <c r="N35" i="72"/>
  <c r="N34" i="72"/>
  <c r="N33" i="72"/>
  <c r="N32" i="72"/>
  <c r="N31" i="72"/>
  <c r="N30" i="72"/>
  <c r="N29" i="72"/>
  <c r="N28" i="72"/>
  <c r="N27" i="72"/>
  <c r="N26" i="72"/>
  <c r="N25" i="72"/>
  <c r="N24" i="72"/>
  <c r="N23" i="72"/>
  <c r="N22" i="72"/>
  <c r="N21" i="72"/>
  <c r="N20" i="72"/>
  <c r="N19" i="72"/>
  <c r="N18" i="72"/>
  <c r="N17" i="72"/>
  <c r="N16" i="72"/>
  <c r="N15" i="72"/>
  <c r="N14" i="72"/>
  <c r="N12" i="72"/>
  <c r="N11" i="72"/>
  <c r="N10" i="72"/>
  <c r="N9" i="72"/>
  <c r="N8" i="72"/>
  <c r="N7" i="72"/>
  <c r="N6" i="72"/>
  <c r="N5" i="72"/>
  <c r="N30" i="81"/>
  <c r="N29" i="81"/>
  <c r="N27" i="81"/>
  <c r="N26" i="81"/>
  <c r="N25" i="81"/>
  <c r="N24" i="81"/>
  <c r="N23" i="81"/>
  <c r="N21" i="81"/>
  <c r="N20" i="81"/>
  <c r="N19" i="81"/>
  <c r="N18" i="81"/>
  <c r="N17" i="81"/>
  <c r="N15" i="81"/>
  <c r="N14" i="81"/>
  <c r="N12" i="81"/>
  <c r="N11" i="81"/>
  <c r="N9" i="81"/>
  <c r="N7" i="81"/>
  <c r="N5" i="81"/>
  <c r="M5" i="72"/>
  <c r="M6" i="72"/>
  <c r="M7" i="72"/>
  <c r="M8" i="72"/>
  <c r="M9" i="72"/>
  <c r="M10" i="72"/>
  <c r="M11" i="72"/>
  <c r="M12" i="72"/>
  <c r="M14" i="72"/>
  <c r="M15" i="72"/>
  <c r="M16" i="72"/>
  <c r="M17" i="72"/>
  <c r="M18" i="72"/>
  <c r="M19" i="72"/>
  <c r="M20" i="72"/>
  <c r="M21" i="72"/>
  <c r="M22" i="72"/>
  <c r="M23" i="72"/>
  <c r="M24" i="72"/>
  <c r="M25" i="72"/>
  <c r="M26" i="72"/>
  <c r="M27" i="72"/>
  <c r="M28" i="72"/>
  <c r="M29" i="72"/>
  <c r="M30" i="72"/>
  <c r="M31" i="72"/>
  <c r="M32" i="72"/>
  <c r="M33" i="72"/>
  <c r="M34" i="72"/>
  <c r="M35" i="72"/>
  <c r="M36" i="72"/>
  <c r="M37" i="72"/>
  <c r="M38" i="72"/>
  <c r="M39" i="72"/>
  <c r="M40" i="72"/>
  <c r="M41" i="72"/>
  <c r="M42" i="72"/>
  <c r="M43" i="72"/>
  <c r="M44" i="72"/>
  <c r="M45" i="72"/>
  <c r="M46" i="72"/>
  <c r="M47" i="72"/>
  <c r="M48" i="72"/>
  <c r="M49" i="72"/>
  <c r="M50" i="72"/>
  <c r="M51" i="72"/>
  <c r="M52" i="72"/>
  <c r="M53" i="72"/>
  <c r="M54" i="72"/>
  <c r="M55" i="72"/>
  <c r="M56" i="72"/>
  <c r="M57" i="72"/>
  <c r="M58" i="72"/>
  <c r="M59" i="72"/>
  <c r="M60" i="72"/>
  <c r="M61" i="72"/>
  <c r="M62" i="72"/>
  <c r="M63" i="72"/>
  <c r="M64" i="72"/>
  <c r="M65" i="72"/>
  <c r="M66" i="72"/>
  <c r="M67" i="72"/>
  <c r="M68" i="72"/>
  <c r="M69" i="72"/>
  <c r="M70" i="72"/>
  <c r="M71" i="72"/>
  <c r="M72" i="72"/>
  <c r="M73" i="72"/>
  <c r="M74" i="72"/>
  <c r="M75" i="72"/>
  <c r="M76" i="72"/>
  <c r="M77" i="72"/>
  <c r="M78" i="72"/>
  <c r="M79" i="72"/>
  <c r="M80" i="72"/>
  <c r="M81" i="72"/>
  <c r="M82" i="72"/>
  <c r="M83" i="72"/>
  <c r="M84" i="72"/>
  <c r="M85" i="72"/>
  <c r="M87" i="72"/>
  <c r="M88" i="72"/>
  <c r="M89" i="72"/>
  <c r="M90" i="72"/>
  <c r="M91" i="72"/>
  <c r="M92" i="72"/>
  <c r="M93" i="72"/>
  <c r="M94" i="72"/>
  <c r="M95" i="72"/>
  <c r="M96" i="72"/>
  <c r="M97" i="72"/>
  <c r="M98" i="72"/>
  <c r="M99" i="72"/>
  <c r="M100" i="72"/>
  <c r="M101" i="72"/>
  <c r="M102" i="72"/>
  <c r="M103" i="72"/>
  <c r="M104" i="72"/>
  <c r="M105" i="72"/>
  <c r="M106" i="72"/>
  <c r="M107" i="72"/>
  <c r="M108" i="72"/>
  <c r="M109" i="72"/>
  <c r="M110" i="72"/>
  <c r="M111" i="72"/>
  <c r="M112" i="72"/>
  <c r="M113" i="72"/>
  <c r="M115" i="72"/>
  <c r="M116" i="72"/>
  <c r="M117" i="72"/>
  <c r="M118" i="72"/>
  <c r="M119" i="72"/>
  <c r="M120" i="72"/>
  <c r="M121" i="72"/>
  <c r="M122" i="72"/>
  <c r="M123" i="72"/>
  <c r="M124" i="72"/>
  <c r="M125" i="72"/>
  <c r="M126" i="72"/>
  <c r="M127" i="72"/>
  <c r="M128" i="72"/>
  <c r="M129" i="72"/>
  <c r="M130" i="72"/>
  <c r="M131" i="72"/>
  <c r="M132" i="72"/>
  <c r="M133" i="72"/>
  <c r="M134" i="72"/>
  <c r="M135" i="72"/>
  <c r="M136" i="72"/>
  <c r="M137" i="72"/>
  <c r="M138" i="72"/>
  <c r="M140" i="72"/>
  <c r="M141" i="72"/>
  <c r="M142" i="72"/>
  <c r="M143" i="72"/>
  <c r="M144" i="72"/>
  <c r="M145" i="72"/>
  <c r="M146" i="72"/>
  <c r="M147" i="72"/>
  <c r="M148" i="72"/>
  <c r="M149" i="72"/>
  <c r="M150" i="72"/>
  <c r="M151" i="72"/>
  <c r="M153" i="72"/>
  <c r="M154" i="72"/>
  <c r="M155" i="72"/>
  <c r="M156" i="72"/>
  <c r="M157" i="72"/>
  <c r="M158" i="72"/>
  <c r="M159" i="72"/>
  <c r="M160" i="72"/>
  <c r="M161" i="72"/>
  <c r="M162" i="72"/>
  <c r="M164" i="72"/>
  <c r="M165" i="72"/>
  <c r="M166" i="72"/>
  <c r="M167" i="72"/>
  <c r="M168" i="72"/>
  <c r="M169" i="72"/>
  <c r="M170" i="72"/>
  <c r="M171" i="72"/>
  <c r="M172" i="72"/>
  <c r="M174" i="72"/>
  <c r="M175" i="72"/>
  <c r="M176" i="72"/>
  <c r="M178" i="72"/>
  <c r="M179" i="72"/>
  <c r="M4" i="78"/>
  <c r="M4" i="77"/>
  <c r="M4" i="76"/>
  <c r="M4" i="75"/>
  <c r="M4" i="74"/>
  <c r="M4" i="73"/>
  <c r="M30" i="88"/>
  <c r="L30" i="88"/>
  <c r="M29" i="88"/>
  <c r="L29" i="88"/>
  <c r="M27" i="88"/>
  <c r="L27" i="88"/>
  <c r="M26" i="88"/>
  <c r="L26" i="88"/>
  <c r="M25" i="88"/>
  <c r="L25" i="88"/>
  <c r="M24" i="88"/>
  <c r="L24" i="88"/>
  <c r="M23" i="88"/>
  <c r="L23" i="88"/>
  <c r="M21" i="88"/>
  <c r="L21" i="88"/>
  <c r="M20" i="88"/>
  <c r="L20" i="88"/>
  <c r="M19" i="88"/>
  <c r="L19" i="88"/>
  <c r="M18" i="88"/>
  <c r="L18" i="88"/>
  <c r="M17" i="88"/>
  <c r="L17" i="88"/>
  <c r="M15" i="88"/>
  <c r="L15" i="88"/>
  <c r="M14" i="88"/>
  <c r="L14" i="88"/>
  <c r="M12" i="88"/>
  <c r="L12" i="88"/>
  <c r="M11" i="88"/>
  <c r="L11" i="88"/>
  <c r="M9" i="88"/>
  <c r="L9" i="88"/>
  <c r="M7" i="88"/>
  <c r="L7" i="88"/>
  <c r="M4" i="88"/>
  <c r="M5" i="88"/>
  <c r="L5" i="88"/>
  <c r="M30" i="87"/>
  <c r="L30" i="87"/>
  <c r="M29" i="87"/>
  <c r="L29" i="87"/>
  <c r="M27" i="87"/>
  <c r="L27" i="87"/>
  <c r="M26" i="87"/>
  <c r="L26" i="87"/>
  <c r="M25" i="87"/>
  <c r="L25" i="87"/>
  <c r="M24" i="87"/>
  <c r="L24" i="87"/>
  <c r="M23" i="87"/>
  <c r="L23" i="87"/>
  <c r="M21" i="87"/>
  <c r="L21" i="87"/>
  <c r="M20" i="87"/>
  <c r="L20" i="87"/>
  <c r="M19" i="87"/>
  <c r="L19" i="87"/>
  <c r="M18" i="87"/>
  <c r="L18" i="87"/>
  <c r="M17" i="87"/>
  <c r="L17" i="87"/>
  <c r="M15" i="87"/>
  <c r="L15" i="87"/>
  <c r="M14" i="87"/>
  <c r="L14" i="87"/>
  <c r="M12" i="87"/>
  <c r="L12" i="87"/>
  <c r="M11" i="87"/>
  <c r="L11" i="87"/>
  <c r="M9" i="87"/>
  <c r="L9" i="87"/>
  <c r="M7" i="87"/>
  <c r="L7" i="87"/>
  <c r="M4" i="87"/>
  <c r="M5" i="87"/>
  <c r="L5" i="87"/>
  <c r="M30" i="86"/>
  <c r="L30" i="86"/>
  <c r="M29" i="86"/>
  <c r="L29" i="86"/>
  <c r="M27" i="86"/>
  <c r="L27" i="86"/>
  <c r="M26" i="86"/>
  <c r="L26" i="86"/>
  <c r="M25" i="86"/>
  <c r="L25" i="86"/>
  <c r="M24" i="86"/>
  <c r="L24" i="86"/>
  <c r="M23" i="86"/>
  <c r="L23" i="86"/>
  <c r="M21" i="86"/>
  <c r="L21" i="86"/>
  <c r="M20" i="86"/>
  <c r="L20" i="86"/>
  <c r="M19" i="86"/>
  <c r="L19" i="86"/>
  <c r="M18" i="86"/>
  <c r="L18" i="86"/>
  <c r="M17" i="86"/>
  <c r="L17" i="86"/>
  <c r="M15" i="86"/>
  <c r="L15" i="86"/>
  <c r="M14" i="86"/>
  <c r="L14" i="86"/>
  <c r="M12" i="86"/>
  <c r="L12" i="86"/>
  <c r="M11" i="86"/>
  <c r="L11" i="86"/>
  <c r="M9" i="86"/>
  <c r="L9" i="86"/>
  <c r="M7" i="86"/>
  <c r="L7" i="86"/>
  <c r="M4" i="86"/>
  <c r="M5" i="86"/>
  <c r="L5" i="86"/>
  <c r="M30" i="85"/>
  <c r="L30" i="85"/>
  <c r="M29" i="85"/>
  <c r="L29" i="85"/>
  <c r="M27" i="85"/>
  <c r="L27" i="85"/>
  <c r="M26" i="85"/>
  <c r="L26" i="85"/>
  <c r="M25" i="85"/>
  <c r="L25" i="85"/>
  <c r="M24" i="85"/>
  <c r="L24" i="85"/>
  <c r="M23" i="85"/>
  <c r="L23" i="85"/>
  <c r="M21" i="85"/>
  <c r="L21" i="85"/>
  <c r="M20" i="85"/>
  <c r="L20" i="85"/>
  <c r="M19" i="85"/>
  <c r="L19" i="85"/>
  <c r="M18" i="85"/>
  <c r="L18" i="85"/>
  <c r="M17" i="85"/>
  <c r="L17" i="85"/>
  <c r="M15" i="85"/>
  <c r="L15" i="85"/>
  <c r="M14" i="85"/>
  <c r="L14" i="85"/>
  <c r="M12" i="85"/>
  <c r="L12" i="85"/>
  <c r="M11" i="85"/>
  <c r="L11" i="85"/>
  <c r="M9" i="85"/>
  <c r="L9" i="85"/>
  <c r="M7" i="85"/>
  <c r="L7" i="85"/>
  <c r="M4" i="85"/>
  <c r="M5" i="85"/>
  <c r="L5" i="85"/>
  <c r="M30" i="84"/>
  <c r="L30" i="84"/>
  <c r="M29" i="84"/>
  <c r="L29" i="84"/>
  <c r="M27" i="84"/>
  <c r="L27" i="84"/>
  <c r="M26" i="84"/>
  <c r="L26" i="84"/>
  <c r="M25" i="84"/>
  <c r="L25" i="84"/>
  <c r="M24" i="84"/>
  <c r="L24" i="84"/>
  <c r="M23" i="84"/>
  <c r="L23" i="84"/>
  <c r="M21" i="84"/>
  <c r="L21" i="84"/>
  <c r="M20" i="84"/>
  <c r="L20" i="84"/>
  <c r="M19" i="84"/>
  <c r="L19" i="84"/>
  <c r="M18" i="84"/>
  <c r="L18" i="84"/>
  <c r="M17" i="84"/>
  <c r="L17" i="84"/>
  <c r="M15" i="84"/>
  <c r="L15" i="84"/>
  <c r="M14" i="84"/>
  <c r="L14" i="84"/>
  <c r="M12" i="84"/>
  <c r="L12" i="84"/>
  <c r="M11" i="84"/>
  <c r="L11" i="84"/>
  <c r="M9" i="84"/>
  <c r="L9" i="84"/>
  <c r="M7" i="84"/>
  <c r="L7" i="84"/>
  <c r="M4" i="84"/>
  <c r="M5" i="84"/>
  <c r="L5" i="84"/>
  <c r="M30" i="83"/>
  <c r="L30" i="83"/>
  <c r="M29" i="83"/>
  <c r="L29" i="83"/>
  <c r="M27" i="83"/>
  <c r="L27" i="83"/>
  <c r="M26" i="83"/>
  <c r="L26" i="83"/>
  <c r="M25" i="83"/>
  <c r="L25" i="83"/>
  <c r="M24" i="83"/>
  <c r="L24" i="83"/>
  <c r="M23" i="83"/>
  <c r="L23" i="83"/>
  <c r="M21" i="83"/>
  <c r="L21" i="83"/>
  <c r="M20" i="83"/>
  <c r="L20" i="83"/>
  <c r="M19" i="83"/>
  <c r="L19" i="83"/>
  <c r="M18" i="83"/>
  <c r="L18" i="83"/>
  <c r="M17" i="83"/>
  <c r="L17" i="83"/>
  <c r="M15" i="83"/>
  <c r="L15" i="83"/>
  <c r="M14" i="83"/>
  <c r="L14" i="83"/>
  <c r="M12" i="83"/>
  <c r="L12" i="83"/>
  <c r="M11" i="83"/>
  <c r="L11" i="83"/>
  <c r="M9" i="83"/>
  <c r="L9" i="83"/>
  <c r="M7" i="83"/>
  <c r="L7" i="83"/>
  <c r="M5" i="83"/>
  <c r="L5" i="83"/>
  <c r="M4" i="83"/>
  <c r="M30" i="81"/>
  <c r="L30" i="81"/>
  <c r="M29" i="81"/>
  <c r="L29" i="81"/>
  <c r="M27" i="81"/>
  <c r="L27" i="81"/>
  <c r="M26" i="81"/>
  <c r="L26" i="81"/>
  <c r="M25" i="81"/>
  <c r="L25" i="81"/>
  <c r="M24" i="81"/>
  <c r="L24" i="81"/>
  <c r="M23" i="81"/>
  <c r="L23" i="81"/>
  <c r="M21" i="81"/>
  <c r="L21" i="81"/>
  <c r="M20" i="81"/>
  <c r="L20" i="81"/>
  <c r="M19" i="81"/>
  <c r="L19" i="81"/>
  <c r="M18" i="81"/>
  <c r="L18" i="81"/>
  <c r="M17" i="81"/>
  <c r="L17" i="81"/>
  <c r="M15" i="81"/>
  <c r="L15" i="81"/>
  <c r="M14" i="81"/>
  <c r="L14" i="81"/>
  <c r="M12" i="81"/>
  <c r="L12" i="81"/>
  <c r="M11" i="81"/>
  <c r="L11" i="81"/>
  <c r="M9" i="81"/>
  <c r="L9" i="81"/>
  <c r="M7" i="81"/>
  <c r="L7" i="81"/>
  <c r="M5" i="81"/>
  <c r="L5" i="81"/>
  <c r="L4" i="83"/>
  <c r="K4" i="83"/>
  <c r="L4" i="84"/>
  <c r="K4" i="84"/>
  <c r="L4" i="85"/>
  <c r="K4" i="85"/>
  <c r="L4" i="86"/>
  <c r="K4" i="86"/>
  <c r="L4" i="87"/>
  <c r="K4" i="87"/>
  <c r="L4" i="88"/>
  <c r="K4" i="88"/>
  <c r="L4" i="78"/>
  <c r="K4" i="78"/>
  <c r="L4" i="77"/>
  <c r="K4" i="77"/>
  <c r="L4" i="76"/>
  <c r="K4" i="76"/>
  <c r="L179" i="76"/>
  <c r="L179" i="78"/>
  <c r="L178" i="78"/>
  <c r="L176" i="78"/>
  <c r="L175" i="78"/>
  <c r="L174" i="78"/>
  <c r="L172" i="78"/>
  <c r="L171" i="78"/>
  <c r="L170" i="78"/>
  <c r="L169" i="78"/>
  <c r="L168" i="78"/>
  <c r="L167" i="78"/>
  <c r="L166" i="78"/>
  <c r="L165" i="78"/>
  <c r="L164" i="78"/>
  <c r="L162" i="78"/>
  <c r="L161" i="78"/>
  <c r="L160" i="78"/>
  <c r="L159" i="78"/>
  <c r="L158" i="78"/>
  <c r="L157" i="78"/>
  <c r="L156" i="78"/>
  <c r="L155" i="78"/>
  <c r="L154" i="78"/>
  <c r="L153" i="78"/>
  <c r="L151" i="78"/>
  <c r="L150" i="78"/>
  <c r="L149" i="78"/>
  <c r="L148" i="78"/>
  <c r="L147" i="78"/>
  <c r="L146" i="78"/>
  <c r="L145" i="78"/>
  <c r="L144" i="78"/>
  <c r="L143" i="78"/>
  <c r="L142" i="78"/>
  <c r="L141" i="78"/>
  <c r="L140" i="78"/>
  <c r="L138" i="78"/>
  <c r="L137" i="78"/>
  <c r="L136" i="78"/>
  <c r="L135" i="78"/>
  <c r="L134" i="78"/>
  <c r="L133" i="78"/>
  <c r="L132" i="78"/>
  <c r="L131" i="78"/>
  <c r="L130" i="78"/>
  <c r="L129" i="78"/>
  <c r="L128" i="78"/>
  <c r="L127" i="78"/>
  <c r="L126" i="78"/>
  <c r="L125" i="78"/>
  <c r="L124" i="78"/>
  <c r="L123" i="78"/>
  <c r="L122" i="78"/>
  <c r="L121" i="78"/>
  <c r="L120" i="78"/>
  <c r="L119" i="78"/>
  <c r="L118" i="78"/>
  <c r="L117" i="78"/>
  <c r="L116" i="78"/>
  <c r="L115" i="78"/>
  <c r="L113" i="78"/>
  <c r="L112" i="78"/>
  <c r="L111" i="78"/>
  <c r="L110" i="78"/>
  <c r="L109" i="78"/>
  <c r="L108" i="78"/>
  <c r="L107" i="78"/>
  <c r="L106" i="78"/>
  <c r="L105" i="78"/>
  <c r="L104" i="78"/>
  <c r="L103" i="78"/>
  <c r="L102" i="78"/>
  <c r="L101" i="78"/>
  <c r="L100" i="78"/>
  <c r="L99" i="78"/>
  <c r="L98" i="78"/>
  <c r="L97" i="78"/>
  <c r="L96" i="78"/>
  <c r="L95" i="78"/>
  <c r="L94" i="78"/>
  <c r="L93" i="78"/>
  <c r="L92" i="78"/>
  <c r="L91" i="78"/>
  <c r="L90" i="78"/>
  <c r="L89" i="78"/>
  <c r="L88" i="78"/>
  <c r="L87" i="78"/>
  <c r="L85" i="78"/>
  <c r="L84" i="78"/>
  <c r="L83" i="78"/>
  <c r="L82" i="78"/>
  <c r="L81" i="78"/>
  <c r="L80" i="78"/>
  <c r="L79" i="78"/>
  <c r="L78" i="78"/>
  <c r="L77" i="78"/>
  <c r="L76" i="78"/>
  <c r="L75" i="78"/>
  <c r="L74" i="78"/>
  <c r="L73" i="78"/>
  <c r="L72" i="78"/>
  <c r="L71" i="78"/>
  <c r="L70" i="78"/>
  <c r="L69" i="78"/>
  <c r="L68" i="78"/>
  <c r="L67" i="78"/>
  <c r="L66" i="78"/>
  <c r="L65" i="78"/>
  <c r="L64" i="78"/>
  <c r="L63" i="78"/>
  <c r="L62" i="78"/>
  <c r="L61" i="78"/>
  <c r="L60" i="78"/>
  <c r="L59" i="78"/>
  <c r="L58" i="78"/>
  <c r="L57" i="78"/>
  <c r="L56" i="78"/>
  <c r="L55" i="78"/>
  <c r="L54" i="78"/>
  <c r="L53" i="78"/>
  <c r="L52" i="78"/>
  <c r="L51" i="78"/>
  <c r="L50" i="78"/>
  <c r="L49" i="78"/>
  <c r="L48" i="78"/>
  <c r="L47" i="78"/>
  <c r="L46" i="78"/>
  <c r="L45" i="78"/>
  <c r="L44" i="78"/>
  <c r="L43" i="78"/>
  <c r="L42" i="78"/>
  <c r="L41" i="78"/>
  <c r="L40" i="78"/>
  <c r="L39" i="78"/>
  <c r="L38" i="78"/>
  <c r="L37" i="78"/>
  <c r="L36" i="78"/>
  <c r="L35" i="78"/>
  <c r="L34" i="78"/>
  <c r="L33" i="78"/>
  <c r="L32" i="78"/>
  <c r="L31" i="78"/>
  <c r="L30" i="78"/>
  <c r="L29" i="78"/>
  <c r="L28" i="78"/>
  <c r="L27" i="78"/>
  <c r="L26" i="78"/>
  <c r="L25" i="78"/>
  <c r="L24" i="78"/>
  <c r="L23" i="78"/>
  <c r="L22" i="78"/>
  <c r="L21" i="78"/>
  <c r="L20" i="78"/>
  <c r="L19" i="78"/>
  <c r="L18" i="78"/>
  <c r="L17" i="78"/>
  <c r="L16" i="78"/>
  <c r="L15" i="78"/>
  <c r="L14" i="78"/>
  <c r="L12" i="78"/>
  <c r="L11" i="78"/>
  <c r="L10" i="78"/>
  <c r="L9" i="78"/>
  <c r="L8" i="78"/>
  <c r="L7" i="78"/>
  <c r="L6" i="78"/>
  <c r="L5" i="78"/>
  <c r="O5" i="78"/>
  <c r="L179" i="77"/>
  <c r="L178" i="77"/>
  <c r="L176" i="77"/>
  <c r="L175" i="77"/>
  <c r="L174" i="77"/>
  <c r="L172" i="77"/>
  <c r="L171" i="77"/>
  <c r="L170" i="77"/>
  <c r="L169" i="77"/>
  <c r="L168" i="77"/>
  <c r="L167" i="77"/>
  <c r="L166" i="77"/>
  <c r="L165" i="77"/>
  <c r="L164" i="77"/>
  <c r="L162" i="77"/>
  <c r="L161" i="77"/>
  <c r="L160" i="77"/>
  <c r="L159" i="77"/>
  <c r="L158" i="77"/>
  <c r="L157" i="77"/>
  <c r="L156" i="77"/>
  <c r="L155" i="77"/>
  <c r="L154" i="77"/>
  <c r="L153" i="77"/>
  <c r="L151" i="77"/>
  <c r="L150" i="77"/>
  <c r="L149" i="77"/>
  <c r="L148" i="77"/>
  <c r="L147" i="77"/>
  <c r="L146" i="77"/>
  <c r="L145" i="77"/>
  <c r="L144" i="77"/>
  <c r="L143" i="77"/>
  <c r="L142" i="77"/>
  <c r="L141" i="77"/>
  <c r="L140" i="77"/>
  <c r="L138" i="77"/>
  <c r="L137" i="77"/>
  <c r="L136" i="77"/>
  <c r="L135" i="77"/>
  <c r="L134" i="77"/>
  <c r="L133" i="77"/>
  <c r="L132" i="77"/>
  <c r="L131" i="77"/>
  <c r="L130" i="77"/>
  <c r="L129" i="77"/>
  <c r="L128" i="77"/>
  <c r="L127" i="77"/>
  <c r="L126" i="77"/>
  <c r="L125" i="77"/>
  <c r="L124" i="77"/>
  <c r="L123" i="77"/>
  <c r="L122" i="77"/>
  <c r="L121" i="77"/>
  <c r="L120" i="77"/>
  <c r="L119" i="77"/>
  <c r="L118" i="77"/>
  <c r="L117" i="77"/>
  <c r="L116" i="77"/>
  <c r="L115" i="77"/>
  <c r="L113" i="77"/>
  <c r="L112" i="77"/>
  <c r="L111" i="77"/>
  <c r="L110" i="77"/>
  <c r="L109" i="77"/>
  <c r="L108" i="77"/>
  <c r="L107" i="77"/>
  <c r="L106" i="77"/>
  <c r="L105" i="77"/>
  <c r="L104" i="77"/>
  <c r="L103" i="77"/>
  <c r="L102" i="77"/>
  <c r="L101" i="77"/>
  <c r="L100" i="77"/>
  <c r="L99" i="77"/>
  <c r="L98" i="77"/>
  <c r="L97" i="77"/>
  <c r="L96" i="77"/>
  <c r="L95" i="77"/>
  <c r="L94" i="77"/>
  <c r="L93" i="77"/>
  <c r="L92" i="77"/>
  <c r="L91" i="77"/>
  <c r="L90" i="77"/>
  <c r="L89" i="77"/>
  <c r="L88" i="77"/>
  <c r="L87" i="77"/>
  <c r="L85" i="77"/>
  <c r="L84" i="77"/>
  <c r="L83" i="77"/>
  <c r="L82" i="77"/>
  <c r="L81" i="77"/>
  <c r="L80" i="77"/>
  <c r="L79" i="77"/>
  <c r="L78" i="77"/>
  <c r="L77" i="77"/>
  <c r="L76" i="77"/>
  <c r="L75" i="77"/>
  <c r="L74" i="77"/>
  <c r="L73" i="77"/>
  <c r="L72" i="77"/>
  <c r="L71" i="77"/>
  <c r="L70" i="77"/>
  <c r="L69" i="77"/>
  <c r="L68" i="77"/>
  <c r="L67" i="77"/>
  <c r="L66" i="77"/>
  <c r="L65" i="77"/>
  <c r="L64" i="77"/>
  <c r="L63" i="77"/>
  <c r="L62" i="77"/>
  <c r="L61" i="77"/>
  <c r="L60" i="77"/>
  <c r="L59" i="77"/>
  <c r="L58" i="77"/>
  <c r="L57" i="77"/>
  <c r="L56" i="77"/>
  <c r="L55" i="77"/>
  <c r="L54" i="77"/>
  <c r="L53" i="77"/>
  <c r="L52" i="77"/>
  <c r="L51" i="77"/>
  <c r="L50" i="77"/>
  <c r="L49" i="77"/>
  <c r="L48" i="77"/>
  <c r="L47" i="77"/>
  <c r="L46" i="77"/>
  <c r="L45" i="77"/>
  <c r="L44" i="77"/>
  <c r="L43" i="77"/>
  <c r="L42" i="77"/>
  <c r="L41" i="77"/>
  <c r="L40" i="77"/>
  <c r="L39" i="77"/>
  <c r="L38" i="77"/>
  <c r="L37" i="77"/>
  <c r="L36" i="77"/>
  <c r="L35" i="77"/>
  <c r="L34" i="77"/>
  <c r="L33" i="77"/>
  <c r="L32" i="77"/>
  <c r="L31" i="77"/>
  <c r="L30" i="77"/>
  <c r="L29" i="77"/>
  <c r="L28" i="77"/>
  <c r="L27" i="77"/>
  <c r="L26" i="77"/>
  <c r="L25" i="77"/>
  <c r="L24" i="77"/>
  <c r="L23" i="77"/>
  <c r="L22" i="77"/>
  <c r="L21" i="77"/>
  <c r="L20" i="77"/>
  <c r="L19" i="77"/>
  <c r="L18" i="77"/>
  <c r="L17" i="77"/>
  <c r="L16" i="77"/>
  <c r="L15" i="77"/>
  <c r="L14" i="77"/>
  <c r="L12" i="77"/>
  <c r="L11" i="77"/>
  <c r="L10" i="77"/>
  <c r="L9" i="77"/>
  <c r="L8" i="77"/>
  <c r="L7" i="77"/>
  <c r="L6" i="77"/>
  <c r="L5" i="77"/>
  <c r="L178" i="76"/>
  <c r="L176" i="76"/>
  <c r="L175" i="76"/>
  <c r="L174" i="76"/>
  <c r="L172" i="76"/>
  <c r="L171" i="76"/>
  <c r="L170" i="76"/>
  <c r="L169" i="76"/>
  <c r="L168" i="76"/>
  <c r="L167" i="76"/>
  <c r="L166" i="76"/>
  <c r="L165" i="76"/>
  <c r="L164" i="76"/>
  <c r="L162" i="76"/>
  <c r="L161" i="76"/>
  <c r="L160" i="76"/>
  <c r="L159" i="76"/>
  <c r="L158" i="76"/>
  <c r="L157" i="76"/>
  <c r="L156" i="76"/>
  <c r="L155" i="76"/>
  <c r="L154" i="76"/>
  <c r="L153" i="76"/>
  <c r="L151" i="76"/>
  <c r="L150" i="76"/>
  <c r="L149" i="76"/>
  <c r="L148" i="76"/>
  <c r="L147" i="76"/>
  <c r="L146" i="76"/>
  <c r="L145" i="76"/>
  <c r="L144" i="76"/>
  <c r="L143" i="76"/>
  <c r="L142" i="76"/>
  <c r="L141" i="76"/>
  <c r="L140" i="76"/>
  <c r="L138" i="76"/>
  <c r="L137" i="76"/>
  <c r="L136" i="76"/>
  <c r="L135" i="76"/>
  <c r="L134" i="76"/>
  <c r="L133" i="76"/>
  <c r="L132" i="76"/>
  <c r="L131" i="76"/>
  <c r="L130" i="76"/>
  <c r="L129" i="76"/>
  <c r="L128" i="76"/>
  <c r="L127" i="76"/>
  <c r="L126" i="76"/>
  <c r="L125" i="76"/>
  <c r="L124" i="76"/>
  <c r="L123" i="76"/>
  <c r="L122" i="76"/>
  <c r="L121" i="76"/>
  <c r="L120" i="76"/>
  <c r="L119" i="76"/>
  <c r="L118" i="76"/>
  <c r="L117" i="76"/>
  <c r="L116" i="76"/>
  <c r="L115" i="76"/>
  <c r="L113" i="76"/>
  <c r="L112" i="76"/>
  <c r="L111" i="76"/>
  <c r="L110" i="76"/>
  <c r="L109" i="76"/>
  <c r="L108" i="76"/>
  <c r="L107" i="76"/>
  <c r="L106" i="76"/>
  <c r="L105" i="76"/>
  <c r="L104" i="76"/>
  <c r="L103" i="76"/>
  <c r="L102" i="76"/>
  <c r="L101" i="76"/>
  <c r="L100" i="76"/>
  <c r="L99" i="76"/>
  <c r="L98" i="76"/>
  <c r="L97" i="76"/>
  <c r="L96" i="76"/>
  <c r="L95" i="76"/>
  <c r="L94" i="76"/>
  <c r="L93" i="76"/>
  <c r="L92" i="76"/>
  <c r="L91" i="76"/>
  <c r="L90" i="76"/>
  <c r="L89" i="76"/>
  <c r="L88" i="76"/>
  <c r="L87" i="76"/>
  <c r="L85" i="76"/>
  <c r="L84" i="76"/>
  <c r="L83" i="76"/>
  <c r="L82" i="76"/>
  <c r="L81" i="76"/>
  <c r="L80" i="76"/>
  <c r="L79" i="76"/>
  <c r="L78" i="76"/>
  <c r="L77" i="76"/>
  <c r="L76" i="76"/>
  <c r="L75" i="76"/>
  <c r="L74" i="76"/>
  <c r="L73" i="76"/>
  <c r="L72" i="76"/>
  <c r="L71" i="76"/>
  <c r="L70" i="76"/>
  <c r="L69" i="76"/>
  <c r="L68" i="76"/>
  <c r="L67" i="76"/>
  <c r="L66" i="76"/>
  <c r="L65" i="76"/>
  <c r="L64" i="76"/>
  <c r="L63" i="76"/>
  <c r="L62" i="76"/>
  <c r="L61" i="76"/>
  <c r="L60" i="76"/>
  <c r="L59" i="76"/>
  <c r="L58" i="76"/>
  <c r="L57" i="76"/>
  <c r="L56" i="76"/>
  <c r="L55" i="76"/>
  <c r="L54" i="76"/>
  <c r="L53" i="76"/>
  <c r="L52" i="76"/>
  <c r="L51" i="76"/>
  <c r="L50" i="76"/>
  <c r="L49" i="76"/>
  <c r="L48" i="76"/>
  <c r="L47" i="76"/>
  <c r="L46" i="76"/>
  <c r="L45" i="76"/>
  <c r="L44" i="76"/>
  <c r="L43" i="76"/>
  <c r="L42" i="76"/>
  <c r="L41" i="76"/>
  <c r="L40" i="76"/>
  <c r="L39" i="76"/>
  <c r="L38" i="76"/>
  <c r="L37" i="76"/>
  <c r="L36" i="76"/>
  <c r="L35" i="76"/>
  <c r="L34" i="76"/>
  <c r="L33" i="76"/>
  <c r="L32" i="76"/>
  <c r="L31" i="76"/>
  <c r="L30" i="76"/>
  <c r="L29" i="76"/>
  <c r="L28" i="76"/>
  <c r="L27" i="76"/>
  <c r="L26" i="76"/>
  <c r="L25" i="76"/>
  <c r="L24" i="76"/>
  <c r="L23" i="76"/>
  <c r="L22" i="76"/>
  <c r="L21" i="76"/>
  <c r="L20" i="76"/>
  <c r="L19" i="76"/>
  <c r="L18" i="76"/>
  <c r="L17" i="76"/>
  <c r="L16" i="76"/>
  <c r="L15" i="76"/>
  <c r="L14" i="76"/>
  <c r="L12" i="76"/>
  <c r="L11" i="76"/>
  <c r="L10" i="76"/>
  <c r="L9" i="76"/>
  <c r="L8" i="76"/>
  <c r="L7" i="76"/>
  <c r="L6" i="76"/>
  <c r="L5" i="76"/>
  <c r="L179" i="75"/>
  <c r="L178" i="75"/>
  <c r="L176" i="75"/>
  <c r="L175" i="75"/>
  <c r="L174" i="75"/>
  <c r="L172" i="75"/>
  <c r="L171" i="75"/>
  <c r="L170" i="75"/>
  <c r="L169" i="75"/>
  <c r="L168" i="75"/>
  <c r="L167" i="75"/>
  <c r="L166" i="75"/>
  <c r="L165" i="75"/>
  <c r="L164" i="75"/>
  <c r="L162" i="75"/>
  <c r="L161" i="75"/>
  <c r="L160" i="75"/>
  <c r="L159" i="75"/>
  <c r="L158" i="75"/>
  <c r="L157" i="75"/>
  <c r="L156" i="75"/>
  <c r="L155" i="75"/>
  <c r="L154" i="75"/>
  <c r="L153" i="75"/>
  <c r="L151" i="75"/>
  <c r="L150" i="75"/>
  <c r="L149" i="75"/>
  <c r="L148" i="75"/>
  <c r="L147" i="75"/>
  <c r="L146" i="75"/>
  <c r="L145" i="75"/>
  <c r="L144" i="75"/>
  <c r="L143" i="75"/>
  <c r="L142" i="75"/>
  <c r="L141" i="75"/>
  <c r="L140" i="75"/>
  <c r="L138" i="75"/>
  <c r="L137" i="75"/>
  <c r="L136" i="75"/>
  <c r="L135" i="75"/>
  <c r="L134" i="75"/>
  <c r="L133" i="75"/>
  <c r="L132" i="75"/>
  <c r="L131" i="75"/>
  <c r="L130" i="75"/>
  <c r="L129" i="75"/>
  <c r="L128" i="75"/>
  <c r="L127" i="75"/>
  <c r="L126" i="75"/>
  <c r="L125" i="75"/>
  <c r="L124" i="75"/>
  <c r="L123" i="75"/>
  <c r="L122" i="75"/>
  <c r="L121" i="75"/>
  <c r="L120" i="75"/>
  <c r="L119" i="75"/>
  <c r="L118" i="75"/>
  <c r="L117" i="75"/>
  <c r="L116" i="75"/>
  <c r="L115" i="75"/>
  <c r="L113" i="75"/>
  <c r="L112" i="75"/>
  <c r="L111" i="75"/>
  <c r="L110" i="75"/>
  <c r="L109" i="75"/>
  <c r="L108" i="75"/>
  <c r="L107" i="75"/>
  <c r="L106" i="75"/>
  <c r="L105" i="75"/>
  <c r="L104" i="75"/>
  <c r="L103" i="75"/>
  <c r="L102" i="75"/>
  <c r="L101" i="75"/>
  <c r="L100" i="75"/>
  <c r="L99" i="75"/>
  <c r="L98" i="75"/>
  <c r="L97" i="75"/>
  <c r="L96" i="75"/>
  <c r="L95" i="75"/>
  <c r="L94" i="75"/>
  <c r="L93" i="75"/>
  <c r="L92" i="75"/>
  <c r="L91" i="75"/>
  <c r="L90" i="75"/>
  <c r="L89" i="75"/>
  <c r="L88" i="75"/>
  <c r="L87" i="75"/>
  <c r="L85" i="75"/>
  <c r="L84" i="75"/>
  <c r="L83" i="75"/>
  <c r="L82" i="75"/>
  <c r="L81" i="75"/>
  <c r="L80" i="75"/>
  <c r="L79" i="75"/>
  <c r="L78" i="75"/>
  <c r="L77" i="75"/>
  <c r="L76" i="75"/>
  <c r="L75" i="75"/>
  <c r="L74" i="75"/>
  <c r="L73" i="75"/>
  <c r="L72" i="75"/>
  <c r="L71" i="75"/>
  <c r="L70" i="75"/>
  <c r="L69" i="75"/>
  <c r="L68" i="75"/>
  <c r="L67" i="75"/>
  <c r="L66" i="75"/>
  <c r="L65" i="75"/>
  <c r="L64" i="75"/>
  <c r="L63" i="75"/>
  <c r="L62" i="75"/>
  <c r="L61" i="75"/>
  <c r="L60" i="75"/>
  <c r="L59" i="75"/>
  <c r="L58" i="75"/>
  <c r="L57" i="75"/>
  <c r="L56" i="75"/>
  <c r="L55" i="75"/>
  <c r="L54" i="75"/>
  <c r="L53" i="75"/>
  <c r="L52" i="75"/>
  <c r="L51" i="75"/>
  <c r="L50" i="75"/>
  <c r="L49" i="75"/>
  <c r="L48" i="75"/>
  <c r="L47" i="75"/>
  <c r="L46" i="75"/>
  <c r="L45" i="75"/>
  <c r="L44" i="75"/>
  <c r="L43" i="75"/>
  <c r="L42" i="75"/>
  <c r="L41" i="75"/>
  <c r="L40" i="75"/>
  <c r="L39" i="75"/>
  <c r="L38" i="75"/>
  <c r="L37" i="75"/>
  <c r="L36" i="75"/>
  <c r="L35" i="75"/>
  <c r="L34" i="75"/>
  <c r="L33" i="75"/>
  <c r="L32" i="75"/>
  <c r="L31" i="75"/>
  <c r="L30" i="75"/>
  <c r="L29" i="75"/>
  <c r="L28" i="75"/>
  <c r="L27" i="75"/>
  <c r="L26" i="75"/>
  <c r="L25" i="75"/>
  <c r="L24" i="75"/>
  <c r="L23" i="75"/>
  <c r="L22" i="75"/>
  <c r="L21" i="75"/>
  <c r="L20" i="75"/>
  <c r="L19" i="75"/>
  <c r="L18" i="75"/>
  <c r="L17" i="75"/>
  <c r="L16" i="75"/>
  <c r="L15" i="75"/>
  <c r="L14" i="75"/>
  <c r="L12" i="75"/>
  <c r="L11" i="75"/>
  <c r="L10" i="75"/>
  <c r="L9" i="75"/>
  <c r="L8" i="75"/>
  <c r="L7" i="75"/>
  <c r="L6" i="75"/>
  <c r="L5" i="75"/>
  <c r="L179" i="74"/>
  <c r="L178" i="74"/>
  <c r="L176" i="74"/>
  <c r="L175" i="74"/>
  <c r="L174" i="74"/>
  <c r="L172" i="74"/>
  <c r="L171" i="74"/>
  <c r="L170" i="74"/>
  <c r="L169" i="74"/>
  <c r="L168" i="74"/>
  <c r="L167" i="74"/>
  <c r="L166" i="74"/>
  <c r="L165" i="74"/>
  <c r="L164" i="74"/>
  <c r="L162" i="74"/>
  <c r="L161" i="74"/>
  <c r="L160" i="74"/>
  <c r="L159" i="74"/>
  <c r="L158" i="74"/>
  <c r="L157" i="74"/>
  <c r="L156" i="74"/>
  <c r="L155" i="74"/>
  <c r="L154" i="74"/>
  <c r="L153" i="74"/>
  <c r="L151" i="74"/>
  <c r="L150" i="74"/>
  <c r="L149" i="74"/>
  <c r="L148" i="74"/>
  <c r="L147" i="74"/>
  <c r="L146" i="74"/>
  <c r="L145" i="74"/>
  <c r="L144" i="74"/>
  <c r="L143" i="74"/>
  <c r="L142" i="74"/>
  <c r="L141" i="74"/>
  <c r="L140" i="74"/>
  <c r="L138" i="74"/>
  <c r="L137" i="74"/>
  <c r="L136" i="74"/>
  <c r="L135" i="74"/>
  <c r="L134" i="74"/>
  <c r="L133" i="74"/>
  <c r="L132" i="74"/>
  <c r="L131" i="74"/>
  <c r="L130" i="74"/>
  <c r="L129" i="74"/>
  <c r="L128" i="74"/>
  <c r="L127" i="74"/>
  <c r="L126" i="74"/>
  <c r="L125" i="74"/>
  <c r="L124" i="74"/>
  <c r="L123" i="74"/>
  <c r="L122" i="74"/>
  <c r="L121" i="74"/>
  <c r="L120" i="74"/>
  <c r="L119" i="74"/>
  <c r="L118" i="74"/>
  <c r="L117" i="74"/>
  <c r="L116" i="74"/>
  <c r="L115" i="74"/>
  <c r="L113" i="74"/>
  <c r="L112" i="74"/>
  <c r="L111" i="74"/>
  <c r="L110" i="74"/>
  <c r="L109" i="74"/>
  <c r="L108" i="74"/>
  <c r="L107" i="74"/>
  <c r="L106" i="74"/>
  <c r="L105" i="74"/>
  <c r="L104" i="74"/>
  <c r="L103" i="74"/>
  <c r="L102" i="74"/>
  <c r="L101" i="74"/>
  <c r="L100" i="74"/>
  <c r="L99" i="74"/>
  <c r="L98" i="74"/>
  <c r="L97" i="74"/>
  <c r="L96" i="74"/>
  <c r="L95" i="74"/>
  <c r="L94" i="74"/>
  <c r="L93" i="74"/>
  <c r="L92" i="74"/>
  <c r="L91" i="74"/>
  <c r="L90" i="74"/>
  <c r="L89" i="74"/>
  <c r="L88" i="74"/>
  <c r="L87" i="74"/>
  <c r="L85" i="74"/>
  <c r="L84" i="74"/>
  <c r="L83" i="74"/>
  <c r="L82" i="74"/>
  <c r="L81" i="74"/>
  <c r="L80" i="74"/>
  <c r="L79" i="74"/>
  <c r="L78" i="74"/>
  <c r="L77" i="74"/>
  <c r="L76" i="74"/>
  <c r="L75" i="74"/>
  <c r="L74" i="74"/>
  <c r="L73" i="74"/>
  <c r="L72" i="74"/>
  <c r="L71" i="74"/>
  <c r="L70" i="74"/>
  <c r="L69" i="74"/>
  <c r="L68" i="74"/>
  <c r="L67" i="74"/>
  <c r="L66" i="74"/>
  <c r="L65" i="74"/>
  <c r="L64" i="74"/>
  <c r="L63" i="74"/>
  <c r="L62" i="74"/>
  <c r="L61" i="74"/>
  <c r="L60" i="74"/>
  <c r="L59" i="74"/>
  <c r="L58" i="74"/>
  <c r="L57" i="74"/>
  <c r="L56" i="74"/>
  <c r="L55" i="74"/>
  <c r="L54" i="74"/>
  <c r="L53" i="74"/>
  <c r="L52" i="74"/>
  <c r="L51" i="74"/>
  <c r="L50" i="74"/>
  <c r="L49" i="74"/>
  <c r="L48" i="74"/>
  <c r="L47" i="74"/>
  <c r="L46" i="74"/>
  <c r="L45" i="74"/>
  <c r="L44" i="74"/>
  <c r="L43" i="74"/>
  <c r="L42" i="74"/>
  <c r="L41" i="74"/>
  <c r="L40" i="74"/>
  <c r="L39" i="74"/>
  <c r="L38" i="74"/>
  <c r="L37" i="74"/>
  <c r="L36" i="74"/>
  <c r="L35" i="74"/>
  <c r="L34" i="74"/>
  <c r="L33" i="74"/>
  <c r="L32" i="74"/>
  <c r="L31" i="74"/>
  <c r="L30" i="74"/>
  <c r="L29" i="74"/>
  <c r="L28" i="74"/>
  <c r="L27" i="74"/>
  <c r="L26" i="74"/>
  <c r="L25" i="74"/>
  <c r="L24" i="74"/>
  <c r="L23" i="74"/>
  <c r="L22" i="74"/>
  <c r="L21" i="74"/>
  <c r="L20" i="74"/>
  <c r="L19" i="74"/>
  <c r="L18" i="74"/>
  <c r="L17" i="74"/>
  <c r="L16" i="74"/>
  <c r="L15" i="74"/>
  <c r="L14" i="74"/>
  <c r="L12" i="74"/>
  <c r="L11" i="74"/>
  <c r="L10" i="74"/>
  <c r="L9" i="74"/>
  <c r="L8" i="74"/>
  <c r="L7" i="74"/>
  <c r="L6" i="74"/>
  <c r="L5" i="74"/>
  <c r="L179" i="73"/>
  <c r="L178" i="73"/>
  <c r="L176" i="73"/>
  <c r="L175" i="73"/>
  <c r="L174" i="73"/>
  <c r="L172" i="73"/>
  <c r="L171" i="73"/>
  <c r="L170" i="73"/>
  <c r="L169" i="73"/>
  <c r="L168" i="73"/>
  <c r="L167" i="73"/>
  <c r="L166" i="73"/>
  <c r="L165" i="73"/>
  <c r="L164" i="73"/>
  <c r="L162" i="73"/>
  <c r="L161" i="73"/>
  <c r="L160" i="73"/>
  <c r="L159" i="73"/>
  <c r="L158" i="73"/>
  <c r="L157" i="73"/>
  <c r="L156" i="73"/>
  <c r="L155" i="73"/>
  <c r="L154" i="73"/>
  <c r="L153" i="73"/>
  <c r="L151" i="73"/>
  <c r="L150" i="73"/>
  <c r="L149" i="73"/>
  <c r="L148" i="73"/>
  <c r="L147" i="73"/>
  <c r="L146" i="73"/>
  <c r="L145" i="73"/>
  <c r="L144" i="73"/>
  <c r="L143" i="73"/>
  <c r="L142" i="73"/>
  <c r="L141" i="73"/>
  <c r="L140" i="73"/>
  <c r="L138" i="73"/>
  <c r="L137" i="73"/>
  <c r="L136" i="73"/>
  <c r="L135" i="73"/>
  <c r="L134" i="73"/>
  <c r="L133" i="73"/>
  <c r="L132" i="73"/>
  <c r="L131" i="73"/>
  <c r="L130" i="73"/>
  <c r="L129" i="73"/>
  <c r="L128" i="73"/>
  <c r="L127" i="73"/>
  <c r="L126" i="73"/>
  <c r="L125" i="73"/>
  <c r="L124" i="73"/>
  <c r="L123" i="73"/>
  <c r="L122" i="73"/>
  <c r="L121" i="73"/>
  <c r="L120" i="73"/>
  <c r="L119" i="73"/>
  <c r="L118" i="73"/>
  <c r="L117" i="73"/>
  <c r="L116" i="73"/>
  <c r="L115" i="73"/>
  <c r="L113" i="73"/>
  <c r="L112" i="73"/>
  <c r="L111" i="73"/>
  <c r="L110" i="73"/>
  <c r="L109" i="73"/>
  <c r="L108" i="73"/>
  <c r="L107" i="73"/>
  <c r="L106" i="73"/>
  <c r="L105" i="73"/>
  <c r="L104" i="73"/>
  <c r="L103" i="73"/>
  <c r="L102" i="73"/>
  <c r="L101" i="73"/>
  <c r="L100" i="73"/>
  <c r="L99" i="73"/>
  <c r="L98" i="73"/>
  <c r="L97" i="73"/>
  <c r="L96" i="73"/>
  <c r="L95" i="73"/>
  <c r="L94" i="73"/>
  <c r="L93" i="73"/>
  <c r="L92" i="73"/>
  <c r="L91" i="73"/>
  <c r="L90" i="73"/>
  <c r="L89" i="73"/>
  <c r="L88" i="73"/>
  <c r="L87" i="73"/>
  <c r="L85" i="73"/>
  <c r="L84" i="73"/>
  <c r="L83" i="73"/>
  <c r="L82" i="73"/>
  <c r="L81" i="73"/>
  <c r="L80" i="73"/>
  <c r="L79" i="73"/>
  <c r="L78" i="73"/>
  <c r="L77" i="73"/>
  <c r="L76" i="73"/>
  <c r="L75" i="73"/>
  <c r="L74" i="73"/>
  <c r="L73" i="73"/>
  <c r="L72" i="73"/>
  <c r="L71" i="73"/>
  <c r="L70" i="73"/>
  <c r="L69" i="73"/>
  <c r="L68" i="73"/>
  <c r="L67" i="73"/>
  <c r="L66" i="73"/>
  <c r="L65" i="73"/>
  <c r="L64" i="73"/>
  <c r="L63" i="73"/>
  <c r="L62" i="73"/>
  <c r="L61" i="73"/>
  <c r="L60" i="73"/>
  <c r="L59" i="73"/>
  <c r="L58" i="73"/>
  <c r="L57" i="73"/>
  <c r="L56" i="73"/>
  <c r="L55" i="73"/>
  <c r="L54" i="73"/>
  <c r="L53" i="73"/>
  <c r="L52" i="73"/>
  <c r="L51" i="73"/>
  <c r="L50" i="73"/>
  <c r="L49" i="73"/>
  <c r="L48" i="73"/>
  <c r="L47" i="73"/>
  <c r="L46" i="73"/>
  <c r="L45" i="73"/>
  <c r="L44" i="73"/>
  <c r="L43" i="73"/>
  <c r="L42" i="73"/>
  <c r="L41" i="73"/>
  <c r="L40" i="73"/>
  <c r="L39" i="73"/>
  <c r="L38" i="73"/>
  <c r="L37" i="73"/>
  <c r="L36" i="73"/>
  <c r="L35" i="73"/>
  <c r="L34" i="73"/>
  <c r="L33" i="73"/>
  <c r="L32" i="73"/>
  <c r="L31" i="73"/>
  <c r="L30" i="73"/>
  <c r="L29" i="73"/>
  <c r="L28" i="73"/>
  <c r="L27" i="73"/>
  <c r="L26" i="73"/>
  <c r="L25" i="73"/>
  <c r="L24" i="73"/>
  <c r="L23" i="73"/>
  <c r="L22" i="73"/>
  <c r="L21" i="73"/>
  <c r="L20" i="73"/>
  <c r="L19" i="73"/>
  <c r="L18" i="73"/>
  <c r="L17" i="73"/>
  <c r="L16" i="73"/>
  <c r="L15" i="73"/>
  <c r="L14" i="73"/>
  <c r="L12" i="73"/>
  <c r="L11" i="73"/>
  <c r="L10" i="73"/>
  <c r="L9" i="73"/>
  <c r="L8" i="73"/>
  <c r="L7" i="73"/>
  <c r="L6" i="73"/>
  <c r="L5" i="73"/>
  <c r="J22" i="71"/>
  <c r="L179" i="72"/>
  <c r="L178" i="72"/>
  <c r="L176" i="72"/>
  <c r="L175" i="72"/>
  <c r="L174" i="72"/>
  <c r="L172" i="72"/>
  <c r="L171" i="72"/>
  <c r="L170" i="72"/>
  <c r="L169" i="72"/>
  <c r="L168" i="72"/>
  <c r="L167" i="72"/>
  <c r="L166" i="72"/>
  <c r="L165" i="72"/>
  <c r="L164" i="72"/>
  <c r="L162" i="72"/>
  <c r="L161" i="72"/>
  <c r="L160" i="72"/>
  <c r="L159" i="72"/>
  <c r="L158" i="72"/>
  <c r="L157" i="72"/>
  <c r="L156" i="72"/>
  <c r="L155" i="72"/>
  <c r="L154" i="72"/>
  <c r="L153" i="72"/>
  <c r="L151" i="72"/>
  <c r="L150" i="72"/>
  <c r="L149" i="72"/>
  <c r="L148" i="72"/>
  <c r="L147" i="72"/>
  <c r="L146" i="72"/>
  <c r="L145" i="72"/>
  <c r="L144" i="72"/>
  <c r="L143" i="72"/>
  <c r="L142" i="72"/>
  <c r="L141" i="72"/>
  <c r="L140" i="72"/>
  <c r="L138" i="72"/>
  <c r="L137" i="72"/>
  <c r="L136" i="72"/>
  <c r="L135" i="72"/>
  <c r="L134" i="72"/>
  <c r="L133" i="72"/>
  <c r="L132" i="72"/>
  <c r="L131" i="72"/>
  <c r="L130" i="72"/>
  <c r="L129" i="72"/>
  <c r="L128" i="72"/>
  <c r="L127" i="72"/>
  <c r="L126" i="72"/>
  <c r="L125" i="72"/>
  <c r="L124" i="72"/>
  <c r="L123" i="72"/>
  <c r="L122" i="72"/>
  <c r="L121" i="72"/>
  <c r="L120" i="72"/>
  <c r="L119" i="72"/>
  <c r="L118" i="72"/>
  <c r="L117" i="72"/>
  <c r="L116" i="72"/>
  <c r="L115" i="72"/>
  <c r="L113" i="72"/>
  <c r="L112" i="72"/>
  <c r="L111" i="72"/>
  <c r="L110" i="72"/>
  <c r="L109" i="72"/>
  <c r="L108" i="72"/>
  <c r="L107" i="72"/>
  <c r="L106" i="72"/>
  <c r="L105" i="72"/>
  <c r="L104" i="72"/>
  <c r="L103" i="72"/>
  <c r="L102" i="72"/>
  <c r="L101" i="72"/>
  <c r="L100" i="72"/>
  <c r="L99" i="72"/>
  <c r="L98" i="72"/>
  <c r="L97" i="72"/>
  <c r="L96" i="72"/>
  <c r="L95" i="72"/>
  <c r="L94" i="72"/>
  <c r="L93" i="72"/>
  <c r="L92" i="72"/>
  <c r="L91" i="72"/>
  <c r="L90" i="72"/>
  <c r="L89" i="72"/>
  <c r="L88" i="72"/>
  <c r="L87" i="72"/>
  <c r="L85" i="72"/>
  <c r="L84" i="72"/>
  <c r="L83" i="72"/>
  <c r="L82" i="72"/>
  <c r="L81" i="72"/>
  <c r="L80" i="72"/>
  <c r="L79" i="72"/>
  <c r="L78" i="72"/>
  <c r="L77" i="72"/>
  <c r="L76" i="72"/>
  <c r="L75" i="72"/>
  <c r="L74" i="72"/>
  <c r="L73" i="72"/>
  <c r="L72" i="72"/>
  <c r="L71" i="72"/>
  <c r="L70" i="72"/>
  <c r="L69" i="72"/>
  <c r="L68" i="72"/>
  <c r="L67" i="72"/>
  <c r="L66" i="72"/>
  <c r="L65" i="72"/>
  <c r="L64" i="72"/>
  <c r="L63" i="72"/>
  <c r="L62" i="72"/>
  <c r="L61" i="72"/>
  <c r="L60" i="72"/>
  <c r="L59" i="72"/>
  <c r="L58" i="72"/>
  <c r="L57" i="72"/>
  <c r="L56" i="72"/>
  <c r="L55" i="72"/>
  <c r="L54" i="72"/>
  <c r="L53" i="72"/>
  <c r="L52" i="72"/>
  <c r="L51" i="72"/>
  <c r="L50" i="72"/>
  <c r="L49" i="72"/>
  <c r="L48" i="72"/>
  <c r="L47" i="72"/>
  <c r="L46" i="72"/>
  <c r="L45" i="72"/>
  <c r="L44" i="72"/>
  <c r="L43" i="72"/>
  <c r="L42" i="72"/>
  <c r="L41" i="72"/>
  <c r="L40" i="72"/>
  <c r="L39" i="72"/>
  <c r="L38" i="72"/>
  <c r="L37" i="72"/>
  <c r="L36" i="72"/>
  <c r="L35" i="72"/>
  <c r="L34" i="72"/>
  <c r="L33" i="72"/>
  <c r="L32" i="72"/>
  <c r="L31" i="72"/>
  <c r="L30" i="72"/>
  <c r="L29" i="72"/>
  <c r="L28" i="72"/>
  <c r="L27" i="72"/>
  <c r="L26" i="72"/>
  <c r="L25" i="72"/>
  <c r="L24" i="72"/>
  <c r="L23" i="72"/>
  <c r="L22" i="72"/>
  <c r="L21" i="72"/>
  <c r="L20" i="72"/>
  <c r="L19" i="72"/>
  <c r="L18" i="72"/>
  <c r="L17" i="72"/>
  <c r="L16" i="72"/>
  <c r="L15" i="72"/>
  <c r="L14" i="72"/>
  <c r="L12" i="72"/>
  <c r="L11" i="72"/>
  <c r="L10" i="72"/>
  <c r="L9" i="72"/>
  <c r="L8" i="72"/>
  <c r="L7" i="72"/>
  <c r="L6" i="72"/>
  <c r="L5" i="72"/>
  <c r="O179" i="78"/>
  <c r="O178" i="78"/>
  <c r="O179" i="77"/>
  <c r="O178" i="77"/>
  <c r="O179" i="76"/>
  <c r="O178" i="76"/>
  <c r="O178" i="75"/>
  <c r="O179" i="75"/>
  <c r="O179" i="74"/>
  <c r="O178" i="74"/>
  <c r="O179" i="73"/>
  <c r="O178" i="73"/>
  <c r="O179" i="72"/>
  <c r="O178" i="72"/>
  <c r="K179" i="78"/>
  <c r="G179" i="78"/>
  <c r="E179" i="78"/>
  <c r="D179" i="78"/>
  <c r="Q179" i="78" s="1"/>
  <c r="C179" i="78"/>
  <c r="B179" i="78"/>
  <c r="A179" i="78"/>
  <c r="K178" i="78"/>
  <c r="G178" i="78"/>
  <c r="E178" i="78"/>
  <c r="D178" i="78"/>
  <c r="Q178" i="78" s="1"/>
  <c r="C178" i="78"/>
  <c r="B178" i="78"/>
  <c r="A178" i="78"/>
  <c r="G179" i="77"/>
  <c r="E179" i="77"/>
  <c r="D179" i="77"/>
  <c r="Q179" i="77" s="1"/>
  <c r="C179" i="77"/>
  <c r="B179" i="77"/>
  <c r="A179" i="77"/>
  <c r="G178" i="77"/>
  <c r="E178" i="77"/>
  <c r="D178" i="77"/>
  <c r="Q178" i="77" s="1"/>
  <c r="C178" i="77"/>
  <c r="B178" i="77"/>
  <c r="A178" i="77"/>
  <c r="K179" i="76"/>
  <c r="G179" i="76"/>
  <c r="E179" i="76"/>
  <c r="D179" i="76"/>
  <c r="Q179" i="76" s="1"/>
  <c r="C179" i="76"/>
  <c r="B179" i="76"/>
  <c r="A179" i="76"/>
  <c r="K178" i="76"/>
  <c r="G178" i="76"/>
  <c r="E178" i="76"/>
  <c r="D178" i="76"/>
  <c r="Q178" i="76" s="1"/>
  <c r="C178" i="76"/>
  <c r="B178" i="76"/>
  <c r="A178" i="76"/>
  <c r="K179" i="75"/>
  <c r="G179" i="75"/>
  <c r="E179" i="75"/>
  <c r="D179" i="75"/>
  <c r="Q179" i="75" s="1"/>
  <c r="C179" i="75"/>
  <c r="B179" i="75"/>
  <c r="A179" i="75"/>
  <c r="K178" i="75"/>
  <c r="G178" i="75"/>
  <c r="E178" i="75"/>
  <c r="D178" i="75"/>
  <c r="Q178" i="75" s="1"/>
  <c r="C178" i="75"/>
  <c r="B178" i="75"/>
  <c r="A178" i="75"/>
  <c r="O5" i="74"/>
  <c r="G179" i="74"/>
  <c r="E179" i="74"/>
  <c r="D179" i="74"/>
  <c r="Q179" i="74" s="1"/>
  <c r="C179" i="74"/>
  <c r="B179" i="74"/>
  <c r="A179" i="74"/>
  <c r="G178" i="74"/>
  <c r="E178" i="74"/>
  <c r="D178" i="74"/>
  <c r="Q178" i="74" s="1"/>
  <c r="C178" i="74"/>
  <c r="B178" i="74"/>
  <c r="A178" i="74"/>
  <c r="G179" i="73"/>
  <c r="E179" i="73"/>
  <c r="D179" i="73"/>
  <c r="Q179" i="73" s="1"/>
  <c r="C179" i="73"/>
  <c r="B179" i="73"/>
  <c r="A179" i="73"/>
  <c r="G178" i="73"/>
  <c r="E178" i="73"/>
  <c r="D178" i="73"/>
  <c r="Q178" i="73" s="1"/>
  <c r="C178" i="73"/>
  <c r="B178" i="73"/>
  <c r="A178" i="73"/>
  <c r="K179" i="72"/>
  <c r="G179" i="72"/>
  <c r="E179" i="72"/>
  <c r="D179" i="72"/>
  <c r="Q179" i="72" s="1"/>
  <c r="C179" i="72"/>
  <c r="B179" i="72"/>
  <c r="A179" i="72"/>
  <c r="K178" i="72"/>
  <c r="G178" i="72"/>
  <c r="E178" i="72"/>
  <c r="D178" i="72"/>
  <c r="Q178" i="72" s="1"/>
  <c r="C178" i="72"/>
  <c r="B178" i="72"/>
  <c r="A178" i="72"/>
  <c r="H179" i="57"/>
  <c r="E179" i="57"/>
  <c r="F179" i="57" s="1"/>
  <c r="D179" i="57"/>
  <c r="C179" i="57"/>
  <c r="B179" i="57"/>
  <c r="A179" i="57"/>
  <c r="H178" i="57"/>
  <c r="E178" i="57"/>
  <c r="F178" i="57" s="1"/>
  <c r="D178" i="57"/>
  <c r="C178" i="57"/>
  <c r="B178" i="57"/>
  <c r="A178" i="57"/>
  <c r="L16" i="52"/>
  <c r="L15" i="52"/>
  <c r="M9" i="51" l="1"/>
  <c r="D10" i="48"/>
  <c r="F24" i="70"/>
  <c r="F22" i="70"/>
  <c r="F20" i="70" s="1"/>
  <c r="F21" i="70"/>
  <c r="F18" i="70"/>
  <c r="F17" i="70"/>
  <c r="F16" i="70"/>
  <c r="F15" i="70"/>
  <c r="F14" i="70"/>
  <c r="F13" i="70"/>
  <c r="F11" i="70"/>
  <c r="F10" i="70"/>
  <c r="F9" i="70"/>
  <c r="F8" i="70"/>
  <c r="F7" i="70"/>
  <c r="F6" i="70"/>
  <c r="E11" i="48"/>
  <c r="O176" i="78" l="1"/>
  <c r="K176" i="78"/>
  <c r="G176" i="78"/>
  <c r="E176" i="78"/>
  <c r="D176" i="78"/>
  <c r="Q176" i="78" s="1"/>
  <c r="C176" i="78"/>
  <c r="B176" i="78"/>
  <c r="A176" i="78"/>
  <c r="O174" i="78"/>
  <c r="K174" i="78"/>
  <c r="G174" i="78"/>
  <c r="E174" i="78"/>
  <c r="D174" i="78"/>
  <c r="Q174" i="78" s="1"/>
  <c r="C174" i="78"/>
  <c r="B174" i="78"/>
  <c r="A174" i="78"/>
  <c r="O176" i="77"/>
  <c r="G176" i="77"/>
  <c r="E176" i="77"/>
  <c r="D176" i="77"/>
  <c r="Q176" i="77" s="1"/>
  <c r="C176" i="77"/>
  <c r="B176" i="77"/>
  <c r="A176" i="77"/>
  <c r="O174" i="77"/>
  <c r="G174" i="77"/>
  <c r="E174" i="77"/>
  <c r="D174" i="77"/>
  <c r="Q174" i="77" s="1"/>
  <c r="C174" i="77"/>
  <c r="B174" i="77"/>
  <c r="A174" i="77"/>
  <c r="O176" i="76"/>
  <c r="K176" i="76"/>
  <c r="G176" i="76"/>
  <c r="E176" i="76"/>
  <c r="D176" i="76"/>
  <c r="Q176" i="76" s="1"/>
  <c r="C176" i="76"/>
  <c r="B176" i="76"/>
  <c r="A176" i="76"/>
  <c r="O174" i="76"/>
  <c r="K174" i="76"/>
  <c r="G174" i="76"/>
  <c r="E174" i="76"/>
  <c r="D174" i="76"/>
  <c r="Q174" i="76" s="1"/>
  <c r="C174" i="76"/>
  <c r="B174" i="76"/>
  <c r="A174" i="76"/>
  <c r="O176" i="75"/>
  <c r="K176" i="75"/>
  <c r="G176" i="75"/>
  <c r="E176" i="75"/>
  <c r="D176" i="75"/>
  <c r="Q176" i="75" s="1"/>
  <c r="C176" i="75"/>
  <c r="B176" i="75"/>
  <c r="A176" i="75"/>
  <c r="O174" i="75"/>
  <c r="K174" i="75"/>
  <c r="G174" i="75"/>
  <c r="E174" i="75"/>
  <c r="D174" i="75"/>
  <c r="Q174" i="75" s="1"/>
  <c r="C174" i="75"/>
  <c r="B174" i="75"/>
  <c r="A174" i="75"/>
  <c r="O176" i="74"/>
  <c r="A176" i="74"/>
  <c r="B176" i="74"/>
  <c r="C176" i="74"/>
  <c r="D176" i="74"/>
  <c r="Q176" i="74" s="1"/>
  <c r="E176" i="74"/>
  <c r="G176" i="74"/>
  <c r="A174" i="74"/>
  <c r="B174" i="74"/>
  <c r="C174" i="74"/>
  <c r="D174" i="74"/>
  <c r="Q174" i="74" s="1"/>
  <c r="E174" i="74"/>
  <c r="G174" i="74"/>
  <c r="O174" i="74"/>
  <c r="O176" i="73"/>
  <c r="A176" i="73"/>
  <c r="B176" i="73"/>
  <c r="C176" i="73"/>
  <c r="D176" i="73"/>
  <c r="Q176" i="73" s="1"/>
  <c r="E176" i="73"/>
  <c r="G176" i="73"/>
  <c r="A174" i="73"/>
  <c r="B174" i="73"/>
  <c r="C174" i="73"/>
  <c r="D174" i="73"/>
  <c r="Q174" i="73" s="1"/>
  <c r="E174" i="73"/>
  <c r="G174" i="73"/>
  <c r="O174" i="73"/>
  <c r="O176" i="72"/>
  <c r="A176" i="72"/>
  <c r="B176" i="72"/>
  <c r="C176" i="72"/>
  <c r="D176" i="72"/>
  <c r="Q176" i="72" s="1"/>
  <c r="E176" i="72"/>
  <c r="G176" i="72"/>
  <c r="K176" i="72"/>
  <c r="A174" i="72"/>
  <c r="B174" i="72"/>
  <c r="C174" i="72"/>
  <c r="D174" i="72"/>
  <c r="Q174" i="72" s="1"/>
  <c r="E174" i="72"/>
  <c r="G174" i="72"/>
  <c r="K174" i="72"/>
  <c r="O174" i="72"/>
  <c r="A176" i="57"/>
  <c r="B176" i="57"/>
  <c r="C176" i="57"/>
  <c r="D176" i="57"/>
  <c r="E176" i="57"/>
  <c r="F176" i="57" s="1"/>
  <c r="A174" i="57"/>
  <c r="B174" i="57"/>
  <c r="C174" i="57"/>
  <c r="D174" i="57"/>
  <c r="E174" i="57"/>
  <c r="F174" i="57"/>
  <c r="J21" i="71"/>
  <c r="O171" i="78"/>
  <c r="K171" i="78"/>
  <c r="G171" i="78"/>
  <c r="E171" i="78"/>
  <c r="D171" i="78"/>
  <c r="Q171" i="78" s="1"/>
  <c r="C171" i="78"/>
  <c r="B171" i="78"/>
  <c r="A171" i="78"/>
  <c r="O170" i="78"/>
  <c r="K170" i="78"/>
  <c r="G170" i="78"/>
  <c r="E170" i="78"/>
  <c r="D170" i="78"/>
  <c r="Q170" i="78" s="1"/>
  <c r="C170" i="78"/>
  <c r="B170" i="78"/>
  <c r="A170" i="78"/>
  <c r="O169" i="78"/>
  <c r="K169" i="78"/>
  <c r="G169" i="78"/>
  <c r="E169" i="78"/>
  <c r="D169" i="78"/>
  <c r="Q169" i="78" s="1"/>
  <c r="C169" i="78"/>
  <c r="B169" i="78"/>
  <c r="A169" i="78"/>
  <c r="O167" i="78"/>
  <c r="K167" i="78"/>
  <c r="G167" i="78"/>
  <c r="E167" i="78"/>
  <c r="D167" i="78"/>
  <c r="Q167" i="78" s="1"/>
  <c r="C167" i="78"/>
  <c r="B167" i="78"/>
  <c r="A167" i="78"/>
  <c r="O166" i="78"/>
  <c r="K166" i="78"/>
  <c r="G166" i="78"/>
  <c r="E166" i="78"/>
  <c r="D166" i="78"/>
  <c r="Q166" i="78" s="1"/>
  <c r="C166" i="78"/>
  <c r="B166" i="78"/>
  <c r="A166" i="78"/>
  <c r="O165" i="78"/>
  <c r="K165" i="78"/>
  <c r="G165" i="78"/>
  <c r="E165" i="78"/>
  <c r="D165" i="78"/>
  <c r="Q165" i="78" s="1"/>
  <c r="C165" i="78"/>
  <c r="B165" i="78"/>
  <c r="A165" i="78"/>
  <c r="O172" i="78"/>
  <c r="O168" i="78"/>
  <c r="O164" i="78"/>
  <c r="O171" i="77"/>
  <c r="K171" i="77"/>
  <c r="G171" i="77"/>
  <c r="E171" i="77"/>
  <c r="D171" i="77"/>
  <c r="Q171" i="77" s="1"/>
  <c r="C171" i="77"/>
  <c r="B171" i="77"/>
  <c r="A171" i="77"/>
  <c r="O170" i="77"/>
  <c r="K170" i="77"/>
  <c r="G170" i="77"/>
  <c r="E170" i="77"/>
  <c r="D170" i="77"/>
  <c r="Q170" i="77" s="1"/>
  <c r="C170" i="77"/>
  <c r="B170" i="77"/>
  <c r="A170" i="77"/>
  <c r="O169" i="77"/>
  <c r="K169" i="77"/>
  <c r="G169" i="77"/>
  <c r="E169" i="77"/>
  <c r="D169" i="77"/>
  <c r="Q169" i="77" s="1"/>
  <c r="C169" i="77"/>
  <c r="B169" i="77"/>
  <c r="A169" i="77"/>
  <c r="O167" i="77"/>
  <c r="K167" i="77"/>
  <c r="G167" i="77"/>
  <c r="E167" i="77"/>
  <c r="D167" i="77"/>
  <c r="Q167" i="77" s="1"/>
  <c r="C167" i="77"/>
  <c r="B167" i="77"/>
  <c r="A167" i="77"/>
  <c r="O166" i="77"/>
  <c r="K166" i="77"/>
  <c r="G166" i="77"/>
  <c r="E166" i="77"/>
  <c r="D166" i="77"/>
  <c r="Q166" i="77" s="1"/>
  <c r="C166" i="77"/>
  <c r="B166" i="77"/>
  <c r="A166" i="77"/>
  <c r="O165" i="77"/>
  <c r="K165" i="77"/>
  <c r="G165" i="77"/>
  <c r="E165" i="77"/>
  <c r="D165" i="77"/>
  <c r="Q165" i="77" s="1"/>
  <c r="C165" i="77"/>
  <c r="B165" i="77"/>
  <c r="A165" i="77"/>
  <c r="O172" i="77"/>
  <c r="O168" i="77"/>
  <c r="O164" i="77"/>
  <c r="O171" i="76"/>
  <c r="K171" i="76"/>
  <c r="G171" i="76"/>
  <c r="E171" i="76"/>
  <c r="D171" i="76"/>
  <c r="Q171" i="76" s="1"/>
  <c r="C171" i="76"/>
  <c r="B171" i="76"/>
  <c r="A171" i="76"/>
  <c r="O170" i="76"/>
  <c r="K170" i="76"/>
  <c r="G170" i="76"/>
  <c r="E170" i="76"/>
  <c r="D170" i="76"/>
  <c r="Q170" i="76" s="1"/>
  <c r="C170" i="76"/>
  <c r="B170" i="76"/>
  <c r="A170" i="76"/>
  <c r="O169" i="76"/>
  <c r="K169" i="76"/>
  <c r="G169" i="76"/>
  <c r="E169" i="76"/>
  <c r="D169" i="76"/>
  <c r="Q169" i="76" s="1"/>
  <c r="C169" i="76"/>
  <c r="B169" i="76"/>
  <c r="A169" i="76"/>
  <c r="O167" i="76"/>
  <c r="K167" i="76"/>
  <c r="G167" i="76"/>
  <c r="E167" i="76"/>
  <c r="D167" i="76"/>
  <c r="Q167" i="76" s="1"/>
  <c r="C167" i="76"/>
  <c r="B167" i="76"/>
  <c r="A167" i="76"/>
  <c r="O166" i="76"/>
  <c r="K166" i="76"/>
  <c r="G166" i="76"/>
  <c r="E166" i="76"/>
  <c r="D166" i="76"/>
  <c r="Q166" i="76" s="1"/>
  <c r="C166" i="76"/>
  <c r="B166" i="76"/>
  <c r="A166" i="76"/>
  <c r="O165" i="76"/>
  <c r="K165" i="76"/>
  <c r="G165" i="76"/>
  <c r="E165" i="76"/>
  <c r="D165" i="76"/>
  <c r="Q165" i="76" s="1"/>
  <c r="C165" i="76"/>
  <c r="B165" i="76"/>
  <c r="A165" i="76"/>
  <c r="O172" i="76"/>
  <c r="O168" i="76"/>
  <c r="O164" i="76"/>
  <c r="O171" i="75"/>
  <c r="K171" i="75"/>
  <c r="G171" i="75"/>
  <c r="E171" i="75"/>
  <c r="D171" i="75"/>
  <c r="Q171" i="75" s="1"/>
  <c r="C171" i="75"/>
  <c r="B171" i="75"/>
  <c r="A171" i="75"/>
  <c r="O170" i="75"/>
  <c r="K170" i="75"/>
  <c r="G170" i="75"/>
  <c r="E170" i="75"/>
  <c r="D170" i="75"/>
  <c r="Q170" i="75" s="1"/>
  <c r="C170" i="75"/>
  <c r="B170" i="75"/>
  <c r="A170" i="75"/>
  <c r="O169" i="75"/>
  <c r="K169" i="75"/>
  <c r="G169" i="75"/>
  <c r="E169" i="75"/>
  <c r="D169" i="75"/>
  <c r="Q169" i="75" s="1"/>
  <c r="C169" i="75"/>
  <c r="B169" i="75"/>
  <c r="A169" i="75"/>
  <c r="O168" i="75"/>
  <c r="O167" i="75"/>
  <c r="K167" i="75"/>
  <c r="G167" i="75"/>
  <c r="E167" i="75"/>
  <c r="D167" i="75"/>
  <c r="Q167" i="75" s="1"/>
  <c r="C167" i="75"/>
  <c r="B167" i="75"/>
  <c r="A167" i="75"/>
  <c r="O166" i="75"/>
  <c r="K166" i="75"/>
  <c r="G166" i="75"/>
  <c r="E166" i="75"/>
  <c r="D166" i="75"/>
  <c r="Q166" i="75" s="1"/>
  <c r="C166" i="75"/>
  <c r="B166" i="75"/>
  <c r="A166" i="75"/>
  <c r="O165" i="75"/>
  <c r="K165" i="75"/>
  <c r="G165" i="75"/>
  <c r="E165" i="75"/>
  <c r="D165" i="75"/>
  <c r="Q165" i="75" s="1"/>
  <c r="C165" i="75"/>
  <c r="B165" i="75"/>
  <c r="A165" i="75"/>
  <c r="O172" i="75"/>
  <c r="O164" i="75"/>
  <c r="O171" i="74"/>
  <c r="K171" i="74"/>
  <c r="G171" i="74"/>
  <c r="E171" i="74"/>
  <c r="D171" i="74"/>
  <c r="Q171" i="74" s="1"/>
  <c r="C171" i="74"/>
  <c r="B171" i="74"/>
  <c r="A171" i="74"/>
  <c r="O170" i="74"/>
  <c r="K170" i="74"/>
  <c r="G170" i="74"/>
  <c r="E170" i="74"/>
  <c r="D170" i="74"/>
  <c r="Q170" i="74" s="1"/>
  <c r="C170" i="74"/>
  <c r="B170" i="74"/>
  <c r="A170" i="74"/>
  <c r="O169" i="74"/>
  <c r="K169" i="74"/>
  <c r="G169" i="74"/>
  <c r="E169" i="74"/>
  <c r="D169" i="74"/>
  <c r="Q169" i="74" s="1"/>
  <c r="C169" i="74"/>
  <c r="B169" i="74"/>
  <c r="A169" i="74"/>
  <c r="O168" i="74"/>
  <c r="K168" i="74"/>
  <c r="G168" i="74"/>
  <c r="E168" i="74"/>
  <c r="D168" i="74"/>
  <c r="Q168" i="74" s="1"/>
  <c r="C168" i="74"/>
  <c r="B168" i="74"/>
  <c r="A168" i="74"/>
  <c r="O167" i="74"/>
  <c r="K167" i="74"/>
  <c r="G167" i="74"/>
  <c r="E167" i="74"/>
  <c r="D167" i="74"/>
  <c r="Q167" i="74" s="1"/>
  <c r="C167" i="74"/>
  <c r="B167" i="74"/>
  <c r="A167" i="74"/>
  <c r="O166" i="74"/>
  <c r="K166" i="74"/>
  <c r="G166" i="74"/>
  <c r="E166" i="74"/>
  <c r="D166" i="74"/>
  <c r="Q166" i="74" s="1"/>
  <c r="C166" i="74"/>
  <c r="B166" i="74"/>
  <c r="A166" i="74"/>
  <c r="O165" i="74"/>
  <c r="K165" i="74"/>
  <c r="G165" i="74"/>
  <c r="E165" i="74"/>
  <c r="D165" i="74"/>
  <c r="Q165" i="74" s="1"/>
  <c r="C165" i="74"/>
  <c r="B165" i="74"/>
  <c r="A165" i="74"/>
  <c r="O172" i="74"/>
  <c r="O164" i="74"/>
  <c r="O171" i="73"/>
  <c r="K171" i="73"/>
  <c r="G171" i="73"/>
  <c r="E171" i="73"/>
  <c r="D171" i="73"/>
  <c r="Q171" i="73" s="1"/>
  <c r="C171" i="73"/>
  <c r="B171" i="73"/>
  <c r="A171" i="73"/>
  <c r="O170" i="73"/>
  <c r="K170" i="73"/>
  <c r="G170" i="73"/>
  <c r="E170" i="73"/>
  <c r="D170" i="73"/>
  <c r="Q170" i="73" s="1"/>
  <c r="C170" i="73"/>
  <c r="B170" i="73"/>
  <c r="A170" i="73"/>
  <c r="O169" i="73"/>
  <c r="K169" i="73"/>
  <c r="G169" i="73"/>
  <c r="E169" i="73"/>
  <c r="D169" i="73"/>
  <c r="Q169" i="73" s="1"/>
  <c r="C169" i="73"/>
  <c r="B169" i="73"/>
  <c r="A169" i="73"/>
  <c r="O168" i="73"/>
  <c r="A165" i="73"/>
  <c r="B165" i="73"/>
  <c r="C165" i="73"/>
  <c r="D165" i="73"/>
  <c r="Q165" i="73" s="1"/>
  <c r="E165" i="73"/>
  <c r="G165" i="73"/>
  <c r="K165" i="73"/>
  <c r="O165" i="73"/>
  <c r="A166" i="73"/>
  <c r="B166" i="73"/>
  <c r="C166" i="73"/>
  <c r="D166" i="73"/>
  <c r="Q166" i="73" s="1"/>
  <c r="E166" i="73"/>
  <c r="G166" i="73"/>
  <c r="K166" i="73"/>
  <c r="O166" i="73"/>
  <c r="A167" i="73"/>
  <c r="B167" i="73"/>
  <c r="C167" i="73"/>
  <c r="D167" i="73"/>
  <c r="Q167" i="73" s="1"/>
  <c r="E167" i="73"/>
  <c r="G167" i="73"/>
  <c r="K167" i="73"/>
  <c r="O167" i="73"/>
  <c r="O172" i="73"/>
  <c r="O164" i="73"/>
  <c r="O171" i="72"/>
  <c r="K171" i="72"/>
  <c r="G171" i="72"/>
  <c r="E171" i="72"/>
  <c r="D171" i="72"/>
  <c r="Q171" i="72" s="1"/>
  <c r="C171" i="72"/>
  <c r="B171" i="72"/>
  <c r="A171" i="72"/>
  <c r="O170" i="72"/>
  <c r="K170" i="72"/>
  <c r="G170" i="72"/>
  <c r="E170" i="72"/>
  <c r="D170" i="72"/>
  <c r="Q170" i="72" s="1"/>
  <c r="C170" i="72"/>
  <c r="B170" i="72"/>
  <c r="A170" i="72"/>
  <c r="O169" i="72"/>
  <c r="K169" i="72"/>
  <c r="G169" i="72"/>
  <c r="E169" i="72"/>
  <c r="D169" i="72"/>
  <c r="Q169" i="72" s="1"/>
  <c r="C169" i="72"/>
  <c r="B169" i="72"/>
  <c r="A169" i="72"/>
  <c r="O172" i="72"/>
  <c r="O165" i="72"/>
  <c r="O166" i="72"/>
  <c r="O167" i="72"/>
  <c r="O168" i="72"/>
  <c r="O164" i="72"/>
  <c r="K167" i="72"/>
  <c r="G167" i="72"/>
  <c r="E167" i="72"/>
  <c r="D167" i="72"/>
  <c r="Q167" i="72" s="1"/>
  <c r="C167" i="72"/>
  <c r="B167" i="72"/>
  <c r="A167" i="72"/>
  <c r="K166" i="72"/>
  <c r="G166" i="72"/>
  <c r="E166" i="72"/>
  <c r="D166" i="72"/>
  <c r="Q166" i="72" s="1"/>
  <c r="C166" i="72"/>
  <c r="B166" i="72"/>
  <c r="A166" i="72"/>
  <c r="K165" i="72"/>
  <c r="G165" i="72"/>
  <c r="E165" i="72"/>
  <c r="D165" i="72"/>
  <c r="Q165" i="72" s="1"/>
  <c r="C165" i="72"/>
  <c r="B165" i="72"/>
  <c r="A165" i="72"/>
  <c r="E171" i="57"/>
  <c r="F171" i="57" s="1"/>
  <c r="D171" i="57"/>
  <c r="C171" i="57"/>
  <c r="B171" i="57"/>
  <c r="A171" i="57"/>
  <c r="E170" i="57"/>
  <c r="F170" i="57" s="1"/>
  <c r="D170" i="57"/>
  <c r="C170" i="57"/>
  <c r="B170" i="57"/>
  <c r="A170" i="57"/>
  <c r="E169" i="57"/>
  <c r="F169" i="57" s="1"/>
  <c r="D169" i="57"/>
  <c r="C169" i="57"/>
  <c r="B169" i="57"/>
  <c r="A169" i="57"/>
  <c r="A165" i="57"/>
  <c r="B165" i="57"/>
  <c r="C165" i="57"/>
  <c r="D165" i="57"/>
  <c r="E165" i="57"/>
  <c r="F165" i="57" s="1"/>
  <c r="A166" i="57"/>
  <c r="B166" i="57"/>
  <c r="C166" i="57"/>
  <c r="D166" i="57"/>
  <c r="E166" i="57"/>
  <c r="F166" i="57" s="1"/>
  <c r="A167" i="57"/>
  <c r="B167" i="57"/>
  <c r="C167" i="57"/>
  <c r="D167" i="57"/>
  <c r="E167" i="57"/>
  <c r="F167" i="57"/>
  <c r="A154" i="78"/>
  <c r="B154" i="78"/>
  <c r="C154" i="78"/>
  <c r="D154" i="78"/>
  <c r="Q154" i="78" s="1"/>
  <c r="E154" i="78"/>
  <c r="G154" i="78"/>
  <c r="K154" i="78"/>
  <c r="O154" i="78"/>
  <c r="A155" i="78"/>
  <c r="B155" i="78"/>
  <c r="C155" i="78"/>
  <c r="D155" i="78"/>
  <c r="Q155" i="78" s="1"/>
  <c r="E155" i="78"/>
  <c r="G155" i="78"/>
  <c r="K155" i="78"/>
  <c r="O155" i="78"/>
  <c r="A156" i="78"/>
  <c r="B156" i="78"/>
  <c r="C156" i="78"/>
  <c r="D156" i="78"/>
  <c r="Q156" i="78" s="1"/>
  <c r="E156" i="78"/>
  <c r="G156" i="78"/>
  <c r="K156" i="78"/>
  <c r="O156" i="78"/>
  <c r="A157" i="78"/>
  <c r="B157" i="78"/>
  <c r="C157" i="78"/>
  <c r="D157" i="78"/>
  <c r="Q157" i="78" s="1"/>
  <c r="E157" i="78"/>
  <c r="G157" i="78"/>
  <c r="K157" i="78"/>
  <c r="O157" i="78"/>
  <c r="A158" i="78"/>
  <c r="B158" i="78"/>
  <c r="C158" i="78"/>
  <c r="D158" i="78"/>
  <c r="Q158" i="78" s="1"/>
  <c r="E158" i="78"/>
  <c r="G158" i="78"/>
  <c r="K158" i="78"/>
  <c r="O158" i="78"/>
  <c r="A159" i="78"/>
  <c r="B159" i="78"/>
  <c r="C159" i="78"/>
  <c r="D159" i="78"/>
  <c r="Q159" i="78" s="1"/>
  <c r="E159" i="78"/>
  <c r="G159" i="78"/>
  <c r="K159" i="78"/>
  <c r="O159" i="78"/>
  <c r="A160" i="78"/>
  <c r="B160" i="78"/>
  <c r="C160" i="78"/>
  <c r="D160" i="78"/>
  <c r="Q160" i="78" s="1"/>
  <c r="E160" i="78"/>
  <c r="G160" i="78"/>
  <c r="K160" i="78"/>
  <c r="O160" i="78"/>
  <c r="A161" i="78"/>
  <c r="B161" i="78"/>
  <c r="C161" i="78"/>
  <c r="D161" i="78"/>
  <c r="Q161" i="78" s="1"/>
  <c r="E161" i="78"/>
  <c r="G161" i="78"/>
  <c r="K161" i="78"/>
  <c r="O161" i="78"/>
  <c r="A154" i="77"/>
  <c r="B154" i="77"/>
  <c r="C154" i="77"/>
  <c r="D154" i="77"/>
  <c r="Q154" i="77" s="1"/>
  <c r="E154" i="77"/>
  <c r="G154" i="77"/>
  <c r="K154" i="77"/>
  <c r="O154" i="77"/>
  <c r="A155" i="77"/>
  <c r="B155" i="77"/>
  <c r="C155" i="77"/>
  <c r="D155" i="77"/>
  <c r="Q155" i="77" s="1"/>
  <c r="E155" i="77"/>
  <c r="G155" i="77"/>
  <c r="K155" i="77"/>
  <c r="O155" i="77"/>
  <c r="A156" i="77"/>
  <c r="B156" i="77"/>
  <c r="C156" i="77"/>
  <c r="D156" i="77"/>
  <c r="Q156" i="77" s="1"/>
  <c r="E156" i="77"/>
  <c r="G156" i="77"/>
  <c r="K156" i="77"/>
  <c r="O156" i="77"/>
  <c r="A157" i="77"/>
  <c r="B157" i="77"/>
  <c r="C157" i="77"/>
  <c r="D157" i="77"/>
  <c r="Q157" i="77" s="1"/>
  <c r="E157" i="77"/>
  <c r="G157" i="77"/>
  <c r="K157" i="77"/>
  <c r="O157" i="77"/>
  <c r="A158" i="77"/>
  <c r="B158" i="77"/>
  <c r="C158" i="77"/>
  <c r="D158" i="77"/>
  <c r="Q158" i="77" s="1"/>
  <c r="E158" i="77"/>
  <c r="G158" i="77"/>
  <c r="K158" i="77"/>
  <c r="O158" i="77"/>
  <c r="A159" i="77"/>
  <c r="B159" i="77"/>
  <c r="C159" i="77"/>
  <c r="D159" i="77"/>
  <c r="Q159" i="77" s="1"/>
  <c r="E159" i="77"/>
  <c r="G159" i="77"/>
  <c r="K159" i="77"/>
  <c r="O159" i="77"/>
  <c r="A160" i="77"/>
  <c r="B160" i="77"/>
  <c r="C160" i="77"/>
  <c r="D160" i="77"/>
  <c r="Q160" i="77" s="1"/>
  <c r="E160" i="77"/>
  <c r="G160" i="77"/>
  <c r="K160" i="77"/>
  <c r="O160" i="77"/>
  <c r="A161" i="77"/>
  <c r="B161" i="77"/>
  <c r="C161" i="77"/>
  <c r="D161" i="77"/>
  <c r="Q161" i="77" s="1"/>
  <c r="E161" i="77"/>
  <c r="G161" i="77"/>
  <c r="K161" i="77"/>
  <c r="O161" i="77"/>
  <c r="A154" i="76"/>
  <c r="B154" i="76"/>
  <c r="C154" i="76"/>
  <c r="D154" i="76"/>
  <c r="Q154" i="76" s="1"/>
  <c r="E154" i="76"/>
  <c r="G154" i="76"/>
  <c r="K154" i="76"/>
  <c r="O154" i="76"/>
  <c r="A155" i="76"/>
  <c r="B155" i="76"/>
  <c r="C155" i="76"/>
  <c r="D155" i="76"/>
  <c r="Q155" i="76" s="1"/>
  <c r="E155" i="76"/>
  <c r="G155" i="76"/>
  <c r="K155" i="76"/>
  <c r="O155" i="76"/>
  <c r="A156" i="76"/>
  <c r="B156" i="76"/>
  <c r="C156" i="76"/>
  <c r="D156" i="76"/>
  <c r="Q156" i="76" s="1"/>
  <c r="E156" i="76"/>
  <c r="G156" i="76"/>
  <c r="K156" i="76"/>
  <c r="O156" i="76"/>
  <c r="A157" i="76"/>
  <c r="B157" i="76"/>
  <c r="C157" i="76"/>
  <c r="D157" i="76"/>
  <c r="Q157" i="76" s="1"/>
  <c r="E157" i="76"/>
  <c r="G157" i="76"/>
  <c r="K157" i="76"/>
  <c r="O157" i="76"/>
  <c r="A158" i="76"/>
  <c r="B158" i="76"/>
  <c r="C158" i="76"/>
  <c r="D158" i="76"/>
  <c r="Q158" i="76" s="1"/>
  <c r="E158" i="76"/>
  <c r="G158" i="76"/>
  <c r="K158" i="76"/>
  <c r="O158" i="76"/>
  <c r="A159" i="76"/>
  <c r="B159" i="76"/>
  <c r="C159" i="76"/>
  <c r="D159" i="76"/>
  <c r="Q159" i="76" s="1"/>
  <c r="E159" i="76"/>
  <c r="G159" i="76"/>
  <c r="K159" i="76"/>
  <c r="O159" i="76"/>
  <c r="A160" i="76"/>
  <c r="B160" i="76"/>
  <c r="C160" i="76"/>
  <c r="D160" i="76"/>
  <c r="Q160" i="76" s="1"/>
  <c r="E160" i="76"/>
  <c r="G160" i="76"/>
  <c r="K160" i="76"/>
  <c r="O160" i="76"/>
  <c r="A161" i="76"/>
  <c r="B161" i="76"/>
  <c r="C161" i="76"/>
  <c r="D161" i="76"/>
  <c r="Q161" i="76" s="1"/>
  <c r="E161" i="76"/>
  <c r="G161" i="76"/>
  <c r="K161" i="76"/>
  <c r="O161" i="76"/>
  <c r="A154" i="75"/>
  <c r="B154" i="75"/>
  <c r="C154" i="75"/>
  <c r="D154" i="75"/>
  <c r="Q154" i="75" s="1"/>
  <c r="E154" i="75"/>
  <c r="G154" i="75"/>
  <c r="K154" i="75"/>
  <c r="O154" i="75"/>
  <c r="A155" i="75"/>
  <c r="B155" i="75"/>
  <c r="C155" i="75"/>
  <c r="D155" i="75"/>
  <c r="Q155" i="75" s="1"/>
  <c r="E155" i="75"/>
  <c r="G155" i="75"/>
  <c r="K155" i="75"/>
  <c r="O155" i="75"/>
  <c r="A156" i="75"/>
  <c r="B156" i="75"/>
  <c r="C156" i="75"/>
  <c r="D156" i="75"/>
  <c r="Q156" i="75" s="1"/>
  <c r="E156" i="75"/>
  <c r="G156" i="75"/>
  <c r="K156" i="75"/>
  <c r="O156" i="75"/>
  <c r="A157" i="75"/>
  <c r="B157" i="75"/>
  <c r="C157" i="75"/>
  <c r="D157" i="75"/>
  <c r="Q157" i="75" s="1"/>
  <c r="E157" i="75"/>
  <c r="G157" i="75"/>
  <c r="K157" i="75"/>
  <c r="O157" i="75"/>
  <c r="A158" i="75"/>
  <c r="B158" i="75"/>
  <c r="C158" i="75"/>
  <c r="D158" i="75"/>
  <c r="Q158" i="75" s="1"/>
  <c r="E158" i="75"/>
  <c r="G158" i="75"/>
  <c r="K158" i="75"/>
  <c r="O158" i="75"/>
  <c r="A159" i="75"/>
  <c r="B159" i="75"/>
  <c r="C159" i="75"/>
  <c r="D159" i="75"/>
  <c r="Q159" i="75" s="1"/>
  <c r="E159" i="75"/>
  <c r="G159" i="75"/>
  <c r="K159" i="75"/>
  <c r="O159" i="75"/>
  <c r="A160" i="75"/>
  <c r="B160" i="75"/>
  <c r="C160" i="75"/>
  <c r="D160" i="75"/>
  <c r="Q160" i="75" s="1"/>
  <c r="E160" i="75"/>
  <c r="G160" i="75"/>
  <c r="K160" i="75"/>
  <c r="O160" i="75"/>
  <c r="A161" i="75"/>
  <c r="B161" i="75"/>
  <c r="C161" i="75"/>
  <c r="D161" i="75"/>
  <c r="Q161" i="75" s="1"/>
  <c r="E161" i="75"/>
  <c r="G161" i="75"/>
  <c r="K161" i="75"/>
  <c r="O161" i="75"/>
  <c r="A154" i="74"/>
  <c r="B154" i="74"/>
  <c r="C154" i="74"/>
  <c r="D154" i="74"/>
  <c r="Q154" i="74" s="1"/>
  <c r="E154" i="74"/>
  <c r="G154" i="74"/>
  <c r="K154" i="74"/>
  <c r="O154" i="74"/>
  <c r="A155" i="74"/>
  <c r="B155" i="74"/>
  <c r="C155" i="74"/>
  <c r="D155" i="74"/>
  <c r="Q155" i="74" s="1"/>
  <c r="E155" i="74"/>
  <c r="G155" i="74"/>
  <c r="K155" i="74"/>
  <c r="O155" i="74"/>
  <c r="A156" i="74"/>
  <c r="B156" i="74"/>
  <c r="C156" i="74"/>
  <c r="D156" i="74"/>
  <c r="Q156" i="74" s="1"/>
  <c r="E156" i="74"/>
  <c r="G156" i="74"/>
  <c r="K156" i="74"/>
  <c r="O156" i="74"/>
  <c r="A157" i="74"/>
  <c r="B157" i="74"/>
  <c r="C157" i="74"/>
  <c r="D157" i="74"/>
  <c r="Q157" i="74" s="1"/>
  <c r="E157" i="74"/>
  <c r="G157" i="74"/>
  <c r="K157" i="74"/>
  <c r="O157" i="74"/>
  <c r="A158" i="74"/>
  <c r="B158" i="74"/>
  <c r="C158" i="74"/>
  <c r="D158" i="74"/>
  <c r="Q158" i="74" s="1"/>
  <c r="E158" i="74"/>
  <c r="G158" i="74"/>
  <c r="K158" i="74"/>
  <c r="O158" i="74"/>
  <c r="A159" i="74"/>
  <c r="B159" i="74"/>
  <c r="C159" i="74"/>
  <c r="D159" i="74"/>
  <c r="Q159" i="74" s="1"/>
  <c r="E159" i="74"/>
  <c r="G159" i="74"/>
  <c r="K159" i="74"/>
  <c r="O159" i="74"/>
  <c r="A160" i="74"/>
  <c r="B160" i="74"/>
  <c r="C160" i="74"/>
  <c r="D160" i="74"/>
  <c r="Q160" i="74" s="1"/>
  <c r="E160" i="74"/>
  <c r="G160" i="74"/>
  <c r="K160" i="74"/>
  <c r="O160" i="74"/>
  <c r="A161" i="74"/>
  <c r="B161" i="74"/>
  <c r="C161" i="74"/>
  <c r="D161" i="74"/>
  <c r="Q161" i="74" s="1"/>
  <c r="E161" i="74"/>
  <c r="G161" i="74"/>
  <c r="K161" i="74"/>
  <c r="O161" i="74"/>
  <c r="A154" i="73"/>
  <c r="B154" i="73"/>
  <c r="C154" i="73"/>
  <c r="D154" i="73"/>
  <c r="Q154" i="73" s="1"/>
  <c r="E154" i="73"/>
  <c r="G154" i="73"/>
  <c r="K154" i="73"/>
  <c r="O154" i="73"/>
  <c r="A155" i="73"/>
  <c r="B155" i="73"/>
  <c r="C155" i="73"/>
  <c r="D155" i="73"/>
  <c r="Q155" i="73" s="1"/>
  <c r="E155" i="73"/>
  <c r="G155" i="73"/>
  <c r="K155" i="73"/>
  <c r="O155" i="73"/>
  <c r="A156" i="73"/>
  <c r="B156" i="73"/>
  <c r="C156" i="73"/>
  <c r="D156" i="73"/>
  <c r="Q156" i="73" s="1"/>
  <c r="E156" i="73"/>
  <c r="G156" i="73"/>
  <c r="K156" i="73"/>
  <c r="O156" i="73"/>
  <c r="A157" i="73"/>
  <c r="B157" i="73"/>
  <c r="C157" i="73"/>
  <c r="D157" i="73"/>
  <c r="Q157" i="73" s="1"/>
  <c r="E157" i="73"/>
  <c r="G157" i="73"/>
  <c r="K157" i="73"/>
  <c r="O157" i="73"/>
  <c r="A158" i="73"/>
  <c r="B158" i="73"/>
  <c r="C158" i="73"/>
  <c r="D158" i="73"/>
  <c r="Q158" i="73" s="1"/>
  <c r="E158" i="73"/>
  <c r="G158" i="73"/>
  <c r="K158" i="73"/>
  <c r="O158" i="73"/>
  <c r="A159" i="73"/>
  <c r="B159" i="73"/>
  <c r="C159" i="73"/>
  <c r="D159" i="73"/>
  <c r="Q159" i="73" s="1"/>
  <c r="E159" i="73"/>
  <c r="G159" i="73"/>
  <c r="K159" i="73"/>
  <c r="O159" i="73"/>
  <c r="A160" i="73"/>
  <c r="B160" i="73"/>
  <c r="C160" i="73"/>
  <c r="D160" i="73"/>
  <c r="Q160" i="73" s="1"/>
  <c r="E160" i="73"/>
  <c r="G160" i="73"/>
  <c r="K160" i="73"/>
  <c r="O160" i="73"/>
  <c r="A161" i="73"/>
  <c r="B161" i="73"/>
  <c r="C161" i="73"/>
  <c r="D161" i="73"/>
  <c r="Q161" i="73" s="1"/>
  <c r="E161" i="73"/>
  <c r="G161" i="73"/>
  <c r="K161" i="73"/>
  <c r="O161" i="73"/>
  <c r="A154" i="72"/>
  <c r="B154" i="72"/>
  <c r="C154" i="72"/>
  <c r="D154" i="72"/>
  <c r="Q154" i="72" s="1"/>
  <c r="E154" i="72"/>
  <c r="G154" i="72"/>
  <c r="K154" i="72"/>
  <c r="O154" i="72"/>
  <c r="A155" i="72"/>
  <c r="B155" i="72"/>
  <c r="C155" i="72"/>
  <c r="D155" i="72"/>
  <c r="Q155" i="72" s="1"/>
  <c r="E155" i="72"/>
  <c r="G155" i="72"/>
  <c r="K155" i="72"/>
  <c r="O155" i="72"/>
  <c r="A156" i="72"/>
  <c r="B156" i="72"/>
  <c r="C156" i="72"/>
  <c r="D156" i="72"/>
  <c r="Q156" i="72" s="1"/>
  <c r="E156" i="72"/>
  <c r="G156" i="72"/>
  <c r="K156" i="72"/>
  <c r="O156" i="72"/>
  <c r="A157" i="72"/>
  <c r="B157" i="72"/>
  <c r="C157" i="72"/>
  <c r="D157" i="72"/>
  <c r="Q157" i="72" s="1"/>
  <c r="E157" i="72"/>
  <c r="G157" i="72"/>
  <c r="K157" i="72"/>
  <c r="O157" i="72"/>
  <c r="A158" i="72"/>
  <c r="B158" i="72"/>
  <c r="C158" i="72"/>
  <c r="D158" i="72"/>
  <c r="Q158" i="72" s="1"/>
  <c r="E158" i="72"/>
  <c r="G158" i="72"/>
  <c r="K158" i="72"/>
  <c r="O158" i="72"/>
  <c r="A159" i="72"/>
  <c r="B159" i="72"/>
  <c r="C159" i="72"/>
  <c r="D159" i="72"/>
  <c r="Q159" i="72" s="1"/>
  <c r="E159" i="72"/>
  <c r="G159" i="72"/>
  <c r="K159" i="72"/>
  <c r="O159" i="72"/>
  <c r="A160" i="72"/>
  <c r="B160" i="72"/>
  <c r="C160" i="72"/>
  <c r="D160" i="72"/>
  <c r="Q160" i="72" s="1"/>
  <c r="E160" i="72"/>
  <c r="G160" i="72"/>
  <c r="K160" i="72"/>
  <c r="O160" i="72"/>
  <c r="A161" i="72"/>
  <c r="B161" i="72"/>
  <c r="C161" i="72"/>
  <c r="D161" i="72"/>
  <c r="Q161" i="72" s="1"/>
  <c r="E161" i="72"/>
  <c r="G161" i="72"/>
  <c r="K161" i="72"/>
  <c r="O161" i="72"/>
  <c r="A154" i="57"/>
  <c r="B154" i="57"/>
  <c r="C154" i="57"/>
  <c r="D154" i="57"/>
  <c r="E154" i="57"/>
  <c r="F154" i="57" s="1"/>
  <c r="A155" i="57"/>
  <c r="B155" i="57"/>
  <c r="C155" i="57"/>
  <c r="D155" i="57"/>
  <c r="E155" i="57"/>
  <c r="F155" i="57" s="1"/>
  <c r="A156" i="57"/>
  <c r="B156" i="57"/>
  <c r="C156" i="57"/>
  <c r="D156" i="57"/>
  <c r="E156" i="57"/>
  <c r="F156" i="57" s="1"/>
  <c r="A157" i="57"/>
  <c r="B157" i="57"/>
  <c r="C157" i="57"/>
  <c r="D157" i="57"/>
  <c r="E157" i="57"/>
  <c r="F157" i="57" s="1"/>
  <c r="A158" i="57"/>
  <c r="B158" i="57"/>
  <c r="C158" i="57"/>
  <c r="D158" i="57"/>
  <c r="E158" i="57"/>
  <c r="F158" i="57" s="1"/>
  <c r="A159" i="57"/>
  <c r="B159" i="57"/>
  <c r="C159" i="57"/>
  <c r="D159" i="57"/>
  <c r="E159" i="57"/>
  <c r="F159" i="57" s="1"/>
  <c r="A160" i="57"/>
  <c r="B160" i="57"/>
  <c r="C160" i="57"/>
  <c r="D160" i="57"/>
  <c r="E160" i="57"/>
  <c r="F160" i="57" s="1"/>
  <c r="A161" i="57"/>
  <c r="B161" i="57"/>
  <c r="C161" i="57"/>
  <c r="D161" i="57"/>
  <c r="E161" i="57"/>
  <c r="F161" i="57" s="1"/>
  <c r="A143" i="78"/>
  <c r="B143" i="78"/>
  <c r="C143" i="78"/>
  <c r="D143" i="78"/>
  <c r="Q143" i="78" s="1"/>
  <c r="E143" i="78"/>
  <c r="G143" i="78"/>
  <c r="K143" i="78"/>
  <c r="O143" i="78"/>
  <c r="A144" i="78"/>
  <c r="B144" i="78"/>
  <c r="C144" i="78"/>
  <c r="D144" i="78"/>
  <c r="Q144" i="78" s="1"/>
  <c r="E144" i="78"/>
  <c r="G144" i="78"/>
  <c r="K144" i="78"/>
  <c r="O144" i="78"/>
  <c r="A145" i="78"/>
  <c r="B145" i="78"/>
  <c r="C145" i="78"/>
  <c r="D145" i="78"/>
  <c r="Q145" i="78" s="1"/>
  <c r="E145" i="78"/>
  <c r="G145" i="78"/>
  <c r="K145" i="78"/>
  <c r="O145" i="78"/>
  <c r="A146" i="78"/>
  <c r="B146" i="78"/>
  <c r="C146" i="78"/>
  <c r="D146" i="78"/>
  <c r="Q146" i="78" s="1"/>
  <c r="E146" i="78"/>
  <c r="G146" i="78"/>
  <c r="K146" i="78"/>
  <c r="O146" i="78"/>
  <c r="A147" i="78"/>
  <c r="B147" i="78"/>
  <c r="C147" i="78"/>
  <c r="D147" i="78"/>
  <c r="Q147" i="78" s="1"/>
  <c r="E147" i="78"/>
  <c r="G147" i="78"/>
  <c r="K147" i="78"/>
  <c r="O147" i="78"/>
  <c r="A148" i="78"/>
  <c r="B148" i="78"/>
  <c r="C148" i="78"/>
  <c r="D148" i="78"/>
  <c r="Q148" i="78" s="1"/>
  <c r="E148" i="78"/>
  <c r="G148" i="78"/>
  <c r="K148" i="78"/>
  <c r="O148" i="78"/>
  <c r="A149" i="78"/>
  <c r="B149" i="78"/>
  <c r="C149" i="78"/>
  <c r="D149" i="78"/>
  <c r="Q149" i="78" s="1"/>
  <c r="E149" i="78"/>
  <c r="G149" i="78"/>
  <c r="K149" i="78"/>
  <c r="O149" i="78"/>
  <c r="A150" i="78"/>
  <c r="B150" i="78"/>
  <c r="C150" i="78"/>
  <c r="D150" i="78"/>
  <c r="Q150" i="78" s="1"/>
  <c r="E150" i="78"/>
  <c r="G150" i="78"/>
  <c r="K150" i="78"/>
  <c r="O150" i="78"/>
  <c r="A143" i="77"/>
  <c r="B143" i="77"/>
  <c r="C143" i="77"/>
  <c r="D143" i="77"/>
  <c r="Q143" i="77" s="1"/>
  <c r="E143" i="77"/>
  <c r="G143" i="77"/>
  <c r="K143" i="77"/>
  <c r="O143" i="77"/>
  <c r="A144" i="77"/>
  <c r="B144" i="77"/>
  <c r="C144" i="77"/>
  <c r="D144" i="77"/>
  <c r="Q144" i="77" s="1"/>
  <c r="E144" i="77"/>
  <c r="G144" i="77"/>
  <c r="K144" i="77"/>
  <c r="O144" i="77"/>
  <c r="A145" i="77"/>
  <c r="B145" i="77"/>
  <c r="C145" i="77"/>
  <c r="D145" i="77"/>
  <c r="Q145" i="77" s="1"/>
  <c r="E145" i="77"/>
  <c r="G145" i="77"/>
  <c r="K145" i="77"/>
  <c r="O145" i="77"/>
  <c r="A146" i="77"/>
  <c r="B146" i="77"/>
  <c r="C146" i="77"/>
  <c r="D146" i="77"/>
  <c r="Q146" i="77" s="1"/>
  <c r="E146" i="77"/>
  <c r="G146" i="77"/>
  <c r="K146" i="77"/>
  <c r="O146" i="77"/>
  <c r="A147" i="77"/>
  <c r="B147" i="77"/>
  <c r="C147" i="77"/>
  <c r="D147" i="77"/>
  <c r="Q147" i="77" s="1"/>
  <c r="E147" i="77"/>
  <c r="G147" i="77"/>
  <c r="K147" i="77"/>
  <c r="O147" i="77"/>
  <c r="A148" i="77"/>
  <c r="B148" i="77"/>
  <c r="C148" i="77"/>
  <c r="D148" i="77"/>
  <c r="Q148" i="77" s="1"/>
  <c r="E148" i="77"/>
  <c r="G148" i="77"/>
  <c r="K148" i="77"/>
  <c r="O148" i="77"/>
  <c r="A149" i="77"/>
  <c r="B149" i="77"/>
  <c r="C149" i="77"/>
  <c r="D149" i="77"/>
  <c r="Q149" i="77" s="1"/>
  <c r="E149" i="77"/>
  <c r="G149" i="77"/>
  <c r="K149" i="77"/>
  <c r="O149" i="77"/>
  <c r="A150" i="77"/>
  <c r="B150" i="77"/>
  <c r="C150" i="77"/>
  <c r="D150" i="77"/>
  <c r="Q150" i="77" s="1"/>
  <c r="E150" i="77"/>
  <c r="G150" i="77"/>
  <c r="K150" i="77"/>
  <c r="O150" i="77"/>
  <c r="A143" i="76"/>
  <c r="B143" i="76"/>
  <c r="C143" i="76"/>
  <c r="D143" i="76"/>
  <c r="Q143" i="76" s="1"/>
  <c r="E143" i="76"/>
  <c r="G143" i="76"/>
  <c r="K143" i="76"/>
  <c r="O143" i="76"/>
  <c r="A144" i="76"/>
  <c r="B144" i="76"/>
  <c r="C144" i="76"/>
  <c r="D144" i="76"/>
  <c r="Q144" i="76" s="1"/>
  <c r="E144" i="76"/>
  <c r="G144" i="76"/>
  <c r="K144" i="76"/>
  <c r="O144" i="76"/>
  <c r="A145" i="76"/>
  <c r="B145" i="76"/>
  <c r="C145" i="76"/>
  <c r="D145" i="76"/>
  <c r="Q145" i="76" s="1"/>
  <c r="E145" i="76"/>
  <c r="G145" i="76"/>
  <c r="K145" i="76"/>
  <c r="O145" i="76"/>
  <c r="A146" i="76"/>
  <c r="B146" i="76"/>
  <c r="C146" i="76"/>
  <c r="D146" i="76"/>
  <c r="Q146" i="76" s="1"/>
  <c r="E146" i="76"/>
  <c r="G146" i="76"/>
  <c r="K146" i="76"/>
  <c r="O146" i="76"/>
  <c r="A147" i="76"/>
  <c r="B147" i="76"/>
  <c r="C147" i="76"/>
  <c r="D147" i="76"/>
  <c r="Q147" i="76" s="1"/>
  <c r="E147" i="76"/>
  <c r="G147" i="76"/>
  <c r="K147" i="76"/>
  <c r="O147" i="76"/>
  <c r="A148" i="76"/>
  <c r="B148" i="76"/>
  <c r="C148" i="76"/>
  <c r="D148" i="76"/>
  <c r="Q148" i="76" s="1"/>
  <c r="E148" i="76"/>
  <c r="G148" i="76"/>
  <c r="K148" i="76"/>
  <c r="O148" i="76"/>
  <c r="A149" i="76"/>
  <c r="B149" i="76"/>
  <c r="C149" i="76"/>
  <c r="D149" i="76"/>
  <c r="Q149" i="76" s="1"/>
  <c r="E149" i="76"/>
  <c r="G149" i="76"/>
  <c r="K149" i="76"/>
  <c r="O149" i="76"/>
  <c r="A150" i="76"/>
  <c r="B150" i="76"/>
  <c r="C150" i="76"/>
  <c r="D150" i="76"/>
  <c r="Q150" i="76" s="1"/>
  <c r="E150" i="76"/>
  <c r="G150" i="76"/>
  <c r="K150" i="76"/>
  <c r="O150" i="76"/>
  <c r="A143" i="75"/>
  <c r="B143" i="75"/>
  <c r="C143" i="75"/>
  <c r="D143" i="75"/>
  <c r="Q143" i="75" s="1"/>
  <c r="E143" i="75"/>
  <c r="G143" i="75"/>
  <c r="K143" i="75"/>
  <c r="O143" i="75"/>
  <c r="A144" i="75"/>
  <c r="B144" i="75"/>
  <c r="C144" i="75"/>
  <c r="D144" i="75"/>
  <c r="Q144" i="75" s="1"/>
  <c r="E144" i="75"/>
  <c r="G144" i="75"/>
  <c r="K144" i="75"/>
  <c r="O144" i="75"/>
  <c r="A145" i="75"/>
  <c r="B145" i="75"/>
  <c r="C145" i="75"/>
  <c r="D145" i="75"/>
  <c r="Q145" i="75" s="1"/>
  <c r="E145" i="75"/>
  <c r="G145" i="75"/>
  <c r="K145" i="75"/>
  <c r="O145" i="75"/>
  <c r="A146" i="75"/>
  <c r="B146" i="75"/>
  <c r="C146" i="75"/>
  <c r="D146" i="75"/>
  <c r="Q146" i="75" s="1"/>
  <c r="E146" i="75"/>
  <c r="G146" i="75"/>
  <c r="K146" i="75"/>
  <c r="O146" i="75"/>
  <c r="A147" i="75"/>
  <c r="B147" i="75"/>
  <c r="C147" i="75"/>
  <c r="D147" i="75"/>
  <c r="Q147" i="75" s="1"/>
  <c r="E147" i="75"/>
  <c r="G147" i="75"/>
  <c r="K147" i="75"/>
  <c r="O147" i="75"/>
  <c r="A148" i="75"/>
  <c r="B148" i="75"/>
  <c r="C148" i="75"/>
  <c r="D148" i="75"/>
  <c r="Q148" i="75" s="1"/>
  <c r="E148" i="75"/>
  <c r="G148" i="75"/>
  <c r="K148" i="75"/>
  <c r="O148" i="75"/>
  <c r="A149" i="75"/>
  <c r="B149" i="75"/>
  <c r="C149" i="75"/>
  <c r="D149" i="75"/>
  <c r="Q149" i="75" s="1"/>
  <c r="E149" i="75"/>
  <c r="G149" i="75"/>
  <c r="K149" i="75"/>
  <c r="O149" i="75"/>
  <c r="A150" i="75"/>
  <c r="B150" i="75"/>
  <c r="C150" i="75"/>
  <c r="D150" i="75"/>
  <c r="Q150" i="75" s="1"/>
  <c r="E150" i="75"/>
  <c r="G150" i="75"/>
  <c r="K150" i="75"/>
  <c r="O150" i="75"/>
  <c r="A143" i="74"/>
  <c r="B143" i="74"/>
  <c r="C143" i="74"/>
  <c r="D143" i="74"/>
  <c r="Q143" i="74" s="1"/>
  <c r="E143" i="74"/>
  <c r="G143" i="74"/>
  <c r="K143" i="74"/>
  <c r="O143" i="74"/>
  <c r="A144" i="74"/>
  <c r="B144" i="74"/>
  <c r="C144" i="74"/>
  <c r="D144" i="74"/>
  <c r="Q144" i="74" s="1"/>
  <c r="E144" i="74"/>
  <c r="G144" i="74"/>
  <c r="K144" i="74"/>
  <c r="O144" i="74"/>
  <c r="A145" i="74"/>
  <c r="B145" i="74"/>
  <c r="C145" i="74"/>
  <c r="D145" i="74"/>
  <c r="Q145" i="74" s="1"/>
  <c r="E145" i="74"/>
  <c r="G145" i="74"/>
  <c r="K145" i="74"/>
  <c r="O145" i="74"/>
  <c r="A146" i="74"/>
  <c r="B146" i="74"/>
  <c r="C146" i="74"/>
  <c r="D146" i="74"/>
  <c r="Q146" i="74" s="1"/>
  <c r="E146" i="74"/>
  <c r="G146" i="74"/>
  <c r="K146" i="74"/>
  <c r="O146" i="74"/>
  <c r="A147" i="74"/>
  <c r="B147" i="74"/>
  <c r="C147" i="74"/>
  <c r="D147" i="74"/>
  <c r="Q147" i="74" s="1"/>
  <c r="E147" i="74"/>
  <c r="G147" i="74"/>
  <c r="K147" i="74"/>
  <c r="O147" i="74"/>
  <c r="A148" i="74"/>
  <c r="B148" i="74"/>
  <c r="C148" i="74"/>
  <c r="D148" i="74"/>
  <c r="Q148" i="74" s="1"/>
  <c r="E148" i="74"/>
  <c r="G148" i="74"/>
  <c r="K148" i="74"/>
  <c r="O148" i="74"/>
  <c r="A149" i="74"/>
  <c r="B149" i="74"/>
  <c r="C149" i="74"/>
  <c r="D149" i="74"/>
  <c r="Q149" i="74" s="1"/>
  <c r="E149" i="74"/>
  <c r="G149" i="74"/>
  <c r="K149" i="74"/>
  <c r="O149" i="74"/>
  <c r="A150" i="74"/>
  <c r="B150" i="74"/>
  <c r="C150" i="74"/>
  <c r="D150" i="74"/>
  <c r="Q150" i="74" s="1"/>
  <c r="E150" i="74"/>
  <c r="G150" i="74"/>
  <c r="K150" i="74"/>
  <c r="O150" i="74"/>
  <c r="A143" i="73"/>
  <c r="B143" i="73"/>
  <c r="C143" i="73"/>
  <c r="D143" i="73"/>
  <c r="Q143" i="73" s="1"/>
  <c r="E143" i="73"/>
  <c r="G143" i="73"/>
  <c r="K143" i="73"/>
  <c r="O143" i="73"/>
  <c r="A144" i="73"/>
  <c r="B144" i="73"/>
  <c r="C144" i="73"/>
  <c r="D144" i="73"/>
  <c r="Q144" i="73" s="1"/>
  <c r="E144" i="73"/>
  <c r="G144" i="73"/>
  <c r="K144" i="73"/>
  <c r="O144" i="73"/>
  <c r="A145" i="73"/>
  <c r="B145" i="73"/>
  <c r="C145" i="73"/>
  <c r="D145" i="73"/>
  <c r="Q145" i="73" s="1"/>
  <c r="E145" i="73"/>
  <c r="G145" i="73"/>
  <c r="K145" i="73"/>
  <c r="O145" i="73"/>
  <c r="A146" i="73"/>
  <c r="B146" i="73"/>
  <c r="C146" i="73"/>
  <c r="D146" i="73"/>
  <c r="Q146" i="73" s="1"/>
  <c r="E146" i="73"/>
  <c r="G146" i="73"/>
  <c r="K146" i="73"/>
  <c r="O146" i="73"/>
  <c r="A147" i="73"/>
  <c r="B147" i="73"/>
  <c r="C147" i="73"/>
  <c r="D147" i="73"/>
  <c r="Q147" i="73" s="1"/>
  <c r="E147" i="73"/>
  <c r="G147" i="73"/>
  <c r="K147" i="73"/>
  <c r="O147" i="73"/>
  <c r="A148" i="73"/>
  <c r="B148" i="73"/>
  <c r="C148" i="73"/>
  <c r="D148" i="73"/>
  <c r="Q148" i="73" s="1"/>
  <c r="E148" i="73"/>
  <c r="G148" i="73"/>
  <c r="K148" i="73"/>
  <c r="O148" i="73"/>
  <c r="A149" i="73"/>
  <c r="B149" i="73"/>
  <c r="C149" i="73"/>
  <c r="D149" i="73"/>
  <c r="Q149" i="73" s="1"/>
  <c r="E149" i="73"/>
  <c r="G149" i="73"/>
  <c r="K149" i="73"/>
  <c r="O149" i="73"/>
  <c r="A150" i="73"/>
  <c r="B150" i="73"/>
  <c r="C150" i="73"/>
  <c r="D150" i="73"/>
  <c r="Q150" i="73" s="1"/>
  <c r="E150" i="73"/>
  <c r="G150" i="73"/>
  <c r="K150" i="73"/>
  <c r="O150" i="73"/>
  <c r="A143" i="72"/>
  <c r="B143" i="72"/>
  <c r="C143" i="72"/>
  <c r="D143" i="72"/>
  <c r="Q143" i="72" s="1"/>
  <c r="E143" i="72"/>
  <c r="G143" i="72"/>
  <c r="K143" i="72"/>
  <c r="O143" i="72"/>
  <c r="A144" i="72"/>
  <c r="B144" i="72"/>
  <c r="C144" i="72"/>
  <c r="D144" i="72"/>
  <c r="Q144" i="72" s="1"/>
  <c r="E144" i="72"/>
  <c r="G144" i="72"/>
  <c r="K144" i="72"/>
  <c r="O144" i="72"/>
  <c r="A145" i="72"/>
  <c r="B145" i="72"/>
  <c r="C145" i="72"/>
  <c r="D145" i="72"/>
  <c r="Q145" i="72" s="1"/>
  <c r="E145" i="72"/>
  <c r="G145" i="72"/>
  <c r="K145" i="72"/>
  <c r="O145" i="72"/>
  <c r="A146" i="72"/>
  <c r="B146" i="72"/>
  <c r="C146" i="72"/>
  <c r="D146" i="72"/>
  <c r="Q146" i="72" s="1"/>
  <c r="E146" i="72"/>
  <c r="G146" i="72"/>
  <c r="K146" i="72"/>
  <c r="O146" i="72"/>
  <c r="A147" i="72"/>
  <c r="B147" i="72"/>
  <c r="C147" i="72"/>
  <c r="D147" i="72"/>
  <c r="Q147" i="72" s="1"/>
  <c r="E147" i="72"/>
  <c r="G147" i="72"/>
  <c r="K147" i="72"/>
  <c r="O147" i="72"/>
  <c r="A148" i="72"/>
  <c r="B148" i="72"/>
  <c r="C148" i="72"/>
  <c r="D148" i="72"/>
  <c r="Q148" i="72" s="1"/>
  <c r="E148" i="72"/>
  <c r="G148" i="72"/>
  <c r="K148" i="72"/>
  <c r="O148" i="72"/>
  <c r="A149" i="72"/>
  <c r="B149" i="72"/>
  <c r="C149" i="72"/>
  <c r="D149" i="72"/>
  <c r="Q149" i="72" s="1"/>
  <c r="E149" i="72"/>
  <c r="G149" i="72"/>
  <c r="K149" i="72"/>
  <c r="O149" i="72"/>
  <c r="A150" i="72"/>
  <c r="B150" i="72"/>
  <c r="C150" i="72"/>
  <c r="D150" i="72"/>
  <c r="Q150" i="72" s="1"/>
  <c r="E150" i="72"/>
  <c r="G150" i="72"/>
  <c r="K150" i="72"/>
  <c r="O150" i="72"/>
  <c r="A143" i="57"/>
  <c r="B143" i="57"/>
  <c r="C143" i="57"/>
  <c r="D143" i="57"/>
  <c r="E143" i="57"/>
  <c r="F143" i="57" s="1"/>
  <c r="A144" i="57"/>
  <c r="B144" i="57"/>
  <c r="C144" i="57"/>
  <c r="D144" i="57"/>
  <c r="E144" i="57"/>
  <c r="F144" i="57" s="1"/>
  <c r="A145" i="57"/>
  <c r="B145" i="57"/>
  <c r="C145" i="57"/>
  <c r="D145" i="57"/>
  <c r="E145" i="57"/>
  <c r="F145" i="57" s="1"/>
  <c r="A146" i="57"/>
  <c r="B146" i="57"/>
  <c r="C146" i="57"/>
  <c r="D146" i="57"/>
  <c r="E146" i="57"/>
  <c r="F146" i="57" s="1"/>
  <c r="A147" i="57"/>
  <c r="B147" i="57"/>
  <c r="C147" i="57"/>
  <c r="D147" i="57"/>
  <c r="E147" i="57"/>
  <c r="F147" i="57" s="1"/>
  <c r="A148" i="57"/>
  <c r="B148" i="57"/>
  <c r="C148" i="57"/>
  <c r="D148" i="57"/>
  <c r="E148" i="57"/>
  <c r="F148" i="57" s="1"/>
  <c r="A149" i="57"/>
  <c r="B149" i="57"/>
  <c r="C149" i="57"/>
  <c r="D149" i="57"/>
  <c r="E149" i="57"/>
  <c r="F149" i="57" s="1"/>
  <c r="A150" i="57"/>
  <c r="B150" i="57"/>
  <c r="C150" i="57"/>
  <c r="D150" i="57"/>
  <c r="E150" i="57"/>
  <c r="F150" i="57" s="1"/>
  <c r="A123" i="78"/>
  <c r="B123" i="78"/>
  <c r="C123" i="78"/>
  <c r="D123" i="78"/>
  <c r="Q123" i="78" s="1"/>
  <c r="E123" i="78"/>
  <c r="G123" i="78"/>
  <c r="K123" i="78"/>
  <c r="O123" i="78"/>
  <c r="A124" i="78"/>
  <c r="B124" i="78"/>
  <c r="C124" i="78"/>
  <c r="D124" i="78"/>
  <c r="Q124" i="78" s="1"/>
  <c r="E124" i="78"/>
  <c r="G124" i="78"/>
  <c r="K124" i="78"/>
  <c r="O124" i="78"/>
  <c r="A125" i="78"/>
  <c r="B125" i="78"/>
  <c r="C125" i="78"/>
  <c r="D125" i="78"/>
  <c r="Q125" i="78" s="1"/>
  <c r="E125" i="78"/>
  <c r="G125" i="78"/>
  <c r="K125" i="78"/>
  <c r="O125" i="78"/>
  <c r="A126" i="78"/>
  <c r="B126" i="78"/>
  <c r="C126" i="78"/>
  <c r="D126" i="78"/>
  <c r="Q126" i="78" s="1"/>
  <c r="E126" i="78"/>
  <c r="G126" i="78"/>
  <c r="K126" i="78"/>
  <c r="O126" i="78"/>
  <c r="A127" i="78"/>
  <c r="B127" i="78"/>
  <c r="C127" i="78"/>
  <c r="D127" i="78"/>
  <c r="Q127" i="78" s="1"/>
  <c r="E127" i="78"/>
  <c r="G127" i="78"/>
  <c r="K127" i="78"/>
  <c r="O127" i="78"/>
  <c r="A128" i="78"/>
  <c r="B128" i="78"/>
  <c r="C128" i="78"/>
  <c r="D128" i="78"/>
  <c r="Q128" i="78" s="1"/>
  <c r="E128" i="78"/>
  <c r="G128" i="78"/>
  <c r="K128" i="78"/>
  <c r="O128" i="78"/>
  <c r="A129" i="78"/>
  <c r="B129" i="78"/>
  <c r="C129" i="78"/>
  <c r="D129" i="78"/>
  <c r="Q129" i="78" s="1"/>
  <c r="E129" i="78"/>
  <c r="G129" i="78"/>
  <c r="K129" i="78"/>
  <c r="O129" i="78"/>
  <c r="A130" i="78"/>
  <c r="B130" i="78"/>
  <c r="C130" i="78"/>
  <c r="D130" i="78"/>
  <c r="Q130" i="78" s="1"/>
  <c r="E130" i="78"/>
  <c r="G130" i="78"/>
  <c r="K130" i="78"/>
  <c r="O130" i="78"/>
  <c r="A131" i="78"/>
  <c r="B131" i="78"/>
  <c r="C131" i="78"/>
  <c r="D131" i="78"/>
  <c r="Q131" i="78" s="1"/>
  <c r="E131" i="78"/>
  <c r="G131" i="78"/>
  <c r="K131" i="78"/>
  <c r="O131" i="78"/>
  <c r="A132" i="78"/>
  <c r="B132" i="78"/>
  <c r="C132" i="78"/>
  <c r="D132" i="78"/>
  <c r="Q132" i="78" s="1"/>
  <c r="E132" i="78"/>
  <c r="G132" i="78"/>
  <c r="K132" i="78"/>
  <c r="O132" i="78"/>
  <c r="A133" i="78"/>
  <c r="B133" i="78"/>
  <c r="C133" i="78"/>
  <c r="D133" i="78"/>
  <c r="Q133" i="78" s="1"/>
  <c r="E133" i="78"/>
  <c r="G133" i="78"/>
  <c r="K133" i="78"/>
  <c r="O133" i="78"/>
  <c r="A134" i="78"/>
  <c r="B134" i="78"/>
  <c r="C134" i="78"/>
  <c r="D134" i="78"/>
  <c r="Q134" i="78" s="1"/>
  <c r="E134" i="78"/>
  <c r="G134" i="78"/>
  <c r="K134" i="78"/>
  <c r="O134" i="78"/>
  <c r="A135" i="78"/>
  <c r="B135" i="78"/>
  <c r="C135" i="78"/>
  <c r="D135" i="78"/>
  <c r="Q135" i="78" s="1"/>
  <c r="E135" i="78"/>
  <c r="G135" i="78"/>
  <c r="K135" i="78"/>
  <c r="O135" i="78"/>
  <c r="A136" i="78"/>
  <c r="B136" i="78"/>
  <c r="C136" i="78"/>
  <c r="D136" i="78"/>
  <c r="Q136" i="78" s="1"/>
  <c r="E136" i="78"/>
  <c r="G136" i="78"/>
  <c r="K136" i="78"/>
  <c r="O136" i="78"/>
  <c r="A137" i="78"/>
  <c r="B137" i="78"/>
  <c r="C137" i="78"/>
  <c r="D137" i="78"/>
  <c r="Q137" i="78" s="1"/>
  <c r="E137" i="78"/>
  <c r="G137" i="78"/>
  <c r="K137" i="78"/>
  <c r="O137" i="78"/>
  <c r="A123" i="77"/>
  <c r="B123" i="77"/>
  <c r="C123" i="77"/>
  <c r="D123" i="77"/>
  <c r="Q123" i="77" s="1"/>
  <c r="E123" i="77"/>
  <c r="G123" i="77"/>
  <c r="K123" i="77"/>
  <c r="O123" i="77"/>
  <c r="A124" i="77"/>
  <c r="B124" i="77"/>
  <c r="C124" i="77"/>
  <c r="D124" i="77"/>
  <c r="Q124" i="77" s="1"/>
  <c r="E124" i="77"/>
  <c r="G124" i="77"/>
  <c r="K124" i="77"/>
  <c r="O124" i="77"/>
  <c r="A125" i="77"/>
  <c r="B125" i="77"/>
  <c r="C125" i="77"/>
  <c r="D125" i="77"/>
  <c r="Q125" i="77" s="1"/>
  <c r="E125" i="77"/>
  <c r="G125" i="77"/>
  <c r="K125" i="77"/>
  <c r="O125" i="77"/>
  <c r="A126" i="77"/>
  <c r="B126" i="77"/>
  <c r="C126" i="77"/>
  <c r="D126" i="77"/>
  <c r="Q126" i="77" s="1"/>
  <c r="E126" i="77"/>
  <c r="G126" i="77"/>
  <c r="K126" i="77"/>
  <c r="O126" i="77"/>
  <c r="A127" i="77"/>
  <c r="B127" i="77"/>
  <c r="C127" i="77"/>
  <c r="D127" i="77"/>
  <c r="Q127" i="77" s="1"/>
  <c r="E127" i="77"/>
  <c r="G127" i="77"/>
  <c r="K127" i="77"/>
  <c r="O127" i="77"/>
  <c r="A128" i="77"/>
  <c r="B128" i="77"/>
  <c r="C128" i="77"/>
  <c r="D128" i="77"/>
  <c r="Q128" i="77" s="1"/>
  <c r="E128" i="77"/>
  <c r="G128" i="77"/>
  <c r="K128" i="77"/>
  <c r="O128" i="77"/>
  <c r="A129" i="77"/>
  <c r="B129" i="77"/>
  <c r="C129" i="77"/>
  <c r="D129" i="77"/>
  <c r="Q129" i="77" s="1"/>
  <c r="E129" i="77"/>
  <c r="G129" i="77"/>
  <c r="K129" i="77"/>
  <c r="O129" i="77"/>
  <c r="A130" i="77"/>
  <c r="B130" i="77"/>
  <c r="C130" i="77"/>
  <c r="D130" i="77"/>
  <c r="Q130" i="77" s="1"/>
  <c r="E130" i="77"/>
  <c r="G130" i="77"/>
  <c r="K130" i="77"/>
  <c r="O130" i="77"/>
  <c r="A131" i="77"/>
  <c r="B131" i="77"/>
  <c r="C131" i="77"/>
  <c r="D131" i="77"/>
  <c r="Q131" i="77" s="1"/>
  <c r="E131" i="77"/>
  <c r="G131" i="77"/>
  <c r="K131" i="77"/>
  <c r="O131" i="77"/>
  <c r="A132" i="77"/>
  <c r="B132" i="77"/>
  <c r="C132" i="77"/>
  <c r="D132" i="77"/>
  <c r="Q132" i="77" s="1"/>
  <c r="E132" i="77"/>
  <c r="G132" i="77"/>
  <c r="K132" i="77"/>
  <c r="O132" i="77"/>
  <c r="A133" i="77"/>
  <c r="B133" i="77"/>
  <c r="C133" i="77"/>
  <c r="D133" i="77"/>
  <c r="Q133" i="77" s="1"/>
  <c r="E133" i="77"/>
  <c r="G133" i="77"/>
  <c r="K133" i="77"/>
  <c r="O133" i="77"/>
  <c r="A134" i="77"/>
  <c r="B134" i="77"/>
  <c r="C134" i="77"/>
  <c r="D134" i="77"/>
  <c r="Q134" i="77" s="1"/>
  <c r="E134" i="77"/>
  <c r="G134" i="77"/>
  <c r="K134" i="77"/>
  <c r="O134" i="77"/>
  <c r="A135" i="77"/>
  <c r="B135" i="77"/>
  <c r="C135" i="77"/>
  <c r="D135" i="77"/>
  <c r="Q135" i="77" s="1"/>
  <c r="E135" i="77"/>
  <c r="G135" i="77"/>
  <c r="K135" i="77"/>
  <c r="O135" i="77"/>
  <c r="A136" i="77"/>
  <c r="B136" i="77"/>
  <c r="C136" i="77"/>
  <c r="D136" i="77"/>
  <c r="Q136" i="77" s="1"/>
  <c r="E136" i="77"/>
  <c r="G136" i="77"/>
  <c r="K136" i="77"/>
  <c r="O136" i="77"/>
  <c r="A137" i="77"/>
  <c r="B137" i="77"/>
  <c r="C137" i="77"/>
  <c r="D137" i="77"/>
  <c r="Q137" i="77" s="1"/>
  <c r="E137" i="77"/>
  <c r="G137" i="77"/>
  <c r="K137" i="77"/>
  <c r="O137" i="77"/>
  <c r="A123" i="76"/>
  <c r="B123" i="76"/>
  <c r="C123" i="76"/>
  <c r="D123" i="76"/>
  <c r="Q123" i="76" s="1"/>
  <c r="E123" i="76"/>
  <c r="G123" i="76"/>
  <c r="K123" i="76"/>
  <c r="O123" i="76"/>
  <c r="A124" i="76"/>
  <c r="B124" i="76"/>
  <c r="C124" i="76"/>
  <c r="D124" i="76"/>
  <c r="Q124" i="76" s="1"/>
  <c r="E124" i="76"/>
  <c r="G124" i="76"/>
  <c r="K124" i="76"/>
  <c r="O124" i="76"/>
  <c r="A125" i="76"/>
  <c r="B125" i="76"/>
  <c r="C125" i="76"/>
  <c r="D125" i="76"/>
  <c r="Q125" i="76" s="1"/>
  <c r="E125" i="76"/>
  <c r="G125" i="76"/>
  <c r="K125" i="76"/>
  <c r="O125" i="76"/>
  <c r="A126" i="76"/>
  <c r="B126" i="76"/>
  <c r="C126" i="76"/>
  <c r="D126" i="76"/>
  <c r="Q126" i="76" s="1"/>
  <c r="E126" i="76"/>
  <c r="G126" i="76"/>
  <c r="K126" i="76"/>
  <c r="O126" i="76"/>
  <c r="A127" i="76"/>
  <c r="B127" i="76"/>
  <c r="C127" i="76"/>
  <c r="D127" i="76"/>
  <c r="Q127" i="76" s="1"/>
  <c r="E127" i="76"/>
  <c r="G127" i="76"/>
  <c r="K127" i="76"/>
  <c r="O127" i="76"/>
  <c r="A128" i="76"/>
  <c r="B128" i="76"/>
  <c r="C128" i="76"/>
  <c r="D128" i="76"/>
  <c r="Q128" i="76" s="1"/>
  <c r="E128" i="76"/>
  <c r="G128" i="76"/>
  <c r="K128" i="76"/>
  <c r="O128" i="76"/>
  <c r="A129" i="76"/>
  <c r="B129" i="76"/>
  <c r="C129" i="76"/>
  <c r="D129" i="76"/>
  <c r="Q129" i="76" s="1"/>
  <c r="E129" i="76"/>
  <c r="G129" i="76"/>
  <c r="K129" i="76"/>
  <c r="O129" i="76"/>
  <c r="A130" i="76"/>
  <c r="B130" i="76"/>
  <c r="C130" i="76"/>
  <c r="D130" i="76"/>
  <c r="Q130" i="76" s="1"/>
  <c r="E130" i="76"/>
  <c r="G130" i="76"/>
  <c r="K130" i="76"/>
  <c r="O130" i="76"/>
  <c r="A131" i="76"/>
  <c r="B131" i="76"/>
  <c r="C131" i="76"/>
  <c r="D131" i="76"/>
  <c r="Q131" i="76" s="1"/>
  <c r="E131" i="76"/>
  <c r="G131" i="76"/>
  <c r="K131" i="76"/>
  <c r="O131" i="76"/>
  <c r="A132" i="76"/>
  <c r="B132" i="76"/>
  <c r="C132" i="76"/>
  <c r="D132" i="76"/>
  <c r="Q132" i="76" s="1"/>
  <c r="E132" i="76"/>
  <c r="G132" i="76"/>
  <c r="K132" i="76"/>
  <c r="O132" i="76"/>
  <c r="A133" i="76"/>
  <c r="B133" i="76"/>
  <c r="C133" i="76"/>
  <c r="D133" i="76"/>
  <c r="Q133" i="76" s="1"/>
  <c r="E133" i="76"/>
  <c r="G133" i="76"/>
  <c r="K133" i="76"/>
  <c r="O133" i="76"/>
  <c r="A134" i="76"/>
  <c r="B134" i="76"/>
  <c r="C134" i="76"/>
  <c r="D134" i="76"/>
  <c r="Q134" i="76" s="1"/>
  <c r="E134" i="76"/>
  <c r="G134" i="76"/>
  <c r="K134" i="76"/>
  <c r="O134" i="76"/>
  <c r="A135" i="76"/>
  <c r="B135" i="76"/>
  <c r="C135" i="76"/>
  <c r="D135" i="76"/>
  <c r="Q135" i="76" s="1"/>
  <c r="E135" i="76"/>
  <c r="G135" i="76"/>
  <c r="K135" i="76"/>
  <c r="O135" i="76"/>
  <c r="A136" i="76"/>
  <c r="B136" i="76"/>
  <c r="C136" i="76"/>
  <c r="D136" i="76"/>
  <c r="Q136" i="76" s="1"/>
  <c r="E136" i="76"/>
  <c r="G136" i="76"/>
  <c r="K136" i="76"/>
  <c r="O136" i="76"/>
  <c r="A137" i="76"/>
  <c r="B137" i="76"/>
  <c r="C137" i="76"/>
  <c r="D137" i="76"/>
  <c r="Q137" i="76" s="1"/>
  <c r="E137" i="76"/>
  <c r="G137" i="76"/>
  <c r="K137" i="76"/>
  <c r="O137" i="76"/>
  <c r="A123" i="75"/>
  <c r="B123" i="75"/>
  <c r="C123" i="75"/>
  <c r="D123" i="75"/>
  <c r="Q123" i="75" s="1"/>
  <c r="E123" i="75"/>
  <c r="G123" i="75"/>
  <c r="K123" i="75"/>
  <c r="O123" i="75"/>
  <c r="A124" i="75"/>
  <c r="B124" i="75"/>
  <c r="C124" i="75"/>
  <c r="D124" i="75"/>
  <c r="Q124" i="75" s="1"/>
  <c r="E124" i="75"/>
  <c r="G124" i="75"/>
  <c r="K124" i="75"/>
  <c r="O124" i="75"/>
  <c r="A125" i="75"/>
  <c r="B125" i="75"/>
  <c r="C125" i="75"/>
  <c r="D125" i="75"/>
  <c r="Q125" i="75" s="1"/>
  <c r="E125" i="75"/>
  <c r="G125" i="75"/>
  <c r="K125" i="75"/>
  <c r="O125" i="75"/>
  <c r="A126" i="75"/>
  <c r="B126" i="75"/>
  <c r="C126" i="75"/>
  <c r="D126" i="75"/>
  <c r="Q126" i="75" s="1"/>
  <c r="E126" i="75"/>
  <c r="G126" i="75"/>
  <c r="K126" i="75"/>
  <c r="O126" i="75"/>
  <c r="A127" i="75"/>
  <c r="B127" i="75"/>
  <c r="C127" i="75"/>
  <c r="D127" i="75"/>
  <c r="Q127" i="75" s="1"/>
  <c r="E127" i="75"/>
  <c r="G127" i="75"/>
  <c r="K127" i="75"/>
  <c r="O127" i="75"/>
  <c r="A128" i="75"/>
  <c r="B128" i="75"/>
  <c r="C128" i="75"/>
  <c r="D128" i="75"/>
  <c r="Q128" i="75" s="1"/>
  <c r="E128" i="75"/>
  <c r="G128" i="75"/>
  <c r="K128" i="75"/>
  <c r="O128" i="75"/>
  <c r="A129" i="75"/>
  <c r="B129" i="75"/>
  <c r="C129" i="75"/>
  <c r="D129" i="75"/>
  <c r="Q129" i="75" s="1"/>
  <c r="E129" i="75"/>
  <c r="G129" i="75"/>
  <c r="K129" i="75"/>
  <c r="O129" i="75"/>
  <c r="A130" i="75"/>
  <c r="B130" i="75"/>
  <c r="C130" i="75"/>
  <c r="D130" i="75"/>
  <c r="Q130" i="75" s="1"/>
  <c r="E130" i="75"/>
  <c r="G130" i="75"/>
  <c r="K130" i="75"/>
  <c r="O130" i="75"/>
  <c r="A131" i="75"/>
  <c r="B131" i="75"/>
  <c r="C131" i="75"/>
  <c r="D131" i="75"/>
  <c r="Q131" i="75" s="1"/>
  <c r="E131" i="75"/>
  <c r="G131" i="75"/>
  <c r="K131" i="75"/>
  <c r="O131" i="75"/>
  <c r="A132" i="75"/>
  <c r="B132" i="75"/>
  <c r="C132" i="75"/>
  <c r="D132" i="75"/>
  <c r="Q132" i="75" s="1"/>
  <c r="E132" i="75"/>
  <c r="G132" i="75"/>
  <c r="K132" i="75"/>
  <c r="O132" i="75"/>
  <c r="A133" i="75"/>
  <c r="B133" i="75"/>
  <c r="C133" i="75"/>
  <c r="D133" i="75"/>
  <c r="Q133" i="75" s="1"/>
  <c r="E133" i="75"/>
  <c r="G133" i="75"/>
  <c r="K133" i="75"/>
  <c r="O133" i="75"/>
  <c r="A134" i="75"/>
  <c r="B134" i="75"/>
  <c r="C134" i="75"/>
  <c r="D134" i="75"/>
  <c r="Q134" i="75" s="1"/>
  <c r="E134" i="75"/>
  <c r="G134" i="75"/>
  <c r="K134" i="75"/>
  <c r="O134" i="75"/>
  <c r="A135" i="75"/>
  <c r="B135" i="75"/>
  <c r="C135" i="75"/>
  <c r="D135" i="75"/>
  <c r="Q135" i="75" s="1"/>
  <c r="E135" i="75"/>
  <c r="G135" i="75"/>
  <c r="K135" i="75"/>
  <c r="O135" i="75"/>
  <c r="A136" i="75"/>
  <c r="B136" i="75"/>
  <c r="C136" i="75"/>
  <c r="D136" i="75"/>
  <c r="Q136" i="75" s="1"/>
  <c r="E136" i="75"/>
  <c r="G136" i="75"/>
  <c r="K136" i="75"/>
  <c r="O136" i="75"/>
  <c r="A137" i="75"/>
  <c r="B137" i="75"/>
  <c r="C137" i="75"/>
  <c r="D137" i="75"/>
  <c r="Q137" i="75" s="1"/>
  <c r="E137" i="75"/>
  <c r="G137" i="75"/>
  <c r="K137" i="75"/>
  <c r="O137" i="75"/>
  <c r="A123" i="74"/>
  <c r="B123" i="74"/>
  <c r="C123" i="74"/>
  <c r="D123" i="74"/>
  <c r="Q123" i="74" s="1"/>
  <c r="E123" i="74"/>
  <c r="G123" i="74"/>
  <c r="K123" i="74"/>
  <c r="O123" i="74"/>
  <c r="A124" i="74"/>
  <c r="B124" i="74"/>
  <c r="C124" i="74"/>
  <c r="D124" i="74"/>
  <c r="Q124" i="74" s="1"/>
  <c r="E124" i="74"/>
  <c r="G124" i="74"/>
  <c r="K124" i="74"/>
  <c r="O124" i="74"/>
  <c r="A125" i="74"/>
  <c r="B125" i="74"/>
  <c r="C125" i="74"/>
  <c r="D125" i="74"/>
  <c r="Q125" i="74" s="1"/>
  <c r="E125" i="74"/>
  <c r="G125" i="74"/>
  <c r="K125" i="74"/>
  <c r="O125" i="74"/>
  <c r="A126" i="74"/>
  <c r="B126" i="74"/>
  <c r="C126" i="74"/>
  <c r="D126" i="74"/>
  <c r="Q126" i="74" s="1"/>
  <c r="E126" i="74"/>
  <c r="G126" i="74"/>
  <c r="K126" i="74"/>
  <c r="O126" i="74"/>
  <c r="A127" i="74"/>
  <c r="B127" i="74"/>
  <c r="C127" i="74"/>
  <c r="D127" i="74"/>
  <c r="Q127" i="74" s="1"/>
  <c r="E127" i="74"/>
  <c r="G127" i="74"/>
  <c r="K127" i="74"/>
  <c r="O127" i="74"/>
  <c r="A128" i="74"/>
  <c r="B128" i="74"/>
  <c r="C128" i="74"/>
  <c r="D128" i="74"/>
  <c r="Q128" i="74" s="1"/>
  <c r="E128" i="74"/>
  <c r="G128" i="74"/>
  <c r="K128" i="74"/>
  <c r="O128" i="74"/>
  <c r="A129" i="74"/>
  <c r="B129" i="74"/>
  <c r="C129" i="74"/>
  <c r="D129" i="74"/>
  <c r="Q129" i="74" s="1"/>
  <c r="E129" i="74"/>
  <c r="G129" i="74"/>
  <c r="K129" i="74"/>
  <c r="O129" i="74"/>
  <c r="A130" i="74"/>
  <c r="B130" i="74"/>
  <c r="C130" i="74"/>
  <c r="D130" i="74"/>
  <c r="Q130" i="74" s="1"/>
  <c r="E130" i="74"/>
  <c r="G130" i="74"/>
  <c r="K130" i="74"/>
  <c r="O130" i="74"/>
  <c r="A131" i="74"/>
  <c r="B131" i="74"/>
  <c r="C131" i="74"/>
  <c r="D131" i="74"/>
  <c r="Q131" i="74" s="1"/>
  <c r="E131" i="74"/>
  <c r="G131" i="74"/>
  <c r="K131" i="74"/>
  <c r="O131" i="74"/>
  <c r="A132" i="74"/>
  <c r="B132" i="74"/>
  <c r="C132" i="74"/>
  <c r="D132" i="74"/>
  <c r="Q132" i="74" s="1"/>
  <c r="E132" i="74"/>
  <c r="G132" i="74"/>
  <c r="K132" i="74"/>
  <c r="O132" i="74"/>
  <c r="A133" i="74"/>
  <c r="B133" i="74"/>
  <c r="C133" i="74"/>
  <c r="D133" i="74"/>
  <c r="Q133" i="74" s="1"/>
  <c r="E133" i="74"/>
  <c r="G133" i="74"/>
  <c r="K133" i="74"/>
  <c r="O133" i="74"/>
  <c r="A134" i="74"/>
  <c r="B134" i="74"/>
  <c r="C134" i="74"/>
  <c r="D134" i="74"/>
  <c r="Q134" i="74" s="1"/>
  <c r="E134" i="74"/>
  <c r="G134" i="74"/>
  <c r="K134" i="74"/>
  <c r="O134" i="74"/>
  <c r="A135" i="74"/>
  <c r="B135" i="74"/>
  <c r="C135" i="74"/>
  <c r="D135" i="74"/>
  <c r="Q135" i="74" s="1"/>
  <c r="E135" i="74"/>
  <c r="G135" i="74"/>
  <c r="K135" i="74"/>
  <c r="O135" i="74"/>
  <c r="A136" i="74"/>
  <c r="B136" i="74"/>
  <c r="C136" i="74"/>
  <c r="D136" i="74"/>
  <c r="Q136" i="74" s="1"/>
  <c r="E136" i="74"/>
  <c r="G136" i="74"/>
  <c r="K136" i="74"/>
  <c r="O136" i="74"/>
  <c r="A137" i="74"/>
  <c r="B137" i="74"/>
  <c r="C137" i="74"/>
  <c r="D137" i="74"/>
  <c r="Q137" i="74" s="1"/>
  <c r="E137" i="74"/>
  <c r="G137" i="74"/>
  <c r="K137" i="74"/>
  <c r="O137" i="74"/>
  <c r="A123" i="73"/>
  <c r="B123" i="73"/>
  <c r="C123" i="73"/>
  <c r="D123" i="73"/>
  <c r="Q123" i="73" s="1"/>
  <c r="E123" i="73"/>
  <c r="G123" i="73"/>
  <c r="K123" i="73"/>
  <c r="O123" i="73"/>
  <c r="A124" i="73"/>
  <c r="B124" i="73"/>
  <c r="C124" i="73"/>
  <c r="D124" i="73"/>
  <c r="Q124" i="73" s="1"/>
  <c r="E124" i="73"/>
  <c r="G124" i="73"/>
  <c r="K124" i="73"/>
  <c r="O124" i="73"/>
  <c r="A125" i="73"/>
  <c r="B125" i="73"/>
  <c r="C125" i="73"/>
  <c r="D125" i="73"/>
  <c r="Q125" i="73" s="1"/>
  <c r="E125" i="73"/>
  <c r="G125" i="73"/>
  <c r="K125" i="73"/>
  <c r="O125" i="73"/>
  <c r="A126" i="73"/>
  <c r="B126" i="73"/>
  <c r="C126" i="73"/>
  <c r="D126" i="73"/>
  <c r="Q126" i="73" s="1"/>
  <c r="E126" i="73"/>
  <c r="G126" i="73"/>
  <c r="K126" i="73"/>
  <c r="O126" i="73"/>
  <c r="A127" i="73"/>
  <c r="B127" i="73"/>
  <c r="C127" i="73"/>
  <c r="D127" i="73"/>
  <c r="Q127" i="73" s="1"/>
  <c r="E127" i="73"/>
  <c r="G127" i="73"/>
  <c r="K127" i="73"/>
  <c r="O127" i="73"/>
  <c r="A128" i="73"/>
  <c r="B128" i="73"/>
  <c r="C128" i="73"/>
  <c r="D128" i="73"/>
  <c r="Q128" i="73" s="1"/>
  <c r="E128" i="73"/>
  <c r="G128" i="73"/>
  <c r="K128" i="73"/>
  <c r="O128" i="73"/>
  <c r="A129" i="73"/>
  <c r="B129" i="73"/>
  <c r="C129" i="73"/>
  <c r="D129" i="73"/>
  <c r="Q129" i="73" s="1"/>
  <c r="E129" i="73"/>
  <c r="G129" i="73"/>
  <c r="K129" i="73"/>
  <c r="O129" i="73"/>
  <c r="A130" i="73"/>
  <c r="B130" i="73"/>
  <c r="C130" i="73"/>
  <c r="D130" i="73"/>
  <c r="Q130" i="73" s="1"/>
  <c r="E130" i="73"/>
  <c r="G130" i="73"/>
  <c r="K130" i="73"/>
  <c r="O130" i="73"/>
  <c r="A131" i="73"/>
  <c r="B131" i="73"/>
  <c r="C131" i="73"/>
  <c r="D131" i="73"/>
  <c r="Q131" i="73" s="1"/>
  <c r="E131" i="73"/>
  <c r="G131" i="73"/>
  <c r="K131" i="73"/>
  <c r="O131" i="73"/>
  <c r="A132" i="73"/>
  <c r="B132" i="73"/>
  <c r="C132" i="73"/>
  <c r="D132" i="73"/>
  <c r="Q132" i="73" s="1"/>
  <c r="E132" i="73"/>
  <c r="G132" i="73"/>
  <c r="K132" i="73"/>
  <c r="O132" i="73"/>
  <c r="A133" i="73"/>
  <c r="B133" i="73"/>
  <c r="C133" i="73"/>
  <c r="D133" i="73"/>
  <c r="Q133" i="73" s="1"/>
  <c r="E133" i="73"/>
  <c r="G133" i="73"/>
  <c r="K133" i="73"/>
  <c r="O133" i="73"/>
  <c r="A134" i="73"/>
  <c r="B134" i="73"/>
  <c r="C134" i="73"/>
  <c r="D134" i="73"/>
  <c r="Q134" i="73" s="1"/>
  <c r="E134" i="73"/>
  <c r="G134" i="73"/>
  <c r="K134" i="73"/>
  <c r="O134" i="73"/>
  <c r="A135" i="73"/>
  <c r="B135" i="73"/>
  <c r="C135" i="73"/>
  <c r="D135" i="73"/>
  <c r="Q135" i="73" s="1"/>
  <c r="E135" i="73"/>
  <c r="G135" i="73"/>
  <c r="K135" i="73"/>
  <c r="O135" i="73"/>
  <c r="A136" i="73"/>
  <c r="B136" i="73"/>
  <c r="C136" i="73"/>
  <c r="D136" i="73"/>
  <c r="Q136" i="73" s="1"/>
  <c r="E136" i="73"/>
  <c r="G136" i="73"/>
  <c r="K136" i="73"/>
  <c r="O136" i="73"/>
  <c r="A137" i="73"/>
  <c r="B137" i="73"/>
  <c r="C137" i="73"/>
  <c r="D137" i="73"/>
  <c r="Q137" i="73" s="1"/>
  <c r="E137" i="73"/>
  <c r="G137" i="73"/>
  <c r="K137" i="73"/>
  <c r="O137" i="73"/>
  <c r="A123" i="72"/>
  <c r="B123" i="72"/>
  <c r="C123" i="72"/>
  <c r="D123" i="72"/>
  <c r="Q123" i="72" s="1"/>
  <c r="E123" i="72"/>
  <c r="G123" i="72"/>
  <c r="K123" i="72"/>
  <c r="O123" i="72"/>
  <c r="A124" i="72"/>
  <c r="B124" i="72"/>
  <c r="C124" i="72"/>
  <c r="D124" i="72"/>
  <c r="Q124" i="72" s="1"/>
  <c r="E124" i="72"/>
  <c r="G124" i="72"/>
  <c r="K124" i="72"/>
  <c r="O124" i="72"/>
  <c r="A125" i="72"/>
  <c r="B125" i="72"/>
  <c r="C125" i="72"/>
  <c r="D125" i="72"/>
  <c r="Q125" i="72" s="1"/>
  <c r="E125" i="72"/>
  <c r="G125" i="72"/>
  <c r="K125" i="72"/>
  <c r="O125" i="72"/>
  <c r="A126" i="72"/>
  <c r="B126" i="72"/>
  <c r="C126" i="72"/>
  <c r="D126" i="72"/>
  <c r="Q126" i="72" s="1"/>
  <c r="E126" i="72"/>
  <c r="G126" i="72"/>
  <c r="K126" i="72"/>
  <c r="O126" i="72"/>
  <c r="A127" i="72"/>
  <c r="B127" i="72"/>
  <c r="C127" i="72"/>
  <c r="D127" i="72"/>
  <c r="Q127" i="72" s="1"/>
  <c r="E127" i="72"/>
  <c r="G127" i="72"/>
  <c r="K127" i="72"/>
  <c r="O127" i="72"/>
  <c r="A128" i="72"/>
  <c r="B128" i="72"/>
  <c r="C128" i="72"/>
  <c r="D128" i="72"/>
  <c r="Q128" i="72" s="1"/>
  <c r="E128" i="72"/>
  <c r="G128" i="72"/>
  <c r="K128" i="72"/>
  <c r="O128" i="72"/>
  <c r="A129" i="72"/>
  <c r="B129" i="72"/>
  <c r="C129" i="72"/>
  <c r="D129" i="72"/>
  <c r="Q129" i="72" s="1"/>
  <c r="E129" i="72"/>
  <c r="G129" i="72"/>
  <c r="K129" i="72"/>
  <c r="O129" i="72"/>
  <c r="A130" i="72"/>
  <c r="B130" i="72"/>
  <c r="C130" i="72"/>
  <c r="D130" i="72"/>
  <c r="Q130" i="72" s="1"/>
  <c r="E130" i="72"/>
  <c r="G130" i="72"/>
  <c r="K130" i="72"/>
  <c r="O130" i="72"/>
  <c r="A131" i="72"/>
  <c r="B131" i="72"/>
  <c r="C131" i="72"/>
  <c r="D131" i="72"/>
  <c r="Q131" i="72" s="1"/>
  <c r="E131" i="72"/>
  <c r="G131" i="72"/>
  <c r="K131" i="72"/>
  <c r="O131" i="72"/>
  <c r="A132" i="72"/>
  <c r="B132" i="72"/>
  <c r="C132" i="72"/>
  <c r="D132" i="72"/>
  <c r="Q132" i="72" s="1"/>
  <c r="E132" i="72"/>
  <c r="G132" i="72"/>
  <c r="K132" i="72"/>
  <c r="O132" i="72"/>
  <c r="A133" i="72"/>
  <c r="B133" i="72"/>
  <c r="C133" i="72"/>
  <c r="D133" i="72"/>
  <c r="Q133" i="72" s="1"/>
  <c r="E133" i="72"/>
  <c r="G133" i="72"/>
  <c r="K133" i="72"/>
  <c r="O133" i="72"/>
  <c r="A134" i="72"/>
  <c r="B134" i="72"/>
  <c r="C134" i="72"/>
  <c r="D134" i="72"/>
  <c r="Q134" i="72" s="1"/>
  <c r="E134" i="72"/>
  <c r="G134" i="72"/>
  <c r="K134" i="72"/>
  <c r="O134" i="72"/>
  <c r="A135" i="72"/>
  <c r="B135" i="72"/>
  <c r="C135" i="72"/>
  <c r="D135" i="72"/>
  <c r="Q135" i="72" s="1"/>
  <c r="E135" i="72"/>
  <c r="G135" i="72"/>
  <c r="K135" i="72"/>
  <c r="O135" i="72"/>
  <c r="A136" i="72"/>
  <c r="B136" i="72"/>
  <c r="C136" i="72"/>
  <c r="D136" i="72"/>
  <c r="Q136" i="72" s="1"/>
  <c r="E136" i="72"/>
  <c r="G136" i="72"/>
  <c r="K136" i="72"/>
  <c r="O136" i="72"/>
  <c r="A137" i="72"/>
  <c r="B137" i="72"/>
  <c r="C137" i="72"/>
  <c r="D137" i="72"/>
  <c r="Q137" i="72" s="1"/>
  <c r="E137" i="72"/>
  <c r="G137" i="72"/>
  <c r="K137" i="72"/>
  <c r="O137" i="72"/>
  <c r="A123" i="57"/>
  <c r="B123" i="57"/>
  <c r="C123" i="57"/>
  <c r="D123" i="57"/>
  <c r="E123" i="57"/>
  <c r="F123" i="57" s="1"/>
  <c r="A124" i="57"/>
  <c r="B124" i="57"/>
  <c r="C124" i="57"/>
  <c r="D124" i="57"/>
  <c r="E124" i="57"/>
  <c r="F124" i="57" s="1"/>
  <c r="A125" i="57"/>
  <c r="B125" i="57"/>
  <c r="C125" i="57"/>
  <c r="D125" i="57"/>
  <c r="E125" i="57"/>
  <c r="F125" i="57" s="1"/>
  <c r="A126" i="57"/>
  <c r="B126" i="57"/>
  <c r="C126" i="57"/>
  <c r="D126" i="57"/>
  <c r="E126" i="57"/>
  <c r="F126" i="57" s="1"/>
  <c r="A127" i="57"/>
  <c r="B127" i="57"/>
  <c r="C127" i="57"/>
  <c r="D127" i="57"/>
  <c r="E127" i="57"/>
  <c r="F127" i="57" s="1"/>
  <c r="A128" i="57"/>
  <c r="B128" i="57"/>
  <c r="C128" i="57"/>
  <c r="D128" i="57"/>
  <c r="E128" i="57"/>
  <c r="F128" i="57" s="1"/>
  <c r="A129" i="57"/>
  <c r="B129" i="57"/>
  <c r="C129" i="57"/>
  <c r="D129" i="57"/>
  <c r="E129" i="57"/>
  <c r="F129" i="57" s="1"/>
  <c r="A130" i="57"/>
  <c r="B130" i="57"/>
  <c r="C130" i="57"/>
  <c r="D130" i="57"/>
  <c r="E130" i="57"/>
  <c r="F130" i="57" s="1"/>
  <c r="A131" i="57"/>
  <c r="B131" i="57"/>
  <c r="C131" i="57"/>
  <c r="D131" i="57"/>
  <c r="E131" i="57"/>
  <c r="F131" i="57" s="1"/>
  <c r="A132" i="57"/>
  <c r="B132" i="57"/>
  <c r="C132" i="57"/>
  <c r="D132" i="57"/>
  <c r="E132" i="57"/>
  <c r="F132" i="57" s="1"/>
  <c r="A133" i="57"/>
  <c r="B133" i="57"/>
  <c r="C133" i="57"/>
  <c r="D133" i="57"/>
  <c r="E133" i="57"/>
  <c r="F133" i="57" s="1"/>
  <c r="A134" i="57"/>
  <c r="B134" i="57"/>
  <c r="C134" i="57"/>
  <c r="D134" i="57"/>
  <c r="E134" i="57"/>
  <c r="F134" i="57" s="1"/>
  <c r="A135" i="57"/>
  <c r="B135" i="57"/>
  <c r="C135" i="57"/>
  <c r="D135" i="57"/>
  <c r="E135" i="57"/>
  <c r="F135" i="57" s="1"/>
  <c r="A136" i="57"/>
  <c r="B136" i="57"/>
  <c r="C136" i="57"/>
  <c r="D136" i="57"/>
  <c r="E136" i="57"/>
  <c r="F136" i="57" s="1"/>
  <c r="A137" i="57"/>
  <c r="B137" i="57"/>
  <c r="C137" i="57"/>
  <c r="D137" i="57"/>
  <c r="E137" i="57"/>
  <c r="F137" i="57" s="1"/>
  <c r="A90" i="78"/>
  <c r="B90" i="78"/>
  <c r="C90" i="78"/>
  <c r="D90" i="78"/>
  <c r="Q90" i="78" s="1"/>
  <c r="E90" i="78"/>
  <c r="G90" i="78"/>
  <c r="K90" i="78"/>
  <c r="O90" i="78"/>
  <c r="A91" i="78"/>
  <c r="B91" i="78"/>
  <c r="C91" i="78"/>
  <c r="D91" i="78"/>
  <c r="Q91" i="78" s="1"/>
  <c r="E91" i="78"/>
  <c r="G91" i="78"/>
  <c r="K91" i="78"/>
  <c r="O91" i="78"/>
  <c r="A92" i="78"/>
  <c r="B92" i="78"/>
  <c r="C92" i="78"/>
  <c r="D92" i="78"/>
  <c r="Q92" i="78" s="1"/>
  <c r="E92" i="78"/>
  <c r="G92" i="78"/>
  <c r="K92" i="78"/>
  <c r="O92" i="78"/>
  <c r="A93" i="78"/>
  <c r="B93" i="78"/>
  <c r="C93" i="78"/>
  <c r="D93" i="78"/>
  <c r="Q93" i="78" s="1"/>
  <c r="E93" i="78"/>
  <c r="G93" i="78"/>
  <c r="K93" i="78"/>
  <c r="O93" i="78"/>
  <c r="A94" i="78"/>
  <c r="B94" i="78"/>
  <c r="C94" i="78"/>
  <c r="D94" i="78"/>
  <c r="Q94" i="78" s="1"/>
  <c r="E94" i="78"/>
  <c r="G94" i="78"/>
  <c r="K94" i="78"/>
  <c r="O94" i="78"/>
  <c r="A95" i="78"/>
  <c r="B95" i="78"/>
  <c r="C95" i="78"/>
  <c r="D95" i="78"/>
  <c r="Q95" i="78" s="1"/>
  <c r="E95" i="78"/>
  <c r="G95" i="78"/>
  <c r="K95" i="78"/>
  <c r="O95" i="78"/>
  <c r="A96" i="78"/>
  <c r="B96" i="78"/>
  <c r="C96" i="78"/>
  <c r="D96" i="78"/>
  <c r="Q96" i="78" s="1"/>
  <c r="E96" i="78"/>
  <c r="G96" i="78"/>
  <c r="K96" i="78"/>
  <c r="O96" i="78"/>
  <c r="A97" i="78"/>
  <c r="B97" i="78"/>
  <c r="C97" i="78"/>
  <c r="D97" i="78"/>
  <c r="Q97" i="78" s="1"/>
  <c r="E97" i="78"/>
  <c r="G97" i="78"/>
  <c r="K97" i="78"/>
  <c r="O97" i="78"/>
  <c r="A98" i="78"/>
  <c r="B98" i="78"/>
  <c r="C98" i="78"/>
  <c r="D98" i="78"/>
  <c r="Q98" i="78" s="1"/>
  <c r="E98" i="78"/>
  <c r="G98" i="78"/>
  <c r="K98" i="78"/>
  <c r="O98" i="78"/>
  <c r="A99" i="78"/>
  <c r="B99" i="78"/>
  <c r="C99" i="78"/>
  <c r="D99" i="78"/>
  <c r="Q99" i="78" s="1"/>
  <c r="E99" i="78"/>
  <c r="G99" i="78"/>
  <c r="K99" i="78"/>
  <c r="O99" i="78"/>
  <c r="A100" i="78"/>
  <c r="B100" i="78"/>
  <c r="C100" i="78"/>
  <c r="D100" i="78"/>
  <c r="Q100" i="78" s="1"/>
  <c r="E100" i="78"/>
  <c r="G100" i="78"/>
  <c r="K100" i="78"/>
  <c r="O100" i="78"/>
  <c r="A101" i="78"/>
  <c r="B101" i="78"/>
  <c r="C101" i="78"/>
  <c r="D101" i="78"/>
  <c r="Q101" i="78" s="1"/>
  <c r="E101" i="78"/>
  <c r="G101" i="78"/>
  <c r="K101" i="78"/>
  <c r="O101" i="78"/>
  <c r="A102" i="78"/>
  <c r="B102" i="78"/>
  <c r="C102" i="78"/>
  <c r="D102" i="78"/>
  <c r="Q102" i="78" s="1"/>
  <c r="E102" i="78"/>
  <c r="G102" i="78"/>
  <c r="K102" i="78"/>
  <c r="O102" i="78"/>
  <c r="A103" i="78"/>
  <c r="B103" i="78"/>
  <c r="C103" i="78"/>
  <c r="D103" i="78"/>
  <c r="Q103" i="78" s="1"/>
  <c r="E103" i="78"/>
  <c r="G103" i="78"/>
  <c r="K103" i="78"/>
  <c r="O103" i="78"/>
  <c r="A104" i="78"/>
  <c r="B104" i="78"/>
  <c r="C104" i="78"/>
  <c r="D104" i="78"/>
  <c r="Q104" i="78" s="1"/>
  <c r="E104" i="78"/>
  <c r="G104" i="78"/>
  <c r="K104" i="78"/>
  <c r="O104" i="78"/>
  <c r="A105" i="78"/>
  <c r="B105" i="78"/>
  <c r="C105" i="78"/>
  <c r="D105" i="78"/>
  <c r="Q105" i="78" s="1"/>
  <c r="E105" i="78"/>
  <c r="G105" i="78"/>
  <c r="K105" i="78"/>
  <c r="O105" i="78"/>
  <c r="A106" i="78"/>
  <c r="B106" i="78"/>
  <c r="C106" i="78"/>
  <c r="D106" i="78"/>
  <c r="Q106" i="78" s="1"/>
  <c r="E106" i="78"/>
  <c r="G106" i="78"/>
  <c r="K106" i="78"/>
  <c r="O106" i="78"/>
  <c r="A107" i="78"/>
  <c r="B107" i="78"/>
  <c r="C107" i="78"/>
  <c r="D107" i="78"/>
  <c r="Q107" i="78" s="1"/>
  <c r="E107" i="78"/>
  <c r="G107" i="78"/>
  <c r="K107" i="78"/>
  <c r="O107" i="78"/>
  <c r="A108" i="78"/>
  <c r="B108" i="78"/>
  <c r="C108" i="78"/>
  <c r="D108" i="78"/>
  <c r="Q108" i="78" s="1"/>
  <c r="E108" i="78"/>
  <c r="G108" i="78"/>
  <c r="K108" i="78"/>
  <c r="O108" i="78"/>
  <c r="A109" i="78"/>
  <c r="B109" i="78"/>
  <c r="C109" i="78"/>
  <c r="D109" i="78"/>
  <c r="Q109" i="78" s="1"/>
  <c r="E109" i="78"/>
  <c r="G109" i="78"/>
  <c r="K109" i="78"/>
  <c r="O109" i="78"/>
  <c r="A110" i="78"/>
  <c r="B110" i="78"/>
  <c r="C110" i="78"/>
  <c r="D110" i="78"/>
  <c r="Q110" i="78" s="1"/>
  <c r="E110" i="78"/>
  <c r="G110" i="78"/>
  <c r="K110" i="78"/>
  <c r="O110" i="78"/>
  <c r="A111" i="78"/>
  <c r="B111" i="78"/>
  <c r="C111" i="78"/>
  <c r="D111" i="78"/>
  <c r="Q111" i="78" s="1"/>
  <c r="E111" i="78"/>
  <c r="G111" i="78"/>
  <c r="K111" i="78"/>
  <c r="O111" i="78"/>
  <c r="A112" i="78"/>
  <c r="B112" i="78"/>
  <c r="C112" i="78"/>
  <c r="D112" i="78"/>
  <c r="Q112" i="78" s="1"/>
  <c r="E112" i="78"/>
  <c r="G112" i="78"/>
  <c r="K112" i="78"/>
  <c r="O112" i="78"/>
  <c r="A90" i="77"/>
  <c r="B90" i="77"/>
  <c r="C90" i="77"/>
  <c r="D90" i="77"/>
  <c r="Q90" i="77" s="1"/>
  <c r="E90" i="77"/>
  <c r="G90" i="77"/>
  <c r="K90" i="77"/>
  <c r="O90" i="77"/>
  <c r="A91" i="77"/>
  <c r="B91" i="77"/>
  <c r="C91" i="77"/>
  <c r="D91" i="77"/>
  <c r="Q91" i="77" s="1"/>
  <c r="E91" i="77"/>
  <c r="G91" i="77"/>
  <c r="K91" i="77"/>
  <c r="O91" i="77"/>
  <c r="A92" i="77"/>
  <c r="B92" i="77"/>
  <c r="C92" i="77"/>
  <c r="D92" i="77"/>
  <c r="Q92" i="77" s="1"/>
  <c r="E92" i="77"/>
  <c r="G92" i="77"/>
  <c r="K92" i="77"/>
  <c r="O92" i="77"/>
  <c r="A93" i="77"/>
  <c r="B93" i="77"/>
  <c r="C93" i="77"/>
  <c r="D93" i="77"/>
  <c r="Q93" i="77" s="1"/>
  <c r="E93" i="77"/>
  <c r="G93" i="77"/>
  <c r="K93" i="77"/>
  <c r="O93" i="77"/>
  <c r="A94" i="77"/>
  <c r="B94" i="77"/>
  <c r="C94" i="77"/>
  <c r="D94" i="77"/>
  <c r="Q94" i="77" s="1"/>
  <c r="E94" i="77"/>
  <c r="G94" i="77"/>
  <c r="K94" i="77"/>
  <c r="O94" i="77"/>
  <c r="A95" i="77"/>
  <c r="B95" i="77"/>
  <c r="C95" i="77"/>
  <c r="D95" i="77"/>
  <c r="Q95" i="77" s="1"/>
  <c r="E95" i="77"/>
  <c r="G95" i="77"/>
  <c r="K95" i="77"/>
  <c r="O95" i="77"/>
  <c r="A96" i="77"/>
  <c r="B96" i="77"/>
  <c r="C96" i="77"/>
  <c r="D96" i="77"/>
  <c r="Q96" i="77" s="1"/>
  <c r="E96" i="77"/>
  <c r="G96" i="77"/>
  <c r="K96" i="77"/>
  <c r="O96" i="77"/>
  <c r="A97" i="77"/>
  <c r="B97" i="77"/>
  <c r="C97" i="77"/>
  <c r="D97" i="77"/>
  <c r="Q97" i="77" s="1"/>
  <c r="E97" i="77"/>
  <c r="G97" i="77"/>
  <c r="K97" i="77"/>
  <c r="O97" i="77"/>
  <c r="A98" i="77"/>
  <c r="B98" i="77"/>
  <c r="C98" i="77"/>
  <c r="D98" i="77"/>
  <c r="Q98" i="77" s="1"/>
  <c r="E98" i="77"/>
  <c r="G98" i="77"/>
  <c r="K98" i="77"/>
  <c r="O98" i="77"/>
  <c r="A99" i="77"/>
  <c r="B99" i="77"/>
  <c r="C99" i="77"/>
  <c r="D99" i="77"/>
  <c r="Q99" i="77" s="1"/>
  <c r="E99" i="77"/>
  <c r="G99" i="77"/>
  <c r="K99" i="77"/>
  <c r="O99" i="77"/>
  <c r="A100" i="77"/>
  <c r="B100" i="77"/>
  <c r="C100" i="77"/>
  <c r="D100" i="77"/>
  <c r="Q100" i="77" s="1"/>
  <c r="E100" i="77"/>
  <c r="G100" i="77"/>
  <c r="K100" i="77"/>
  <c r="O100" i="77"/>
  <c r="A101" i="77"/>
  <c r="B101" i="77"/>
  <c r="C101" i="77"/>
  <c r="D101" i="77"/>
  <c r="Q101" i="77" s="1"/>
  <c r="E101" i="77"/>
  <c r="G101" i="77"/>
  <c r="K101" i="77"/>
  <c r="O101" i="77"/>
  <c r="A102" i="77"/>
  <c r="B102" i="77"/>
  <c r="C102" i="77"/>
  <c r="D102" i="77"/>
  <c r="Q102" i="77" s="1"/>
  <c r="E102" i="77"/>
  <c r="G102" i="77"/>
  <c r="K102" i="77"/>
  <c r="O102" i="77"/>
  <c r="A103" i="77"/>
  <c r="B103" i="77"/>
  <c r="C103" i="77"/>
  <c r="D103" i="77"/>
  <c r="Q103" i="77" s="1"/>
  <c r="E103" i="77"/>
  <c r="G103" i="77"/>
  <c r="K103" i="77"/>
  <c r="O103" i="77"/>
  <c r="A104" i="77"/>
  <c r="B104" i="77"/>
  <c r="C104" i="77"/>
  <c r="D104" i="77"/>
  <c r="Q104" i="77" s="1"/>
  <c r="E104" i="77"/>
  <c r="G104" i="77"/>
  <c r="K104" i="77"/>
  <c r="O104" i="77"/>
  <c r="A105" i="77"/>
  <c r="B105" i="77"/>
  <c r="C105" i="77"/>
  <c r="D105" i="77"/>
  <c r="Q105" i="77" s="1"/>
  <c r="E105" i="77"/>
  <c r="G105" i="77"/>
  <c r="K105" i="77"/>
  <c r="O105" i="77"/>
  <c r="A106" i="77"/>
  <c r="B106" i="77"/>
  <c r="C106" i="77"/>
  <c r="D106" i="77"/>
  <c r="Q106" i="77" s="1"/>
  <c r="E106" i="77"/>
  <c r="G106" i="77"/>
  <c r="K106" i="77"/>
  <c r="O106" i="77"/>
  <c r="A107" i="77"/>
  <c r="B107" i="77"/>
  <c r="C107" i="77"/>
  <c r="D107" i="77"/>
  <c r="Q107" i="77" s="1"/>
  <c r="E107" i="77"/>
  <c r="G107" i="77"/>
  <c r="K107" i="77"/>
  <c r="O107" i="77"/>
  <c r="A108" i="77"/>
  <c r="B108" i="77"/>
  <c r="C108" i="77"/>
  <c r="D108" i="77"/>
  <c r="Q108" i="77" s="1"/>
  <c r="E108" i="77"/>
  <c r="G108" i="77"/>
  <c r="K108" i="77"/>
  <c r="O108" i="77"/>
  <c r="A109" i="77"/>
  <c r="B109" i="77"/>
  <c r="C109" i="77"/>
  <c r="D109" i="77"/>
  <c r="Q109" i="77" s="1"/>
  <c r="E109" i="77"/>
  <c r="G109" i="77"/>
  <c r="K109" i="77"/>
  <c r="O109" i="77"/>
  <c r="A110" i="77"/>
  <c r="B110" i="77"/>
  <c r="C110" i="77"/>
  <c r="D110" i="77"/>
  <c r="Q110" i="77" s="1"/>
  <c r="E110" i="77"/>
  <c r="G110" i="77"/>
  <c r="K110" i="77"/>
  <c r="O110" i="77"/>
  <c r="A111" i="77"/>
  <c r="B111" i="77"/>
  <c r="C111" i="77"/>
  <c r="D111" i="77"/>
  <c r="Q111" i="77" s="1"/>
  <c r="E111" i="77"/>
  <c r="G111" i="77"/>
  <c r="K111" i="77"/>
  <c r="O111" i="77"/>
  <c r="A112" i="77"/>
  <c r="B112" i="77"/>
  <c r="C112" i="77"/>
  <c r="D112" i="77"/>
  <c r="Q112" i="77" s="1"/>
  <c r="E112" i="77"/>
  <c r="G112" i="77"/>
  <c r="K112" i="77"/>
  <c r="O112" i="77"/>
  <c r="A90" i="76"/>
  <c r="B90" i="76"/>
  <c r="C90" i="76"/>
  <c r="D90" i="76"/>
  <c r="Q90" i="76" s="1"/>
  <c r="E90" i="76"/>
  <c r="G90" i="76"/>
  <c r="K90" i="76"/>
  <c r="O90" i="76"/>
  <c r="A91" i="76"/>
  <c r="B91" i="76"/>
  <c r="C91" i="76"/>
  <c r="D91" i="76"/>
  <c r="Q91" i="76" s="1"/>
  <c r="E91" i="76"/>
  <c r="G91" i="76"/>
  <c r="K91" i="76"/>
  <c r="O91" i="76"/>
  <c r="A92" i="76"/>
  <c r="B92" i="76"/>
  <c r="C92" i="76"/>
  <c r="D92" i="76"/>
  <c r="Q92" i="76" s="1"/>
  <c r="E92" i="76"/>
  <c r="G92" i="76"/>
  <c r="K92" i="76"/>
  <c r="O92" i="76"/>
  <c r="A93" i="76"/>
  <c r="B93" i="76"/>
  <c r="C93" i="76"/>
  <c r="D93" i="76"/>
  <c r="Q93" i="76" s="1"/>
  <c r="E93" i="76"/>
  <c r="G93" i="76"/>
  <c r="K93" i="76"/>
  <c r="O93" i="76"/>
  <c r="A94" i="76"/>
  <c r="B94" i="76"/>
  <c r="C94" i="76"/>
  <c r="D94" i="76"/>
  <c r="Q94" i="76" s="1"/>
  <c r="E94" i="76"/>
  <c r="G94" i="76"/>
  <c r="K94" i="76"/>
  <c r="O94" i="76"/>
  <c r="A95" i="76"/>
  <c r="B95" i="76"/>
  <c r="C95" i="76"/>
  <c r="D95" i="76"/>
  <c r="Q95" i="76" s="1"/>
  <c r="E95" i="76"/>
  <c r="G95" i="76"/>
  <c r="K95" i="76"/>
  <c r="O95" i="76"/>
  <c r="A96" i="76"/>
  <c r="B96" i="76"/>
  <c r="C96" i="76"/>
  <c r="D96" i="76"/>
  <c r="Q96" i="76" s="1"/>
  <c r="E96" i="76"/>
  <c r="G96" i="76"/>
  <c r="K96" i="76"/>
  <c r="O96" i="76"/>
  <c r="A97" i="76"/>
  <c r="B97" i="76"/>
  <c r="C97" i="76"/>
  <c r="D97" i="76"/>
  <c r="Q97" i="76" s="1"/>
  <c r="E97" i="76"/>
  <c r="G97" i="76"/>
  <c r="K97" i="76"/>
  <c r="O97" i="76"/>
  <c r="A98" i="76"/>
  <c r="B98" i="76"/>
  <c r="C98" i="76"/>
  <c r="D98" i="76"/>
  <c r="Q98" i="76" s="1"/>
  <c r="E98" i="76"/>
  <c r="G98" i="76"/>
  <c r="K98" i="76"/>
  <c r="O98" i="76"/>
  <c r="A99" i="76"/>
  <c r="B99" i="76"/>
  <c r="C99" i="76"/>
  <c r="D99" i="76"/>
  <c r="Q99" i="76" s="1"/>
  <c r="E99" i="76"/>
  <c r="G99" i="76"/>
  <c r="K99" i="76"/>
  <c r="O99" i="76"/>
  <c r="A100" i="76"/>
  <c r="B100" i="76"/>
  <c r="C100" i="76"/>
  <c r="D100" i="76"/>
  <c r="Q100" i="76" s="1"/>
  <c r="E100" i="76"/>
  <c r="G100" i="76"/>
  <c r="K100" i="76"/>
  <c r="O100" i="76"/>
  <c r="A101" i="76"/>
  <c r="B101" i="76"/>
  <c r="C101" i="76"/>
  <c r="D101" i="76"/>
  <c r="Q101" i="76" s="1"/>
  <c r="E101" i="76"/>
  <c r="G101" i="76"/>
  <c r="K101" i="76"/>
  <c r="O101" i="76"/>
  <c r="A102" i="76"/>
  <c r="B102" i="76"/>
  <c r="C102" i="76"/>
  <c r="D102" i="76"/>
  <c r="Q102" i="76" s="1"/>
  <c r="E102" i="76"/>
  <c r="G102" i="76"/>
  <c r="K102" i="76"/>
  <c r="O102" i="76"/>
  <c r="A103" i="76"/>
  <c r="B103" i="76"/>
  <c r="C103" i="76"/>
  <c r="D103" i="76"/>
  <c r="Q103" i="76" s="1"/>
  <c r="E103" i="76"/>
  <c r="G103" i="76"/>
  <c r="K103" i="76"/>
  <c r="O103" i="76"/>
  <c r="A104" i="76"/>
  <c r="B104" i="76"/>
  <c r="C104" i="76"/>
  <c r="D104" i="76"/>
  <c r="Q104" i="76" s="1"/>
  <c r="E104" i="76"/>
  <c r="G104" i="76"/>
  <c r="K104" i="76"/>
  <c r="O104" i="76"/>
  <c r="A105" i="76"/>
  <c r="B105" i="76"/>
  <c r="C105" i="76"/>
  <c r="D105" i="76"/>
  <c r="Q105" i="76" s="1"/>
  <c r="E105" i="76"/>
  <c r="G105" i="76"/>
  <c r="K105" i="76"/>
  <c r="O105" i="76"/>
  <c r="A106" i="76"/>
  <c r="B106" i="76"/>
  <c r="C106" i="76"/>
  <c r="D106" i="76"/>
  <c r="Q106" i="76" s="1"/>
  <c r="E106" i="76"/>
  <c r="G106" i="76"/>
  <c r="K106" i="76"/>
  <c r="O106" i="76"/>
  <c r="A107" i="76"/>
  <c r="B107" i="76"/>
  <c r="C107" i="76"/>
  <c r="D107" i="76"/>
  <c r="Q107" i="76" s="1"/>
  <c r="E107" i="76"/>
  <c r="G107" i="76"/>
  <c r="K107" i="76"/>
  <c r="O107" i="76"/>
  <c r="A108" i="76"/>
  <c r="B108" i="76"/>
  <c r="C108" i="76"/>
  <c r="D108" i="76"/>
  <c r="Q108" i="76" s="1"/>
  <c r="E108" i="76"/>
  <c r="G108" i="76"/>
  <c r="K108" i="76"/>
  <c r="O108" i="76"/>
  <c r="A109" i="76"/>
  <c r="B109" i="76"/>
  <c r="C109" i="76"/>
  <c r="D109" i="76"/>
  <c r="Q109" i="76" s="1"/>
  <c r="E109" i="76"/>
  <c r="G109" i="76"/>
  <c r="K109" i="76"/>
  <c r="O109" i="76"/>
  <c r="A110" i="76"/>
  <c r="B110" i="76"/>
  <c r="C110" i="76"/>
  <c r="D110" i="76"/>
  <c r="Q110" i="76" s="1"/>
  <c r="E110" i="76"/>
  <c r="G110" i="76"/>
  <c r="K110" i="76"/>
  <c r="O110" i="76"/>
  <c r="A111" i="76"/>
  <c r="B111" i="76"/>
  <c r="C111" i="76"/>
  <c r="D111" i="76"/>
  <c r="Q111" i="76" s="1"/>
  <c r="E111" i="76"/>
  <c r="G111" i="76"/>
  <c r="K111" i="76"/>
  <c r="O111" i="76"/>
  <c r="A112" i="76"/>
  <c r="B112" i="76"/>
  <c r="C112" i="76"/>
  <c r="D112" i="76"/>
  <c r="Q112" i="76" s="1"/>
  <c r="E112" i="76"/>
  <c r="G112" i="76"/>
  <c r="K112" i="76"/>
  <c r="O112" i="76"/>
  <c r="A90" i="75"/>
  <c r="B90" i="75"/>
  <c r="C90" i="75"/>
  <c r="D90" i="75"/>
  <c r="Q90" i="75" s="1"/>
  <c r="E90" i="75"/>
  <c r="G90" i="75"/>
  <c r="K90" i="75"/>
  <c r="O90" i="75"/>
  <c r="A91" i="75"/>
  <c r="B91" i="75"/>
  <c r="C91" i="75"/>
  <c r="D91" i="75"/>
  <c r="Q91" i="75" s="1"/>
  <c r="E91" i="75"/>
  <c r="G91" i="75"/>
  <c r="K91" i="75"/>
  <c r="O91" i="75"/>
  <c r="A92" i="75"/>
  <c r="B92" i="75"/>
  <c r="C92" i="75"/>
  <c r="D92" i="75"/>
  <c r="Q92" i="75" s="1"/>
  <c r="E92" i="75"/>
  <c r="G92" i="75"/>
  <c r="K92" i="75"/>
  <c r="O92" i="75"/>
  <c r="A93" i="75"/>
  <c r="B93" i="75"/>
  <c r="C93" i="75"/>
  <c r="D93" i="75"/>
  <c r="Q93" i="75" s="1"/>
  <c r="E93" i="75"/>
  <c r="G93" i="75"/>
  <c r="K93" i="75"/>
  <c r="O93" i="75"/>
  <c r="A94" i="75"/>
  <c r="B94" i="75"/>
  <c r="C94" i="75"/>
  <c r="D94" i="75"/>
  <c r="Q94" i="75" s="1"/>
  <c r="E94" i="75"/>
  <c r="G94" i="75"/>
  <c r="K94" i="75"/>
  <c r="O94" i="75"/>
  <c r="A95" i="75"/>
  <c r="B95" i="75"/>
  <c r="C95" i="75"/>
  <c r="D95" i="75"/>
  <c r="Q95" i="75" s="1"/>
  <c r="E95" i="75"/>
  <c r="G95" i="75"/>
  <c r="K95" i="75"/>
  <c r="O95" i="75"/>
  <c r="A96" i="75"/>
  <c r="B96" i="75"/>
  <c r="C96" i="75"/>
  <c r="D96" i="75"/>
  <c r="Q96" i="75" s="1"/>
  <c r="E96" i="75"/>
  <c r="G96" i="75"/>
  <c r="K96" i="75"/>
  <c r="O96" i="75"/>
  <c r="A97" i="75"/>
  <c r="B97" i="75"/>
  <c r="C97" i="75"/>
  <c r="D97" i="75"/>
  <c r="Q97" i="75" s="1"/>
  <c r="E97" i="75"/>
  <c r="G97" i="75"/>
  <c r="K97" i="75"/>
  <c r="O97" i="75"/>
  <c r="A98" i="75"/>
  <c r="B98" i="75"/>
  <c r="C98" i="75"/>
  <c r="D98" i="75"/>
  <c r="Q98" i="75" s="1"/>
  <c r="E98" i="75"/>
  <c r="G98" i="75"/>
  <c r="K98" i="75"/>
  <c r="O98" i="75"/>
  <c r="A99" i="75"/>
  <c r="B99" i="75"/>
  <c r="C99" i="75"/>
  <c r="D99" i="75"/>
  <c r="Q99" i="75" s="1"/>
  <c r="E99" i="75"/>
  <c r="G99" i="75"/>
  <c r="K99" i="75"/>
  <c r="O99" i="75"/>
  <c r="A100" i="75"/>
  <c r="B100" i="75"/>
  <c r="C100" i="75"/>
  <c r="D100" i="75"/>
  <c r="Q100" i="75" s="1"/>
  <c r="E100" i="75"/>
  <c r="G100" i="75"/>
  <c r="K100" i="75"/>
  <c r="O100" i="75"/>
  <c r="A101" i="75"/>
  <c r="B101" i="75"/>
  <c r="C101" i="75"/>
  <c r="D101" i="75"/>
  <c r="Q101" i="75" s="1"/>
  <c r="E101" i="75"/>
  <c r="G101" i="75"/>
  <c r="K101" i="75"/>
  <c r="O101" i="75"/>
  <c r="A102" i="75"/>
  <c r="B102" i="75"/>
  <c r="C102" i="75"/>
  <c r="D102" i="75"/>
  <c r="Q102" i="75" s="1"/>
  <c r="E102" i="75"/>
  <c r="G102" i="75"/>
  <c r="K102" i="75"/>
  <c r="O102" i="75"/>
  <c r="A103" i="75"/>
  <c r="B103" i="75"/>
  <c r="C103" i="75"/>
  <c r="D103" i="75"/>
  <c r="Q103" i="75" s="1"/>
  <c r="E103" i="75"/>
  <c r="G103" i="75"/>
  <c r="K103" i="75"/>
  <c r="O103" i="75"/>
  <c r="A104" i="75"/>
  <c r="B104" i="75"/>
  <c r="C104" i="75"/>
  <c r="D104" i="75"/>
  <c r="Q104" i="75" s="1"/>
  <c r="E104" i="75"/>
  <c r="G104" i="75"/>
  <c r="K104" i="75"/>
  <c r="O104" i="75"/>
  <c r="A105" i="75"/>
  <c r="B105" i="75"/>
  <c r="C105" i="75"/>
  <c r="D105" i="75"/>
  <c r="Q105" i="75" s="1"/>
  <c r="E105" i="75"/>
  <c r="G105" i="75"/>
  <c r="K105" i="75"/>
  <c r="O105" i="75"/>
  <c r="A106" i="75"/>
  <c r="B106" i="75"/>
  <c r="C106" i="75"/>
  <c r="D106" i="75"/>
  <c r="Q106" i="75" s="1"/>
  <c r="E106" i="75"/>
  <c r="G106" i="75"/>
  <c r="K106" i="75"/>
  <c r="O106" i="75"/>
  <c r="A107" i="75"/>
  <c r="B107" i="75"/>
  <c r="C107" i="75"/>
  <c r="D107" i="75"/>
  <c r="Q107" i="75" s="1"/>
  <c r="E107" i="75"/>
  <c r="G107" i="75"/>
  <c r="K107" i="75"/>
  <c r="O107" i="75"/>
  <c r="A108" i="75"/>
  <c r="B108" i="75"/>
  <c r="C108" i="75"/>
  <c r="D108" i="75"/>
  <c r="Q108" i="75" s="1"/>
  <c r="E108" i="75"/>
  <c r="G108" i="75"/>
  <c r="K108" i="75"/>
  <c r="O108" i="75"/>
  <c r="A109" i="75"/>
  <c r="B109" i="75"/>
  <c r="C109" i="75"/>
  <c r="D109" i="75"/>
  <c r="Q109" i="75" s="1"/>
  <c r="E109" i="75"/>
  <c r="G109" i="75"/>
  <c r="K109" i="75"/>
  <c r="O109" i="75"/>
  <c r="A110" i="75"/>
  <c r="B110" i="75"/>
  <c r="C110" i="75"/>
  <c r="D110" i="75"/>
  <c r="Q110" i="75" s="1"/>
  <c r="E110" i="75"/>
  <c r="G110" i="75"/>
  <c r="K110" i="75"/>
  <c r="O110" i="75"/>
  <c r="A111" i="75"/>
  <c r="B111" i="75"/>
  <c r="C111" i="75"/>
  <c r="D111" i="75"/>
  <c r="Q111" i="75" s="1"/>
  <c r="E111" i="75"/>
  <c r="G111" i="75"/>
  <c r="K111" i="75"/>
  <c r="O111" i="75"/>
  <c r="A112" i="75"/>
  <c r="B112" i="75"/>
  <c r="C112" i="75"/>
  <c r="D112" i="75"/>
  <c r="Q112" i="75" s="1"/>
  <c r="E112" i="75"/>
  <c r="G112" i="75"/>
  <c r="K112" i="75"/>
  <c r="O112" i="75"/>
  <c r="A90" i="74"/>
  <c r="B90" i="74"/>
  <c r="C90" i="74"/>
  <c r="D90" i="74"/>
  <c r="Q90" i="74" s="1"/>
  <c r="E90" i="74"/>
  <c r="G90" i="74"/>
  <c r="K90" i="74"/>
  <c r="O90" i="74"/>
  <c r="A91" i="74"/>
  <c r="B91" i="74"/>
  <c r="C91" i="74"/>
  <c r="D91" i="74"/>
  <c r="Q91" i="74" s="1"/>
  <c r="E91" i="74"/>
  <c r="G91" i="74"/>
  <c r="K91" i="74"/>
  <c r="O91" i="74"/>
  <c r="A92" i="74"/>
  <c r="B92" i="74"/>
  <c r="C92" i="74"/>
  <c r="D92" i="74"/>
  <c r="Q92" i="74" s="1"/>
  <c r="E92" i="74"/>
  <c r="G92" i="74"/>
  <c r="K92" i="74"/>
  <c r="O92" i="74"/>
  <c r="A93" i="74"/>
  <c r="B93" i="74"/>
  <c r="C93" i="74"/>
  <c r="D93" i="74"/>
  <c r="Q93" i="74" s="1"/>
  <c r="E93" i="74"/>
  <c r="G93" i="74"/>
  <c r="K93" i="74"/>
  <c r="O93" i="74"/>
  <c r="A94" i="74"/>
  <c r="B94" i="74"/>
  <c r="C94" i="74"/>
  <c r="D94" i="74"/>
  <c r="Q94" i="74" s="1"/>
  <c r="E94" i="74"/>
  <c r="G94" i="74"/>
  <c r="K94" i="74"/>
  <c r="O94" i="74"/>
  <c r="A95" i="74"/>
  <c r="B95" i="74"/>
  <c r="C95" i="74"/>
  <c r="D95" i="74"/>
  <c r="Q95" i="74" s="1"/>
  <c r="E95" i="74"/>
  <c r="G95" i="74"/>
  <c r="K95" i="74"/>
  <c r="O95" i="74"/>
  <c r="A96" i="74"/>
  <c r="B96" i="74"/>
  <c r="C96" i="74"/>
  <c r="D96" i="74"/>
  <c r="Q96" i="74" s="1"/>
  <c r="E96" i="74"/>
  <c r="G96" i="74"/>
  <c r="K96" i="74"/>
  <c r="O96" i="74"/>
  <c r="A97" i="74"/>
  <c r="B97" i="74"/>
  <c r="C97" i="74"/>
  <c r="D97" i="74"/>
  <c r="Q97" i="74" s="1"/>
  <c r="E97" i="74"/>
  <c r="G97" i="74"/>
  <c r="K97" i="74"/>
  <c r="O97" i="74"/>
  <c r="A98" i="74"/>
  <c r="B98" i="74"/>
  <c r="C98" i="74"/>
  <c r="D98" i="74"/>
  <c r="Q98" i="74" s="1"/>
  <c r="E98" i="74"/>
  <c r="G98" i="74"/>
  <c r="K98" i="74"/>
  <c r="O98" i="74"/>
  <c r="A99" i="74"/>
  <c r="B99" i="74"/>
  <c r="C99" i="74"/>
  <c r="D99" i="74"/>
  <c r="Q99" i="74" s="1"/>
  <c r="E99" i="74"/>
  <c r="G99" i="74"/>
  <c r="K99" i="74"/>
  <c r="O99" i="74"/>
  <c r="A100" i="74"/>
  <c r="B100" i="74"/>
  <c r="C100" i="74"/>
  <c r="D100" i="74"/>
  <c r="Q100" i="74" s="1"/>
  <c r="E100" i="74"/>
  <c r="G100" i="74"/>
  <c r="K100" i="74"/>
  <c r="O100" i="74"/>
  <c r="A101" i="74"/>
  <c r="B101" i="74"/>
  <c r="C101" i="74"/>
  <c r="D101" i="74"/>
  <c r="Q101" i="74" s="1"/>
  <c r="E101" i="74"/>
  <c r="G101" i="74"/>
  <c r="K101" i="74"/>
  <c r="O101" i="74"/>
  <c r="A102" i="74"/>
  <c r="B102" i="74"/>
  <c r="C102" i="74"/>
  <c r="D102" i="74"/>
  <c r="Q102" i="74" s="1"/>
  <c r="E102" i="74"/>
  <c r="G102" i="74"/>
  <c r="K102" i="74"/>
  <c r="O102" i="74"/>
  <c r="A103" i="74"/>
  <c r="B103" i="74"/>
  <c r="C103" i="74"/>
  <c r="D103" i="74"/>
  <c r="Q103" i="74" s="1"/>
  <c r="E103" i="74"/>
  <c r="G103" i="74"/>
  <c r="K103" i="74"/>
  <c r="O103" i="74"/>
  <c r="A104" i="74"/>
  <c r="B104" i="74"/>
  <c r="C104" i="74"/>
  <c r="D104" i="74"/>
  <c r="Q104" i="74" s="1"/>
  <c r="E104" i="74"/>
  <c r="G104" i="74"/>
  <c r="K104" i="74"/>
  <c r="O104" i="74"/>
  <c r="A105" i="74"/>
  <c r="B105" i="74"/>
  <c r="C105" i="74"/>
  <c r="D105" i="74"/>
  <c r="Q105" i="74" s="1"/>
  <c r="E105" i="74"/>
  <c r="G105" i="74"/>
  <c r="K105" i="74"/>
  <c r="O105" i="74"/>
  <c r="A106" i="74"/>
  <c r="B106" i="74"/>
  <c r="C106" i="74"/>
  <c r="D106" i="74"/>
  <c r="Q106" i="74" s="1"/>
  <c r="E106" i="74"/>
  <c r="G106" i="74"/>
  <c r="K106" i="74"/>
  <c r="O106" i="74"/>
  <c r="A107" i="74"/>
  <c r="B107" i="74"/>
  <c r="C107" i="74"/>
  <c r="D107" i="74"/>
  <c r="Q107" i="74" s="1"/>
  <c r="E107" i="74"/>
  <c r="G107" i="74"/>
  <c r="K107" i="74"/>
  <c r="O107" i="74"/>
  <c r="A108" i="74"/>
  <c r="B108" i="74"/>
  <c r="C108" i="74"/>
  <c r="D108" i="74"/>
  <c r="Q108" i="74" s="1"/>
  <c r="E108" i="74"/>
  <c r="G108" i="74"/>
  <c r="K108" i="74"/>
  <c r="O108" i="74"/>
  <c r="A109" i="74"/>
  <c r="B109" i="74"/>
  <c r="C109" i="74"/>
  <c r="D109" i="74"/>
  <c r="Q109" i="74" s="1"/>
  <c r="E109" i="74"/>
  <c r="G109" i="74"/>
  <c r="K109" i="74"/>
  <c r="O109" i="74"/>
  <c r="A110" i="74"/>
  <c r="B110" i="74"/>
  <c r="C110" i="74"/>
  <c r="D110" i="74"/>
  <c r="Q110" i="74" s="1"/>
  <c r="E110" i="74"/>
  <c r="G110" i="74"/>
  <c r="K110" i="74"/>
  <c r="O110" i="74"/>
  <c r="A111" i="74"/>
  <c r="B111" i="74"/>
  <c r="C111" i="74"/>
  <c r="D111" i="74"/>
  <c r="Q111" i="74" s="1"/>
  <c r="E111" i="74"/>
  <c r="G111" i="74"/>
  <c r="K111" i="74"/>
  <c r="O111" i="74"/>
  <c r="A112" i="74"/>
  <c r="B112" i="74"/>
  <c r="C112" i="74"/>
  <c r="D112" i="74"/>
  <c r="Q112" i="74" s="1"/>
  <c r="E112" i="74"/>
  <c r="G112" i="74"/>
  <c r="K112" i="74"/>
  <c r="O112" i="74"/>
  <c r="A90" i="73"/>
  <c r="B90" i="73"/>
  <c r="C90" i="73"/>
  <c r="D90" i="73"/>
  <c r="Q90" i="73" s="1"/>
  <c r="E90" i="73"/>
  <c r="G90" i="73"/>
  <c r="K90" i="73"/>
  <c r="O90" i="73"/>
  <c r="A91" i="73"/>
  <c r="B91" i="73"/>
  <c r="C91" i="73"/>
  <c r="D91" i="73"/>
  <c r="Q91" i="73" s="1"/>
  <c r="E91" i="73"/>
  <c r="G91" i="73"/>
  <c r="K91" i="73"/>
  <c r="O91" i="73"/>
  <c r="A92" i="73"/>
  <c r="B92" i="73"/>
  <c r="C92" i="73"/>
  <c r="D92" i="73"/>
  <c r="Q92" i="73" s="1"/>
  <c r="E92" i="73"/>
  <c r="G92" i="73"/>
  <c r="K92" i="73"/>
  <c r="O92" i="73"/>
  <c r="A93" i="73"/>
  <c r="B93" i="73"/>
  <c r="C93" i="73"/>
  <c r="D93" i="73"/>
  <c r="Q93" i="73" s="1"/>
  <c r="E93" i="73"/>
  <c r="G93" i="73"/>
  <c r="K93" i="73"/>
  <c r="O93" i="73"/>
  <c r="A94" i="73"/>
  <c r="B94" i="73"/>
  <c r="C94" i="73"/>
  <c r="D94" i="73"/>
  <c r="Q94" i="73" s="1"/>
  <c r="E94" i="73"/>
  <c r="G94" i="73"/>
  <c r="K94" i="73"/>
  <c r="O94" i="73"/>
  <c r="A95" i="73"/>
  <c r="B95" i="73"/>
  <c r="C95" i="73"/>
  <c r="D95" i="73"/>
  <c r="Q95" i="73" s="1"/>
  <c r="E95" i="73"/>
  <c r="G95" i="73"/>
  <c r="K95" i="73"/>
  <c r="O95" i="73"/>
  <c r="A96" i="73"/>
  <c r="B96" i="73"/>
  <c r="C96" i="73"/>
  <c r="D96" i="73"/>
  <c r="Q96" i="73" s="1"/>
  <c r="E96" i="73"/>
  <c r="G96" i="73"/>
  <c r="K96" i="73"/>
  <c r="O96" i="73"/>
  <c r="A97" i="73"/>
  <c r="B97" i="73"/>
  <c r="C97" i="73"/>
  <c r="D97" i="73"/>
  <c r="Q97" i="73" s="1"/>
  <c r="E97" i="73"/>
  <c r="G97" i="73"/>
  <c r="K97" i="73"/>
  <c r="O97" i="73"/>
  <c r="A98" i="73"/>
  <c r="B98" i="73"/>
  <c r="C98" i="73"/>
  <c r="D98" i="73"/>
  <c r="Q98" i="73" s="1"/>
  <c r="E98" i="73"/>
  <c r="G98" i="73"/>
  <c r="K98" i="73"/>
  <c r="O98" i="73"/>
  <c r="A99" i="73"/>
  <c r="B99" i="73"/>
  <c r="C99" i="73"/>
  <c r="D99" i="73"/>
  <c r="Q99" i="73" s="1"/>
  <c r="E99" i="73"/>
  <c r="G99" i="73"/>
  <c r="K99" i="73"/>
  <c r="O99" i="73"/>
  <c r="A100" i="73"/>
  <c r="B100" i="73"/>
  <c r="C100" i="73"/>
  <c r="D100" i="73"/>
  <c r="Q100" i="73" s="1"/>
  <c r="E100" i="73"/>
  <c r="G100" i="73"/>
  <c r="K100" i="73"/>
  <c r="O100" i="73"/>
  <c r="A101" i="73"/>
  <c r="B101" i="73"/>
  <c r="C101" i="73"/>
  <c r="D101" i="73"/>
  <c r="Q101" i="73" s="1"/>
  <c r="E101" i="73"/>
  <c r="G101" i="73"/>
  <c r="K101" i="73"/>
  <c r="O101" i="73"/>
  <c r="A102" i="73"/>
  <c r="B102" i="73"/>
  <c r="C102" i="73"/>
  <c r="D102" i="73"/>
  <c r="Q102" i="73" s="1"/>
  <c r="E102" i="73"/>
  <c r="G102" i="73"/>
  <c r="K102" i="73"/>
  <c r="O102" i="73"/>
  <c r="A103" i="73"/>
  <c r="B103" i="73"/>
  <c r="C103" i="73"/>
  <c r="D103" i="73"/>
  <c r="Q103" i="73" s="1"/>
  <c r="E103" i="73"/>
  <c r="G103" i="73"/>
  <c r="K103" i="73"/>
  <c r="O103" i="73"/>
  <c r="A104" i="73"/>
  <c r="B104" i="73"/>
  <c r="C104" i="73"/>
  <c r="D104" i="73"/>
  <c r="Q104" i="73" s="1"/>
  <c r="E104" i="73"/>
  <c r="G104" i="73"/>
  <c r="K104" i="73"/>
  <c r="O104" i="73"/>
  <c r="A105" i="73"/>
  <c r="B105" i="73"/>
  <c r="C105" i="73"/>
  <c r="D105" i="73"/>
  <c r="Q105" i="73" s="1"/>
  <c r="E105" i="73"/>
  <c r="G105" i="73"/>
  <c r="K105" i="73"/>
  <c r="O105" i="73"/>
  <c r="A106" i="73"/>
  <c r="B106" i="73"/>
  <c r="C106" i="73"/>
  <c r="D106" i="73"/>
  <c r="Q106" i="73" s="1"/>
  <c r="E106" i="73"/>
  <c r="G106" i="73"/>
  <c r="K106" i="73"/>
  <c r="O106" i="73"/>
  <c r="A107" i="73"/>
  <c r="B107" i="73"/>
  <c r="C107" i="73"/>
  <c r="D107" i="73"/>
  <c r="Q107" i="73" s="1"/>
  <c r="E107" i="73"/>
  <c r="G107" i="73"/>
  <c r="K107" i="73"/>
  <c r="O107" i="73"/>
  <c r="A108" i="73"/>
  <c r="B108" i="73"/>
  <c r="C108" i="73"/>
  <c r="D108" i="73"/>
  <c r="Q108" i="73" s="1"/>
  <c r="E108" i="73"/>
  <c r="G108" i="73"/>
  <c r="K108" i="73"/>
  <c r="O108" i="73"/>
  <c r="A109" i="73"/>
  <c r="B109" i="73"/>
  <c r="C109" i="73"/>
  <c r="D109" i="73"/>
  <c r="Q109" i="73" s="1"/>
  <c r="E109" i="73"/>
  <c r="G109" i="73"/>
  <c r="K109" i="73"/>
  <c r="O109" i="73"/>
  <c r="A110" i="73"/>
  <c r="B110" i="73"/>
  <c r="C110" i="73"/>
  <c r="D110" i="73"/>
  <c r="Q110" i="73" s="1"/>
  <c r="E110" i="73"/>
  <c r="G110" i="73"/>
  <c r="K110" i="73"/>
  <c r="O110" i="73"/>
  <c r="A111" i="73"/>
  <c r="B111" i="73"/>
  <c r="C111" i="73"/>
  <c r="D111" i="73"/>
  <c r="Q111" i="73" s="1"/>
  <c r="E111" i="73"/>
  <c r="G111" i="73"/>
  <c r="K111" i="73"/>
  <c r="O111" i="73"/>
  <c r="A112" i="73"/>
  <c r="B112" i="73"/>
  <c r="C112" i="73"/>
  <c r="D112" i="73"/>
  <c r="Q112" i="73" s="1"/>
  <c r="E112" i="73"/>
  <c r="G112" i="73"/>
  <c r="K112" i="73"/>
  <c r="O112" i="73"/>
  <c r="A90" i="72"/>
  <c r="B90" i="72"/>
  <c r="C90" i="72"/>
  <c r="D90" i="72"/>
  <c r="Q90" i="72" s="1"/>
  <c r="E90" i="72"/>
  <c r="G90" i="72"/>
  <c r="K90" i="72"/>
  <c r="O90" i="72"/>
  <c r="A91" i="72"/>
  <c r="B91" i="72"/>
  <c r="C91" i="72"/>
  <c r="D91" i="72"/>
  <c r="Q91" i="72" s="1"/>
  <c r="E91" i="72"/>
  <c r="G91" i="72"/>
  <c r="K91" i="72"/>
  <c r="O91" i="72"/>
  <c r="A92" i="72"/>
  <c r="B92" i="72"/>
  <c r="C92" i="72"/>
  <c r="D92" i="72"/>
  <c r="Q92" i="72" s="1"/>
  <c r="E92" i="72"/>
  <c r="G92" i="72"/>
  <c r="K92" i="72"/>
  <c r="O92" i="72"/>
  <c r="A93" i="72"/>
  <c r="B93" i="72"/>
  <c r="C93" i="72"/>
  <c r="D93" i="72"/>
  <c r="Q93" i="72" s="1"/>
  <c r="E93" i="72"/>
  <c r="G93" i="72"/>
  <c r="K93" i="72"/>
  <c r="O93" i="72"/>
  <c r="A94" i="72"/>
  <c r="B94" i="72"/>
  <c r="C94" i="72"/>
  <c r="D94" i="72"/>
  <c r="Q94" i="72" s="1"/>
  <c r="E94" i="72"/>
  <c r="G94" i="72"/>
  <c r="K94" i="72"/>
  <c r="O94" i="72"/>
  <c r="A95" i="72"/>
  <c r="B95" i="72"/>
  <c r="C95" i="72"/>
  <c r="D95" i="72"/>
  <c r="Q95" i="72" s="1"/>
  <c r="E95" i="72"/>
  <c r="G95" i="72"/>
  <c r="K95" i="72"/>
  <c r="O95" i="72"/>
  <c r="A96" i="72"/>
  <c r="B96" i="72"/>
  <c r="C96" i="72"/>
  <c r="D96" i="72"/>
  <c r="Q96" i="72" s="1"/>
  <c r="E96" i="72"/>
  <c r="G96" i="72"/>
  <c r="K96" i="72"/>
  <c r="O96" i="72"/>
  <c r="A97" i="72"/>
  <c r="B97" i="72"/>
  <c r="C97" i="72"/>
  <c r="D97" i="72"/>
  <c r="Q97" i="72" s="1"/>
  <c r="E97" i="72"/>
  <c r="G97" i="72"/>
  <c r="K97" i="72"/>
  <c r="O97" i="72"/>
  <c r="A98" i="72"/>
  <c r="B98" i="72"/>
  <c r="C98" i="72"/>
  <c r="D98" i="72"/>
  <c r="Q98" i="72" s="1"/>
  <c r="E98" i="72"/>
  <c r="G98" i="72"/>
  <c r="K98" i="72"/>
  <c r="O98" i="72"/>
  <c r="A99" i="72"/>
  <c r="B99" i="72"/>
  <c r="C99" i="72"/>
  <c r="D99" i="72"/>
  <c r="Q99" i="72" s="1"/>
  <c r="E99" i="72"/>
  <c r="G99" i="72"/>
  <c r="K99" i="72"/>
  <c r="O99" i="72"/>
  <c r="A100" i="72"/>
  <c r="B100" i="72"/>
  <c r="C100" i="72"/>
  <c r="D100" i="72"/>
  <c r="Q100" i="72" s="1"/>
  <c r="E100" i="72"/>
  <c r="G100" i="72"/>
  <c r="K100" i="72"/>
  <c r="O100" i="72"/>
  <c r="A101" i="72"/>
  <c r="B101" i="72"/>
  <c r="C101" i="72"/>
  <c r="D101" i="72"/>
  <c r="Q101" i="72" s="1"/>
  <c r="E101" i="72"/>
  <c r="G101" i="72"/>
  <c r="K101" i="72"/>
  <c r="O101" i="72"/>
  <c r="A102" i="72"/>
  <c r="B102" i="72"/>
  <c r="C102" i="72"/>
  <c r="D102" i="72"/>
  <c r="Q102" i="72" s="1"/>
  <c r="E102" i="72"/>
  <c r="G102" i="72"/>
  <c r="K102" i="72"/>
  <c r="O102" i="72"/>
  <c r="A103" i="72"/>
  <c r="B103" i="72"/>
  <c r="C103" i="72"/>
  <c r="D103" i="72"/>
  <c r="Q103" i="72" s="1"/>
  <c r="E103" i="72"/>
  <c r="G103" i="72"/>
  <c r="K103" i="72"/>
  <c r="O103" i="72"/>
  <c r="A104" i="72"/>
  <c r="B104" i="72"/>
  <c r="C104" i="72"/>
  <c r="D104" i="72"/>
  <c r="Q104" i="72" s="1"/>
  <c r="E104" i="72"/>
  <c r="G104" i="72"/>
  <c r="K104" i="72"/>
  <c r="O104" i="72"/>
  <c r="A105" i="72"/>
  <c r="B105" i="72"/>
  <c r="C105" i="72"/>
  <c r="D105" i="72"/>
  <c r="Q105" i="72" s="1"/>
  <c r="E105" i="72"/>
  <c r="G105" i="72"/>
  <c r="K105" i="72"/>
  <c r="O105" i="72"/>
  <c r="A106" i="72"/>
  <c r="B106" i="72"/>
  <c r="C106" i="72"/>
  <c r="D106" i="72"/>
  <c r="Q106" i="72" s="1"/>
  <c r="E106" i="72"/>
  <c r="G106" i="72"/>
  <c r="K106" i="72"/>
  <c r="O106" i="72"/>
  <c r="A107" i="72"/>
  <c r="B107" i="72"/>
  <c r="C107" i="72"/>
  <c r="D107" i="72"/>
  <c r="Q107" i="72" s="1"/>
  <c r="E107" i="72"/>
  <c r="G107" i="72"/>
  <c r="K107" i="72"/>
  <c r="O107" i="72"/>
  <c r="A108" i="72"/>
  <c r="B108" i="72"/>
  <c r="C108" i="72"/>
  <c r="D108" i="72"/>
  <c r="Q108" i="72" s="1"/>
  <c r="E108" i="72"/>
  <c r="G108" i="72"/>
  <c r="K108" i="72"/>
  <c r="O108" i="72"/>
  <c r="A109" i="72"/>
  <c r="B109" i="72"/>
  <c r="C109" i="72"/>
  <c r="D109" i="72"/>
  <c r="Q109" i="72" s="1"/>
  <c r="E109" i="72"/>
  <c r="G109" i="72"/>
  <c r="K109" i="72"/>
  <c r="O109" i="72"/>
  <c r="A110" i="72"/>
  <c r="B110" i="72"/>
  <c r="C110" i="72"/>
  <c r="D110" i="72"/>
  <c r="Q110" i="72" s="1"/>
  <c r="E110" i="72"/>
  <c r="G110" i="72"/>
  <c r="K110" i="72"/>
  <c r="O110" i="72"/>
  <c r="A111" i="72"/>
  <c r="B111" i="72"/>
  <c r="C111" i="72"/>
  <c r="D111" i="72"/>
  <c r="Q111" i="72" s="1"/>
  <c r="E111" i="72"/>
  <c r="G111" i="72"/>
  <c r="K111" i="72"/>
  <c r="O111" i="72"/>
  <c r="A112" i="72"/>
  <c r="B112" i="72"/>
  <c r="C112" i="72"/>
  <c r="D112" i="72"/>
  <c r="Q112" i="72" s="1"/>
  <c r="E112" i="72"/>
  <c r="G112" i="72"/>
  <c r="K112" i="72"/>
  <c r="O112" i="72"/>
  <c r="A90" i="57"/>
  <c r="B90" i="57"/>
  <c r="C90" i="57"/>
  <c r="D90" i="57"/>
  <c r="E90" i="57"/>
  <c r="F90" i="57" s="1"/>
  <c r="A91" i="57"/>
  <c r="B91" i="57"/>
  <c r="C91" i="57"/>
  <c r="D91" i="57"/>
  <c r="E91" i="57"/>
  <c r="F91" i="57" s="1"/>
  <c r="A92" i="57"/>
  <c r="B92" i="57"/>
  <c r="C92" i="57"/>
  <c r="D92" i="57"/>
  <c r="E92" i="57"/>
  <c r="F92" i="57" s="1"/>
  <c r="A93" i="57"/>
  <c r="B93" i="57"/>
  <c r="C93" i="57"/>
  <c r="D93" i="57"/>
  <c r="E93" i="57"/>
  <c r="F93" i="57" s="1"/>
  <c r="A94" i="57"/>
  <c r="B94" i="57"/>
  <c r="C94" i="57"/>
  <c r="D94" i="57"/>
  <c r="E94" i="57"/>
  <c r="F94" i="57" s="1"/>
  <c r="A95" i="57"/>
  <c r="B95" i="57"/>
  <c r="C95" i="57"/>
  <c r="D95" i="57"/>
  <c r="E95" i="57"/>
  <c r="F95" i="57" s="1"/>
  <c r="A96" i="57"/>
  <c r="B96" i="57"/>
  <c r="C96" i="57"/>
  <c r="D96" i="57"/>
  <c r="E96" i="57"/>
  <c r="F96" i="57" s="1"/>
  <c r="A97" i="57"/>
  <c r="B97" i="57"/>
  <c r="C97" i="57"/>
  <c r="D97" i="57"/>
  <c r="E97" i="57"/>
  <c r="F97" i="57" s="1"/>
  <c r="A98" i="57"/>
  <c r="B98" i="57"/>
  <c r="C98" i="57"/>
  <c r="D98" i="57"/>
  <c r="E98" i="57"/>
  <c r="F98" i="57" s="1"/>
  <c r="A99" i="57"/>
  <c r="B99" i="57"/>
  <c r="C99" i="57"/>
  <c r="D99" i="57"/>
  <c r="E99" i="57"/>
  <c r="F99" i="57" s="1"/>
  <c r="A100" i="57"/>
  <c r="B100" i="57"/>
  <c r="C100" i="57"/>
  <c r="D100" i="57"/>
  <c r="E100" i="57"/>
  <c r="F100" i="57" s="1"/>
  <c r="A101" i="57"/>
  <c r="B101" i="57"/>
  <c r="C101" i="57"/>
  <c r="D101" i="57"/>
  <c r="E101" i="57"/>
  <c r="F101" i="57" s="1"/>
  <c r="A102" i="57"/>
  <c r="B102" i="57"/>
  <c r="C102" i="57"/>
  <c r="D102" i="57"/>
  <c r="E102" i="57"/>
  <c r="F102" i="57" s="1"/>
  <c r="A103" i="57"/>
  <c r="B103" i="57"/>
  <c r="C103" i="57"/>
  <c r="D103" i="57"/>
  <c r="E103" i="57"/>
  <c r="F103" i="57" s="1"/>
  <c r="A104" i="57"/>
  <c r="B104" i="57"/>
  <c r="C104" i="57"/>
  <c r="D104" i="57"/>
  <c r="E104" i="57"/>
  <c r="F104" i="57" s="1"/>
  <c r="A105" i="57"/>
  <c r="B105" i="57"/>
  <c r="C105" i="57"/>
  <c r="D105" i="57"/>
  <c r="E105" i="57"/>
  <c r="F105" i="57" s="1"/>
  <c r="A106" i="57"/>
  <c r="B106" i="57"/>
  <c r="C106" i="57"/>
  <c r="D106" i="57"/>
  <c r="E106" i="57"/>
  <c r="F106" i="57" s="1"/>
  <c r="A107" i="57"/>
  <c r="B107" i="57"/>
  <c r="C107" i="57"/>
  <c r="D107" i="57"/>
  <c r="E107" i="57"/>
  <c r="F107" i="57" s="1"/>
  <c r="A108" i="57"/>
  <c r="B108" i="57"/>
  <c r="C108" i="57"/>
  <c r="D108" i="57"/>
  <c r="E108" i="57"/>
  <c r="F108" i="57" s="1"/>
  <c r="A109" i="57"/>
  <c r="B109" i="57"/>
  <c r="C109" i="57"/>
  <c r="D109" i="57"/>
  <c r="E109" i="57"/>
  <c r="F109" i="57" s="1"/>
  <c r="A110" i="57"/>
  <c r="B110" i="57"/>
  <c r="C110" i="57"/>
  <c r="D110" i="57"/>
  <c r="E110" i="57"/>
  <c r="F110" i="57" s="1"/>
  <c r="A111" i="57"/>
  <c r="B111" i="57"/>
  <c r="C111" i="57"/>
  <c r="D111" i="57"/>
  <c r="E111" i="57"/>
  <c r="F111" i="57" s="1"/>
  <c r="A112" i="57"/>
  <c r="B112" i="57"/>
  <c r="C112" i="57"/>
  <c r="D112" i="57"/>
  <c r="E112" i="57"/>
  <c r="F112" i="57" s="1"/>
  <c r="A69" i="78"/>
  <c r="B69" i="78"/>
  <c r="C69" i="78"/>
  <c r="D69" i="78"/>
  <c r="Q69" i="78" s="1"/>
  <c r="E69" i="78"/>
  <c r="G69" i="78"/>
  <c r="K69" i="78"/>
  <c r="O69" i="78"/>
  <c r="A70" i="78"/>
  <c r="B70" i="78"/>
  <c r="C70" i="78"/>
  <c r="D70" i="78"/>
  <c r="Q70" i="78" s="1"/>
  <c r="E70" i="78"/>
  <c r="G70" i="78"/>
  <c r="K70" i="78"/>
  <c r="O70" i="78"/>
  <c r="A71" i="78"/>
  <c r="B71" i="78"/>
  <c r="C71" i="78"/>
  <c r="D71" i="78"/>
  <c r="Q71" i="78" s="1"/>
  <c r="E71" i="78"/>
  <c r="G71" i="78"/>
  <c r="K71" i="78"/>
  <c r="O71" i="78"/>
  <c r="A72" i="78"/>
  <c r="B72" i="78"/>
  <c r="C72" i="78"/>
  <c r="D72" i="78"/>
  <c r="Q72" i="78" s="1"/>
  <c r="E72" i="78"/>
  <c r="G72" i="78"/>
  <c r="K72" i="78"/>
  <c r="O72" i="78"/>
  <c r="A73" i="78"/>
  <c r="B73" i="78"/>
  <c r="C73" i="78"/>
  <c r="D73" i="78"/>
  <c r="Q73" i="78" s="1"/>
  <c r="E73" i="78"/>
  <c r="G73" i="78"/>
  <c r="K73" i="78"/>
  <c r="O73" i="78"/>
  <c r="A74" i="78"/>
  <c r="B74" i="78"/>
  <c r="C74" i="78"/>
  <c r="D74" i="78"/>
  <c r="Q74" i="78" s="1"/>
  <c r="E74" i="78"/>
  <c r="G74" i="78"/>
  <c r="K74" i="78"/>
  <c r="O74" i="78"/>
  <c r="A75" i="78"/>
  <c r="B75" i="78"/>
  <c r="C75" i="78"/>
  <c r="D75" i="78"/>
  <c r="Q75" i="78" s="1"/>
  <c r="E75" i="78"/>
  <c r="G75" i="78"/>
  <c r="K75" i="78"/>
  <c r="O75" i="78"/>
  <c r="A76" i="78"/>
  <c r="B76" i="78"/>
  <c r="C76" i="78"/>
  <c r="D76" i="78"/>
  <c r="Q76" i="78" s="1"/>
  <c r="E76" i="78"/>
  <c r="G76" i="78"/>
  <c r="K76" i="78"/>
  <c r="O76" i="78"/>
  <c r="A77" i="78"/>
  <c r="B77" i="78"/>
  <c r="C77" i="78"/>
  <c r="D77" i="78"/>
  <c r="Q77" i="78" s="1"/>
  <c r="E77" i="78"/>
  <c r="G77" i="78"/>
  <c r="K77" i="78"/>
  <c r="O77" i="78"/>
  <c r="A78" i="78"/>
  <c r="B78" i="78"/>
  <c r="C78" i="78"/>
  <c r="D78" i="78"/>
  <c r="Q78" i="78" s="1"/>
  <c r="E78" i="78"/>
  <c r="G78" i="78"/>
  <c r="K78" i="78"/>
  <c r="O78" i="78"/>
  <c r="A79" i="78"/>
  <c r="B79" i="78"/>
  <c r="C79" i="78"/>
  <c r="D79" i="78"/>
  <c r="Q79" i="78" s="1"/>
  <c r="E79" i="78"/>
  <c r="G79" i="78"/>
  <c r="K79" i="78"/>
  <c r="O79" i="78"/>
  <c r="A80" i="78"/>
  <c r="B80" i="78"/>
  <c r="C80" i="78"/>
  <c r="D80" i="78"/>
  <c r="Q80" i="78" s="1"/>
  <c r="E80" i="78"/>
  <c r="G80" i="78"/>
  <c r="K80" i="78"/>
  <c r="O80" i="78"/>
  <c r="A81" i="78"/>
  <c r="B81" i="78"/>
  <c r="C81" i="78"/>
  <c r="D81" i="78"/>
  <c r="Q81" i="78" s="1"/>
  <c r="E81" i="78"/>
  <c r="G81" i="78"/>
  <c r="K81" i="78"/>
  <c r="O81" i="78"/>
  <c r="A82" i="78"/>
  <c r="B82" i="78"/>
  <c r="C82" i="78"/>
  <c r="D82" i="78"/>
  <c r="Q82" i="78" s="1"/>
  <c r="E82" i="78"/>
  <c r="G82" i="78"/>
  <c r="K82" i="78"/>
  <c r="O82" i="78"/>
  <c r="A83" i="78"/>
  <c r="B83" i="78"/>
  <c r="C83" i="78"/>
  <c r="D83" i="78"/>
  <c r="Q83" i="78" s="1"/>
  <c r="E83" i="78"/>
  <c r="G83" i="78"/>
  <c r="K83" i="78"/>
  <c r="O83" i="78"/>
  <c r="A84" i="78"/>
  <c r="B84" i="78"/>
  <c r="C84" i="78"/>
  <c r="D84" i="78"/>
  <c r="Q84" i="78" s="1"/>
  <c r="E84" i="78"/>
  <c r="G84" i="78"/>
  <c r="K84" i="78"/>
  <c r="O84" i="78"/>
  <c r="A69" i="77"/>
  <c r="B69" i="77"/>
  <c r="C69" i="77"/>
  <c r="D69" i="77"/>
  <c r="Q69" i="77" s="1"/>
  <c r="E69" i="77"/>
  <c r="G69" i="77"/>
  <c r="K69" i="77"/>
  <c r="O69" i="77"/>
  <c r="A70" i="77"/>
  <c r="B70" i="77"/>
  <c r="C70" i="77"/>
  <c r="D70" i="77"/>
  <c r="Q70" i="77" s="1"/>
  <c r="E70" i="77"/>
  <c r="G70" i="77"/>
  <c r="K70" i="77"/>
  <c r="O70" i="77"/>
  <c r="A71" i="77"/>
  <c r="B71" i="77"/>
  <c r="C71" i="77"/>
  <c r="D71" i="77"/>
  <c r="Q71" i="77" s="1"/>
  <c r="E71" i="77"/>
  <c r="G71" i="77"/>
  <c r="K71" i="77"/>
  <c r="O71" i="77"/>
  <c r="A72" i="77"/>
  <c r="B72" i="77"/>
  <c r="C72" i="77"/>
  <c r="D72" i="77"/>
  <c r="Q72" i="77" s="1"/>
  <c r="E72" i="77"/>
  <c r="G72" i="77"/>
  <c r="K72" i="77"/>
  <c r="O72" i="77"/>
  <c r="A73" i="77"/>
  <c r="B73" i="77"/>
  <c r="C73" i="77"/>
  <c r="D73" i="77"/>
  <c r="Q73" i="77" s="1"/>
  <c r="E73" i="77"/>
  <c r="G73" i="77"/>
  <c r="K73" i="77"/>
  <c r="O73" i="77"/>
  <c r="A74" i="77"/>
  <c r="B74" i="77"/>
  <c r="C74" i="77"/>
  <c r="D74" i="77"/>
  <c r="Q74" i="77" s="1"/>
  <c r="E74" i="77"/>
  <c r="G74" i="77"/>
  <c r="K74" i="77"/>
  <c r="O74" i="77"/>
  <c r="A75" i="77"/>
  <c r="B75" i="77"/>
  <c r="C75" i="77"/>
  <c r="D75" i="77"/>
  <c r="Q75" i="77" s="1"/>
  <c r="E75" i="77"/>
  <c r="G75" i="77"/>
  <c r="K75" i="77"/>
  <c r="O75" i="77"/>
  <c r="A76" i="77"/>
  <c r="B76" i="77"/>
  <c r="C76" i="77"/>
  <c r="D76" i="77"/>
  <c r="Q76" i="77" s="1"/>
  <c r="E76" i="77"/>
  <c r="G76" i="77"/>
  <c r="K76" i="77"/>
  <c r="O76" i="77"/>
  <c r="A77" i="77"/>
  <c r="B77" i="77"/>
  <c r="C77" i="77"/>
  <c r="D77" i="77"/>
  <c r="Q77" i="77" s="1"/>
  <c r="E77" i="77"/>
  <c r="G77" i="77"/>
  <c r="K77" i="77"/>
  <c r="O77" i="77"/>
  <c r="A78" i="77"/>
  <c r="B78" i="77"/>
  <c r="C78" i="77"/>
  <c r="D78" i="77"/>
  <c r="Q78" i="77" s="1"/>
  <c r="E78" i="77"/>
  <c r="G78" i="77"/>
  <c r="K78" i="77"/>
  <c r="O78" i="77"/>
  <c r="A79" i="77"/>
  <c r="B79" i="77"/>
  <c r="C79" i="77"/>
  <c r="D79" i="77"/>
  <c r="Q79" i="77" s="1"/>
  <c r="E79" i="77"/>
  <c r="G79" i="77"/>
  <c r="K79" i="77"/>
  <c r="O79" i="77"/>
  <c r="A80" i="77"/>
  <c r="B80" i="77"/>
  <c r="C80" i="77"/>
  <c r="D80" i="77"/>
  <c r="Q80" i="77" s="1"/>
  <c r="E80" i="77"/>
  <c r="G80" i="77"/>
  <c r="K80" i="77"/>
  <c r="O80" i="77"/>
  <c r="A81" i="77"/>
  <c r="B81" i="77"/>
  <c r="C81" i="77"/>
  <c r="D81" i="77"/>
  <c r="Q81" i="77" s="1"/>
  <c r="E81" i="77"/>
  <c r="G81" i="77"/>
  <c r="K81" i="77"/>
  <c r="O81" i="77"/>
  <c r="A82" i="77"/>
  <c r="B82" i="77"/>
  <c r="C82" i="77"/>
  <c r="D82" i="77"/>
  <c r="Q82" i="77" s="1"/>
  <c r="E82" i="77"/>
  <c r="G82" i="77"/>
  <c r="K82" i="77"/>
  <c r="O82" i="77"/>
  <c r="A83" i="77"/>
  <c r="B83" i="77"/>
  <c r="C83" i="77"/>
  <c r="D83" i="77"/>
  <c r="Q83" i="77" s="1"/>
  <c r="E83" i="77"/>
  <c r="G83" i="77"/>
  <c r="K83" i="77"/>
  <c r="O83" i="77"/>
  <c r="A84" i="77"/>
  <c r="B84" i="77"/>
  <c r="C84" i="77"/>
  <c r="D84" i="77"/>
  <c r="Q84" i="77" s="1"/>
  <c r="E84" i="77"/>
  <c r="G84" i="77"/>
  <c r="K84" i="77"/>
  <c r="O84" i="77"/>
  <c r="A69" i="76"/>
  <c r="B69" i="76"/>
  <c r="C69" i="76"/>
  <c r="D69" i="76"/>
  <c r="Q69" i="76" s="1"/>
  <c r="E69" i="76"/>
  <c r="G69" i="76"/>
  <c r="K69" i="76"/>
  <c r="O69" i="76"/>
  <c r="A70" i="76"/>
  <c r="B70" i="76"/>
  <c r="C70" i="76"/>
  <c r="D70" i="76"/>
  <c r="Q70" i="76" s="1"/>
  <c r="E70" i="76"/>
  <c r="G70" i="76"/>
  <c r="K70" i="76"/>
  <c r="O70" i="76"/>
  <c r="A71" i="76"/>
  <c r="B71" i="76"/>
  <c r="C71" i="76"/>
  <c r="D71" i="76"/>
  <c r="Q71" i="76" s="1"/>
  <c r="E71" i="76"/>
  <c r="G71" i="76"/>
  <c r="K71" i="76"/>
  <c r="O71" i="76"/>
  <c r="A72" i="76"/>
  <c r="B72" i="76"/>
  <c r="C72" i="76"/>
  <c r="D72" i="76"/>
  <c r="Q72" i="76" s="1"/>
  <c r="E72" i="76"/>
  <c r="G72" i="76"/>
  <c r="K72" i="76"/>
  <c r="O72" i="76"/>
  <c r="A73" i="76"/>
  <c r="B73" i="76"/>
  <c r="C73" i="76"/>
  <c r="D73" i="76"/>
  <c r="Q73" i="76" s="1"/>
  <c r="E73" i="76"/>
  <c r="G73" i="76"/>
  <c r="K73" i="76"/>
  <c r="O73" i="76"/>
  <c r="A74" i="76"/>
  <c r="B74" i="76"/>
  <c r="C74" i="76"/>
  <c r="D74" i="76"/>
  <c r="Q74" i="76" s="1"/>
  <c r="E74" i="76"/>
  <c r="G74" i="76"/>
  <c r="K74" i="76"/>
  <c r="O74" i="76"/>
  <c r="A75" i="76"/>
  <c r="B75" i="76"/>
  <c r="C75" i="76"/>
  <c r="D75" i="76"/>
  <c r="Q75" i="76" s="1"/>
  <c r="E75" i="76"/>
  <c r="G75" i="76"/>
  <c r="K75" i="76"/>
  <c r="O75" i="76"/>
  <c r="A76" i="76"/>
  <c r="B76" i="76"/>
  <c r="C76" i="76"/>
  <c r="D76" i="76"/>
  <c r="Q76" i="76" s="1"/>
  <c r="E76" i="76"/>
  <c r="G76" i="76"/>
  <c r="K76" i="76"/>
  <c r="O76" i="76"/>
  <c r="A77" i="76"/>
  <c r="B77" i="76"/>
  <c r="C77" i="76"/>
  <c r="D77" i="76"/>
  <c r="Q77" i="76" s="1"/>
  <c r="E77" i="76"/>
  <c r="G77" i="76"/>
  <c r="K77" i="76"/>
  <c r="O77" i="76"/>
  <c r="A78" i="76"/>
  <c r="B78" i="76"/>
  <c r="C78" i="76"/>
  <c r="D78" i="76"/>
  <c r="Q78" i="76" s="1"/>
  <c r="E78" i="76"/>
  <c r="G78" i="76"/>
  <c r="K78" i="76"/>
  <c r="O78" i="76"/>
  <c r="A79" i="76"/>
  <c r="B79" i="76"/>
  <c r="C79" i="76"/>
  <c r="D79" i="76"/>
  <c r="Q79" i="76" s="1"/>
  <c r="E79" i="76"/>
  <c r="G79" i="76"/>
  <c r="K79" i="76"/>
  <c r="O79" i="76"/>
  <c r="A80" i="76"/>
  <c r="B80" i="76"/>
  <c r="C80" i="76"/>
  <c r="D80" i="76"/>
  <c r="Q80" i="76" s="1"/>
  <c r="E80" i="76"/>
  <c r="G80" i="76"/>
  <c r="K80" i="76"/>
  <c r="O80" i="76"/>
  <c r="A81" i="76"/>
  <c r="B81" i="76"/>
  <c r="C81" i="76"/>
  <c r="D81" i="76"/>
  <c r="Q81" i="76" s="1"/>
  <c r="E81" i="76"/>
  <c r="G81" i="76"/>
  <c r="K81" i="76"/>
  <c r="O81" i="76"/>
  <c r="A82" i="76"/>
  <c r="B82" i="76"/>
  <c r="C82" i="76"/>
  <c r="D82" i="76"/>
  <c r="Q82" i="76" s="1"/>
  <c r="E82" i="76"/>
  <c r="G82" i="76"/>
  <c r="K82" i="76"/>
  <c r="O82" i="76"/>
  <c r="A83" i="76"/>
  <c r="B83" i="76"/>
  <c r="C83" i="76"/>
  <c r="D83" i="76"/>
  <c r="Q83" i="76" s="1"/>
  <c r="E83" i="76"/>
  <c r="G83" i="76"/>
  <c r="K83" i="76"/>
  <c r="O83" i="76"/>
  <c r="A84" i="76"/>
  <c r="B84" i="76"/>
  <c r="C84" i="76"/>
  <c r="D84" i="76"/>
  <c r="Q84" i="76" s="1"/>
  <c r="E84" i="76"/>
  <c r="G84" i="76"/>
  <c r="K84" i="76"/>
  <c r="O84" i="76"/>
  <c r="A69" i="75"/>
  <c r="B69" i="75"/>
  <c r="C69" i="75"/>
  <c r="D69" i="75"/>
  <c r="Q69" i="75" s="1"/>
  <c r="E69" i="75"/>
  <c r="G69" i="75"/>
  <c r="K69" i="75"/>
  <c r="O69" i="75"/>
  <c r="A70" i="75"/>
  <c r="B70" i="75"/>
  <c r="C70" i="75"/>
  <c r="D70" i="75"/>
  <c r="Q70" i="75" s="1"/>
  <c r="E70" i="75"/>
  <c r="G70" i="75"/>
  <c r="K70" i="75"/>
  <c r="O70" i="75"/>
  <c r="A71" i="75"/>
  <c r="B71" i="75"/>
  <c r="C71" i="75"/>
  <c r="D71" i="75"/>
  <c r="Q71" i="75" s="1"/>
  <c r="E71" i="75"/>
  <c r="G71" i="75"/>
  <c r="K71" i="75"/>
  <c r="O71" i="75"/>
  <c r="A72" i="75"/>
  <c r="B72" i="75"/>
  <c r="C72" i="75"/>
  <c r="D72" i="75"/>
  <c r="Q72" i="75" s="1"/>
  <c r="E72" i="75"/>
  <c r="G72" i="75"/>
  <c r="K72" i="75"/>
  <c r="O72" i="75"/>
  <c r="A73" i="75"/>
  <c r="B73" i="75"/>
  <c r="C73" i="75"/>
  <c r="D73" i="75"/>
  <c r="Q73" i="75" s="1"/>
  <c r="E73" i="75"/>
  <c r="G73" i="75"/>
  <c r="K73" i="75"/>
  <c r="O73" i="75"/>
  <c r="A74" i="75"/>
  <c r="B74" i="75"/>
  <c r="C74" i="75"/>
  <c r="D74" i="75"/>
  <c r="Q74" i="75" s="1"/>
  <c r="E74" i="75"/>
  <c r="G74" i="75"/>
  <c r="K74" i="75"/>
  <c r="O74" i="75"/>
  <c r="A75" i="75"/>
  <c r="B75" i="75"/>
  <c r="C75" i="75"/>
  <c r="D75" i="75"/>
  <c r="Q75" i="75" s="1"/>
  <c r="E75" i="75"/>
  <c r="G75" i="75"/>
  <c r="K75" i="75"/>
  <c r="O75" i="75"/>
  <c r="A76" i="75"/>
  <c r="B76" i="75"/>
  <c r="C76" i="75"/>
  <c r="D76" i="75"/>
  <c r="Q76" i="75" s="1"/>
  <c r="E76" i="75"/>
  <c r="G76" i="75"/>
  <c r="K76" i="75"/>
  <c r="O76" i="75"/>
  <c r="A77" i="75"/>
  <c r="B77" i="75"/>
  <c r="C77" i="75"/>
  <c r="D77" i="75"/>
  <c r="Q77" i="75" s="1"/>
  <c r="E77" i="75"/>
  <c r="G77" i="75"/>
  <c r="K77" i="75"/>
  <c r="O77" i="75"/>
  <c r="A78" i="75"/>
  <c r="B78" i="75"/>
  <c r="C78" i="75"/>
  <c r="D78" i="75"/>
  <c r="Q78" i="75" s="1"/>
  <c r="E78" i="75"/>
  <c r="G78" i="75"/>
  <c r="K78" i="75"/>
  <c r="O78" i="75"/>
  <c r="A79" i="75"/>
  <c r="B79" i="75"/>
  <c r="C79" i="75"/>
  <c r="D79" i="75"/>
  <c r="Q79" i="75" s="1"/>
  <c r="E79" i="75"/>
  <c r="G79" i="75"/>
  <c r="K79" i="75"/>
  <c r="O79" i="75"/>
  <c r="A80" i="75"/>
  <c r="B80" i="75"/>
  <c r="C80" i="75"/>
  <c r="D80" i="75"/>
  <c r="Q80" i="75" s="1"/>
  <c r="E80" i="75"/>
  <c r="G80" i="75"/>
  <c r="K80" i="75"/>
  <c r="O80" i="75"/>
  <c r="A81" i="75"/>
  <c r="B81" i="75"/>
  <c r="C81" i="75"/>
  <c r="D81" i="75"/>
  <c r="Q81" i="75" s="1"/>
  <c r="E81" i="75"/>
  <c r="G81" i="75"/>
  <c r="K81" i="75"/>
  <c r="O81" i="75"/>
  <c r="A82" i="75"/>
  <c r="B82" i="75"/>
  <c r="C82" i="75"/>
  <c r="D82" i="75"/>
  <c r="Q82" i="75" s="1"/>
  <c r="E82" i="75"/>
  <c r="G82" i="75"/>
  <c r="K82" i="75"/>
  <c r="O82" i="75"/>
  <c r="A83" i="75"/>
  <c r="B83" i="75"/>
  <c r="C83" i="75"/>
  <c r="D83" i="75"/>
  <c r="Q83" i="75" s="1"/>
  <c r="E83" i="75"/>
  <c r="G83" i="75"/>
  <c r="K83" i="75"/>
  <c r="O83" i="75"/>
  <c r="A84" i="75"/>
  <c r="B84" i="75"/>
  <c r="C84" i="75"/>
  <c r="D84" i="75"/>
  <c r="Q84" i="75" s="1"/>
  <c r="E84" i="75"/>
  <c r="G84" i="75"/>
  <c r="K84" i="75"/>
  <c r="O84" i="75"/>
  <c r="A69" i="74"/>
  <c r="B69" i="74"/>
  <c r="C69" i="74"/>
  <c r="D69" i="74"/>
  <c r="Q69" i="74" s="1"/>
  <c r="E69" i="74"/>
  <c r="G69" i="74"/>
  <c r="K69" i="74"/>
  <c r="O69" i="74"/>
  <c r="A70" i="74"/>
  <c r="B70" i="74"/>
  <c r="C70" i="74"/>
  <c r="D70" i="74"/>
  <c r="Q70" i="74" s="1"/>
  <c r="E70" i="74"/>
  <c r="G70" i="74"/>
  <c r="K70" i="74"/>
  <c r="O70" i="74"/>
  <c r="A71" i="74"/>
  <c r="B71" i="74"/>
  <c r="C71" i="74"/>
  <c r="D71" i="74"/>
  <c r="Q71" i="74" s="1"/>
  <c r="E71" i="74"/>
  <c r="G71" i="74"/>
  <c r="K71" i="74"/>
  <c r="O71" i="74"/>
  <c r="A72" i="74"/>
  <c r="B72" i="74"/>
  <c r="C72" i="74"/>
  <c r="D72" i="74"/>
  <c r="Q72" i="74" s="1"/>
  <c r="E72" i="74"/>
  <c r="G72" i="74"/>
  <c r="K72" i="74"/>
  <c r="O72" i="74"/>
  <c r="A73" i="74"/>
  <c r="B73" i="74"/>
  <c r="C73" i="74"/>
  <c r="D73" i="74"/>
  <c r="Q73" i="74" s="1"/>
  <c r="E73" i="74"/>
  <c r="G73" i="74"/>
  <c r="K73" i="74"/>
  <c r="O73" i="74"/>
  <c r="A74" i="74"/>
  <c r="B74" i="74"/>
  <c r="C74" i="74"/>
  <c r="D74" i="74"/>
  <c r="Q74" i="74" s="1"/>
  <c r="E74" i="74"/>
  <c r="G74" i="74"/>
  <c r="K74" i="74"/>
  <c r="O74" i="74"/>
  <c r="A75" i="74"/>
  <c r="B75" i="74"/>
  <c r="C75" i="74"/>
  <c r="D75" i="74"/>
  <c r="Q75" i="74" s="1"/>
  <c r="E75" i="74"/>
  <c r="G75" i="74"/>
  <c r="K75" i="74"/>
  <c r="O75" i="74"/>
  <c r="A76" i="74"/>
  <c r="B76" i="74"/>
  <c r="C76" i="74"/>
  <c r="D76" i="74"/>
  <c r="Q76" i="74" s="1"/>
  <c r="E76" i="74"/>
  <c r="G76" i="74"/>
  <c r="K76" i="74"/>
  <c r="O76" i="74"/>
  <c r="A77" i="74"/>
  <c r="B77" i="74"/>
  <c r="C77" i="74"/>
  <c r="D77" i="74"/>
  <c r="Q77" i="74" s="1"/>
  <c r="E77" i="74"/>
  <c r="G77" i="74"/>
  <c r="K77" i="74"/>
  <c r="O77" i="74"/>
  <c r="A78" i="74"/>
  <c r="B78" i="74"/>
  <c r="C78" i="74"/>
  <c r="D78" i="74"/>
  <c r="Q78" i="74" s="1"/>
  <c r="E78" i="74"/>
  <c r="G78" i="74"/>
  <c r="K78" i="74"/>
  <c r="O78" i="74"/>
  <c r="A79" i="74"/>
  <c r="B79" i="74"/>
  <c r="C79" i="74"/>
  <c r="D79" i="74"/>
  <c r="Q79" i="74" s="1"/>
  <c r="E79" i="74"/>
  <c r="G79" i="74"/>
  <c r="K79" i="74"/>
  <c r="O79" i="74"/>
  <c r="A80" i="74"/>
  <c r="B80" i="74"/>
  <c r="C80" i="74"/>
  <c r="D80" i="74"/>
  <c r="Q80" i="74" s="1"/>
  <c r="E80" i="74"/>
  <c r="G80" i="74"/>
  <c r="K80" i="74"/>
  <c r="O80" i="74"/>
  <c r="A81" i="74"/>
  <c r="B81" i="74"/>
  <c r="C81" i="74"/>
  <c r="D81" i="74"/>
  <c r="Q81" i="74" s="1"/>
  <c r="E81" i="74"/>
  <c r="G81" i="74"/>
  <c r="K81" i="74"/>
  <c r="O81" i="74"/>
  <c r="A82" i="74"/>
  <c r="B82" i="74"/>
  <c r="C82" i="74"/>
  <c r="D82" i="74"/>
  <c r="Q82" i="74" s="1"/>
  <c r="E82" i="74"/>
  <c r="G82" i="74"/>
  <c r="K82" i="74"/>
  <c r="O82" i="74"/>
  <c r="A83" i="74"/>
  <c r="B83" i="74"/>
  <c r="C83" i="74"/>
  <c r="D83" i="74"/>
  <c r="Q83" i="74" s="1"/>
  <c r="E83" i="74"/>
  <c r="G83" i="74"/>
  <c r="K83" i="74"/>
  <c r="O83" i="74"/>
  <c r="A84" i="74"/>
  <c r="B84" i="74"/>
  <c r="C84" i="74"/>
  <c r="D84" i="74"/>
  <c r="Q84" i="74" s="1"/>
  <c r="E84" i="74"/>
  <c r="G84" i="74"/>
  <c r="K84" i="74"/>
  <c r="O84" i="74"/>
  <c r="A69" i="73"/>
  <c r="B69" i="73"/>
  <c r="C69" i="73"/>
  <c r="D69" i="73"/>
  <c r="Q69" i="73" s="1"/>
  <c r="E69" i="73"/>
  <c r="G69" i="73"/>
  <c r="K69" i="73"/>
  <c r="O69" i="73"/>
  <c r="A70" i="73"/>
  <c r="B70" i="73"/>
  <c r="C70" i="73"/>
  <c r="D70" i="73"/>
  <c r="Q70" i="73" s="1"/>
  <c r="E70" i="73"/>
  <c r="G70" i="73"/>
  <c r="K70" i="73"/>
  <c r="O70" i="73"/>
  <c r="A71" i="73"/>
  <c r="B71" i="73"/>
  <c r="C71" i="73"/>
  <c r="D71" i="73"/>
  <c r="Q71" i="73" s="1"/>
  <c r="E71" i="73"/>
  <c r="G71" i="73"/>
  <c r="K71" i="73"/>
  <c r="O71" i="73"/>
  <c r="A72" i="73"/>
  <c r="B72" i="73"/>
  <c r="C72" i="73"/>
  <c r="D72" i="73"/>
  <c r="Q72" i="73" s="1"/>
  <c r="E72" i="73"/>
  <c r="G72" i="73"/>
  <c r="K72" i="73"/>
  <c r="O72" i="73"/>
  <c r="A73" i="73"/>
  <c r="B73" i="73"/>
  <c r="C73" i="73"/>
  <c r="D73" i="73"/>
  <c r="Q73" i="73" s="1"/>
  <c r="E73" i="73"/>
  <c r="G73" i="73"/>
  <c r="K73" i="73"/>
  <c r="O73" i="73"/>
  <c r="A74" i="73"/>
  <c r="B74" i="73"/>
  <c r="C74" i="73"/>
  <c r="D74" i="73"/>
  <c r="Q74" i="73" s="1"/>
  <c r="E74" i="73"/>
  <c r="G74" i="73"/>
  <c r="K74" i="73"/>
  <c r="O74" i="73"/>
  <c r="A75" i="73"/>
  <c r="B75" i="73"/>
  <c r="C75" i="73"/>
  <c r="D75" i="73"/>
  <c r="Q75" i="73" s="1"/>
  <c r="E75" i="73"/>
  <c r="G75" i="73"/>
  <c r="K75" i="73"/>
  <c r="O75" i="73"/>
  <c r="A76" i="73"/>
  <c r="B76" i="73"/>
  <c r="C76" i="73"/>
  <c r="D76" i="73"/>
  <c r="Q76" i="73" s="1"/>
  <c r="E76" i="73"/>
  <c r="G76" i="73"/>
  <c r="K76" i="73"/>
  <c r="O76" i="73"/>
  <c r="A77" i="73"/>
  <c r="B77" i="73"/>
  <c r="C77" i="73"/>
  <c r="D77" i="73"/>
  <c r="Q77" i="73" s="1"/>
  <c r="E77" i="73"/>
  <c r="G77" i="73"/>
  <c r="K77" i="73"/>
  <c r="O77" i="73"/>
  <c r="A78" i="73"/>
  <c r="B78" i="73"/>
  <c r="C78" i="73"/>
  <c r="D78" i="73"/>
  <c r="Q78" i="73" s="1"/>
  <c r="E78" i="73"/>
  <c r="G78" i="73"/>
  <c r="K78" i="73"/>
  <c r="O78" i="73"/>
  <c r="A79" i="73"/>
  <c r="B79" i="73"/>
  <c r="C79" i="73"/>
  <c r="D79" i="73"/>
  <c r="Q79" i="73" s="1"/>
  <c r="E79" i="73"/>
  <c r="G79" i="73"/>
  <c r="K79" i="73"/>
  <c r="O79" i="73"/>
  <c r="A80" i="73"/>
  <c r="B80" i="73"/>
  <c r="C80" i="73"/>
  <c r="D80" i="73"/>
  <c r="Q80" i="73" s="1"/>
  <c r="E80" i="73"/>
  <c r="G80" i="73"/>
  <c r="K80" i="73"/>
  <c r="O80" i="73"/>
  <c r="A81" i="73"/>
  <c r="B81" i="73"/>
  <c r="C81" i="73"/>
  <c r="D81" i="73"/>
  <c r="Q81" i="73" s="1"/>
  <c r="E81" i="73"/>
  <c r="G81" i="73"/>
  <c r="K81" i="73"/>
  <c r="O81" i="73"/>
  <c r="A82" i="73"/>
  <c r="B82" i="73"/>
  <c r="C82" i="73"/>
  <c r="D82" i="73"/>
  <c r="Q82" i="73" s="1"/>
  <c r="E82" i="73"/>
  <c r="G82" i="73"/>
  <c r="K82" i="73"/>
  <c r="O82" i="73"/>
  <c r="A83" i="73"/>
  <c r="B83" i="73"/>
  <c r="C83" i="73"/>
  <c r="D83" i="73"/>
  <c r="Q83" i="73" s="1"/>
  <c r="E83" i="73"/>
  <c r="G83" i="73"/>
  <c r="K83" i="73"/>
  <c r="O83" i="73"/>
  <c r="A84" i="73"/>
  <c r="B84" i="73"/>
  <c r="C84" i="73"/>
  <c r="D84" i="73"/>
  <c r="Q84" i="73" s="1"/>
  <c r="E84" i="73"/>
  <c r="G84" i="73"/>
  <c r="K84" i="73"/>
  <c r="O84" i="73"/>
  <c r="A69" i="72"/>
  <c r="B69" i="72"/>
  <c r="C69" i="72"/>
  <c r="D69" i="72"/>
  <c r="Q69" i="72" s="1"/>
  <c r="E69" i="72"/>
  <c r="G69" i="72"/>
  <c r="K69" i="72"/>
  <c r="O69" i="72"/>
  <c r="A70" i="72"/>
  <c r="B70" i="72"/>
  <c r="C70" i="72"/>
  <c r="D70" i="72"/>
  <c r="Q70" i="72" s="1"/>
  <c r="E70" i="72"/>
  <c r="G70" i="72"/>
  <c r="K70" i="72"/>
  <c r="O70" i="72"/>
  <c r="A71" i="72"/>
  <c r="B71" i="72"/>
  <c r="C71" i="72"/>
  <c r="D71" i="72"/>
  <c r="Q71" i="72" s="1"/>
  <c r="E71" i="72"/>
  <c r="G71" i="72"/>
  <c r="K71" i="72"/>
  <c r="O71" i="72"/>
  <c r="A72" i="72"/>
  <c r="B72" i="72"/>
  <c r="C72" i="72"/>
  <c r="D72" i="72"/>
  <c r="Q72" i="72" s="1"/>
  <c r="E72" i="72"/>
  <c r="G72" i="72"/>
  <c r="K72" i="72"/>
  <c r="O72" i="72"/>
  <c r="A73" i="72"/>
  <c r="B73" i="72"/>
  <c r="C73" i="72"/>
  <c r="D73" i="72"/>
  <c r="Q73" i="72" s="1"/>
  <c r="E73" i="72"/>
  <c r="G73" i="72"/>
  <c r="K73" i="72"/>
  <c r="O73" i="72"/>
  <c r="A74" i="72"/>
  <c r="B74" i="72"/>
  <c r="C74" i="72"/>
  <c r="D74" i="72"/>
  <c r="Q74" i="72" s="1"/>
  <c r="E74" i="72"/>
  <c r="G74" i="72"/>
  <c r="K74" i="72"/>
  <c r="O74" i="72"/>
  <c r="A75" i="72"/>
  <c r="B75" i="72"/>
  <c r="C75" i="72"/>
  <c r="D75" i="72"/>
  <c r="Q75" i="72" s="1"/>
  <c r="E75" i="72"/>
  <c r="G75" i="72"/>
  <c r="K75" i="72"/>
  <c r="O75" i="72"/>
  <c r="A76" i="72"/>
  <c r="B76" i="72"/>
  <c r="C76" i="72"/>
  <c r="D76" i="72"/>
  <c r="Q76" i="72" s="1"/>
  <c r="E76" i="72"/>
  <c r="G76" i="72"/>
  <c r="K76" i="72"/>
  <c r="O76" i="72"/>
  <c r="A77" i="72"/>
  <c r="B77" i="72"/>
  <c r="C77" i="72"/>
  <c r="D77" i="72"/>
  <c r="Q77" i="72" s="1"/>
  <c r="E77" i="72"/>
  <c r="G77" i="72"/>
  <c r="K77" i="72"/>
  <c r="O77" i="72"/>
  <c r="A78" i="72"/>
  <c r="B78" i="72"/>
  <c r="C78" i="72"/>
  <c r="D78" i="72"/>
  <c r="Q78" i="72" s="1"/>
  <c r="E78" i="72"/>
  <c r="G78" i="72"/>
  <c r="K78" i="72"/>
  <c r="O78" i="72"/>
  <c r="A79" i="72"/>
  <c r="B79" i="72"/>
  <c r="C79" i="72"/>
  <c r="D79" i="72"/>
  <c r="Q79" i="72" s="1"/>
  <c r="E79" i="72"/>
  <c r="G79" i="72"/>
  <c r="K79" i="72"/>
  <c r="O79" i="72"/>
  <c r="A80" i="72"/>
  <c r="B80" i="72"/>
  <c r="C80" i="72"/>
  <c r="D80" i="72"/>
  <c r="Q80" i="72" s="1"/>
  <c r="E80" i="72"/>
  <c r="G80" i="72"/>
  <c r="K80" i="72"/>
  <c r="O80" i="72"/>
  <c r="A81" i="72"/>
  <c r="B81" i="72"/>
  <c r="C81" i="72"/>
  <c r="D81" i="72"/>
  <c r="Q81" i="72" s="1"/>
  <c r="E81" i="72"/>
  <c r="G81" i="72"/>
  <c r="K81" i="72"/>
  <c r="O81" i="72"/>
  <c r="A82" i="72"/>
  <c r="B82" i="72"/>
  <c r="C82" i="72"/>
  <c r="D82" i="72"/>
  <c r="Q82" i="72" s="1"/>
  <c r="E82" i="72"/>
  <c r="G82" i="72"/>
  <c r="K82" i="72"/>
  <c r="O82" i="72"/>
  <c r="A83" i="72"/>
  <c r="B83" i="72"/>
  <c r="C83" i="72"/>
  <c r="D83" i="72"/>
  <c r="Q83" i="72" s="1"/>
  <c r="E83" i="72"/>
  <c r="G83" i="72"/>
  <c r="K83" i="72"/>
  <c r="O83" i="72"/>
  <c r="A84" i="72"/>
  <c r="B84" i="72"/>
  <c r="C84" i="72"/>
  <c r="D84" i="72"/>
  <c r="Q84" i="72" s="1"/>
  <c r="E84" i="72"/>
  <c r="G84" i="72"/>
  <c r="K84" i="72"/>
  <c r="O84" i="72"/>
  <c r="A69" i="57"/>
  <c r="B69" i="57"/>
  <c r="C69" i="57"/>
  <c r="D69" i="57"/>
  <c r="E69" i="57"/>
  <c r="F69" i="57" s="1"/>
  <c r="A70" i="57"/>
  <c r="B70" i="57"/>
  <c r="C70" i="57"/>
  <c r="D70" i="57"/>
  <c r="E70" i="57"/>
  <c r="F70" i="57" s="1"/>
  <c r="A71" i="57"/>
  <c r="B71" i="57"/>
  <c r="C71" i="57"/>
  <c r="D71" i="57"/>
  <c r="E71" i="57"/>
  <c r="F71" i="57" s="1"/>
  <c r="A72" i="57"/>
  <c r="B72" i="57"/>
  <c r="C72" i="57"/>
  <c r="D72" i="57"/>
  <c r="E72" i="57"/>
  <c r="F72" i="57" s="1"/>
  <c r="A73" i="57"/>
  <c r="B73" i="57"/>
  <c r="C73" i="57"/>
  <c r="D73" i="57"/>
  <c r="E73" i="57"/>
  <c r="F73" i="57" s="1"/>
  <c r="A74" i="57"/>
  <c r="B74" i="57"/>
  <c r="C74" i="57"/>
  <c r="D74" i="57"/>
  <c r="E74" i="57"/>
  <c r="F74" i="57" s="1"/>
  <c r="A75" i="57"/>
  <c r="B75" i="57"/>
  <c r="C75" i="57"/>
  <c r="D75" i="57"/>
  <c r="E75" i="57"/>
  <c r="F75" i="57" s="1"/>
  <c r="A76" i="57"/>
  <c r="B76" i="57"/>
  <c r="C76" i="57"/>
  <c r="D76" i="57"/>
  <c r="E76" i="57"/>
  <c r="F76" i="57" s="1"/>
  <c r="A77" i="57"/>
  <c r="B77" i="57"/>
  <c r="C77" i="57"/>
  <c r="D77" i="57"/>
  <c r="E77" i="57"/>
  <c r="F77" i="57" s="1"/>
  <c r="A78" i="57"/>
  <c r="B78" i="57"/>
  <c r="C78" i="57"/>
  <c r="D78" i="57"/>
  <c r="E78" i="57"/>
  <c r="F78" i="57" s="1"/>
  <c r="A79" i="57"/>
  <c r="B79" i="57"/>
  <c r="C79" i="57"/>
  <c r="D79" i="57"/>
  <c r="E79" i="57"/>
  <c r="F79" i="57" s="1"/>
  <c r="A80" i="57"/>
  <c r="B80" i="57"/>
  <c r="C80" i="57"/>
  <c r="D80" i="57"/>
  <c r="E80" i="57"/>
  <c r="F80" i="57" s="1"/>
  <c r="A81" i="57"/>
  <c r="B81" i="57"/>
  <c r="C81" i="57"/>
  <c r="D81" i="57"/>
  <c r="E81" i="57"/>
  <c r="F81" i="57" s="1"/>
  <c r="A82" i="57"/>
  <c r="B82" i="57"/>
  <c r="C82" i="57"/>
  <c r="D82" i="57"/>
  <c r="E82" i="57"/>
  <c r="F82" i="57" s="1"/>
  <c r="A83" i="57"/>
  <c r="B83" i="57"/>
  <c r="C83" i="57"/>
  <c r="D83" i="57"/>
  <c r="E83" i="57"/>
  <c r="F83" i="57" s="1"/>
  <c r="A84" i="57"/>
  <c r="B84" i="57"/>
  <c r="C84" i="57"/>
  <c r="D84" i="57"/>
  <c r="E84" i="57"/>
  <c r="F84" i="57" s="1"/>
  <c r="J16" i="71"/>
  <c r="J15" i="71"/>
  <c r="A8" i="78"/>
  <c r="B8" i="78"/>
  <c r="C8" i="78"/>
  <c r="D8" i="78"/>
  <c r="Q8" i="78" s="1"/>
  <c r="E8" i="78"/>
  <c r="G8" i="78"/>
  <c r="K8" i="78"/>
  <c r="O8" i="78"/>
  <c r="A9" i="78"/>
  <c r="B9" i="78"/>
  <c r="C9" i="78"/>
  <c r="D9" i="78"/>
  <c r="Q9" i="78" s="1"/>
  <c r="E9" i="78"/>
  <c r="G9" i="78"/>
  <c r="K9" i="78"/>
  <c r="O9" i="78"/>
  <c r="A10" i="78"/>
  <c r="B10" i="78"/>
  <c r="C10" i="78"/>
  <c r="D10" i="78"/>
  <c r="Q10" i="78" s="1"/>
  <c r="E10" i="78"/>
  <c r="G10" i="78"/>
  <c r="K10" i="78"/>
  <c r="O10" i="78"/>
  <c r="A11" i="78"/>
  <c r="B11" i="78"/>
  <c r="C11" i="78"/>
  <c r="D11" i="78"/>
  <c r="Q11" i="78" s="1"/>
  <c r="E11" i="78"/>
  <c r="G11" i="78"/>
  <c r="K11" i="78"/>
  <c r="O11" i="78"/>
  <c r="A12" i="78"/>
  <c r="B12" i="78"/>
  <c r="C12" i="78"/>
  <c r="D12" i="78"/>
  <c r="Q12" i="78" s="1"/>
  <c r="E12" i="78"/>
  <c r="G12" i="78"/>
  <c r="K12" i="78"/>
  <c r="O12" i="78"/>
  <c r="A8" i="77"/>
  <c r="B8" i="77"/>
  <c r="C8" i="77"/>
  <c r="D8" i="77"/>
  <c r="Q8" i="77" s="1"/>
  <c r="E8" i="77"/>
  <c r="G8" i="77"/>
  <c r="K8" i="77"/>
  <c r="O8" i="77"/>
  <c r="A9" i="77"/>
  <c r="B9" i="77"/>
  <c r="C9" i="77"/>
  <c r="D9" i="77"/>
  <c r="Q9" i="77" s="1"/>
  <c r="E9" i="77"/>
  <c r="G9" i="77"/>
  <c r="K9" i="77"/>
  <c r="O9" i="77"/>
  <c r="A10" i="77"/>
  <c r="B10" i="77"/>
  <c r="C10" i="77"/>
  <c r="D10" i="77"/>
  <c r="Q10" i="77" s="1"/>
  <c r="E10" i="77"/>
  <c r="G10" i="77"/>
  <c r="K10" i="77"/>
  <c r="O10" i="77"/>
  <c r="A11" i="77"/>
  <c r="B11" i="77"/>
  <c r="C11" i="77"/>
  <c r="D11" i="77"/>
  <c r="Q11" i="77" s="1"/>
  <c r="E11" i="77"/>
  <c r="G11" i="77"/>
  <c r="K11" i="77"/>
  <c r="O11" i="77"/>
  <c r="A12" i="77"/>
  <c r="B12" i="77"/>
  <c r="C12" i="77"/>
  <c r="D12" i="77"/>
  <c r="Q12" i="77" s="1"/>
  <c r="E12" i="77"/>
  <c r="G12" i="77"/>
  <c r="K12" i="77"/>
  <c r="O12" i="77"/>
  <c r="A8" i="76"/>
  <c r="B8" i="76"/>
  <c r="C8" i="76"/>
  <c r="D8" i="76"/>
  <c r="Q8" i="76" s="1"/>
  <c r="E8" i="76"/>
  <c r="G8" i="76"/>
  <c r="K8" i="76"/>
  <c r="O8" i="76"/>
  <c r="A9" i="76"/>
  <c r="B9" i="76"/>
  <c r="C9" i="76"/>
  <c r="D9" i="76"/>
  <c r="Q9" i="76" s="1"/>
  <c r="E9" i="76"/>
  <c r="G9" i="76"/>
  <c r="K9" i="76"/>
  <c r="O9" i="76"/>
  <c r="A10" i="76"/>
  <c r="B10" i="76"/>
  <c r="C10" i="76"/>
  <c r="D10" i="76"/>
  <c r="Q10" i="76" s="1"/>
  <c r="E10" i="76"/>
  <c r="G10" i="76"/>
  <c r="K10" i="76"/>
  <c r="O10" i="76"/>
  <c r="A11" i="76"/>
  <c r="B11" i="76"/>
  <c r="C11" i="76"/>
  <c r="D11" i="76"/>
  <c r="Q11" i="76" s="1"/>
  <c r="E11" i="76"/>
  <c r="G11" i="76"/>
  <c r="K11" i="76"/>
  <c r="O11" i="76"/>
  <c r="A12" i="76"/>
  <c r="B12" i="76"/>
  <c r="C12" i="76"/>
  <c r="D12" i="76"/>
  <c r="Q12" i="76" s="1"/>
  <c r="E12" i="76"/>
  <c r="G12" i="76"/>
  <c r="K12" i="76"/>
  <c r="O12" i="76"/>
  <c r="A8" i="75"/>
  <c r="B8" i="75"/>
  <c r="C8" i="75"/>
  <c r="D8" i="75"/>
  <c r="Q8" i="75" s="1"/>
  <c r="E8" i="75"/>
  <c r="G8" i="75"/>
  <c r="K8" i="75"/>
  <c r="O8" i="75"/>
  <c r="A9" i="75"/>
  <c r="B9" i="75"/>
  <c r="C9" i="75"/>
  <c r="D9" i="75"/>
  <c r="Q9" i="75" s="1"/>
  <c r="E9" i="75"/>
  <c r="G9" i="75"/>
  <c r="K9" i="75"/>
  <c r="O9" i="75"/>
  <c r="A10" i="75"/>
  <c r="B10" i="75"/>
  <c r="C10" i="75"/>
  <c r="D10" i="75"/>
  <c r="Q10" i="75" s="1"/>
  <c r="E10" i="75"/>
  <c r="G10" i="75"/>
  <c r="K10" i="75"/>
  <c r="O10" i="75"/>
  <c r="A11" i="75"/>
  <c r="B11" i="75"/>
  <c r="C11" i="75"/>
  <c r="D11" i="75"/>
  <c r="Q11" i="75" s="1"/>
  <c r="E11" i="75"/>
  <c r="G11" i="75"/>
  <c r="K11" i="75"/>
  <c r="O11" i="75"/>
  <c r="A12" i="75"/>
  <c r="B12" i="75"/>
  <c r="C12" i="75"/>
  <c r="D12" i="75"/>
  <c r="Q12" i="75" s="1"/>
  <c r="E12" i="75"/>
  <c r="G12" i="75"/>
  <c r="K12" i="75"/>
  <c r="O12" i="75"/>
  <c r="A8" i="74"/>
  <c r="B8" i="74"/>
  <c r="C8" i="74"/>
  <c r="D8" i="74"/>
  <c r="Q8" i="74" s="1"/>
  <c r="E8" i="74"/>
  <c r="G8" i="74"/>
  <c r="K8" i="74"/>
  <c r="O8" i="74"/>
  <c r="A9" i="74"/>
  <c r="B9" i="74"/>
  <c r="C9" i="74"/>
  <c r="D9" i="74"/>
  <c r="Q9" i="74" s="1"/>
  <c r="E9" i="74"/>
  <c r="G9" i="74"/>
  <c r="K9" i="74"/>
  <c r="O9" i="74"/>
  <c r="A10" i="74"/>
  <c r="B10" i="74"/>
  <c r="C10" i="74"/>
  <c r="D10" i="74"/>
  <c r="Q10" i="74" s="1"/>
  <c r="E10" i="74"/>
  <c r="G10" i="74"/>
  <c r="K10" i="74"/>
  <c r="O10" i="74"/>
  <c r="A11" i="74"/>
  <c r="B11" i="74"/>
  <c r="C11" i="74"/>
  <c r="D11" i="74"/>
  <c r="Q11" i="74" s="1"/>
  <c r="E11" i="74"/>
  <c r="G11" i="74"/>
  <c r="K11" i="74"/>
  <c r="O11" i="74"/>
  <c r="A12" i="74"/>
  <c r="B12" i="74"/>
  <c r="C12" i="74"/>
  <c r="D12" i="74"/>
  <c r="Q12" i="74" s="1"/>
  <c r="E12" i="74"/>
  <c r="G12" i="74"/>
  <c r="K12" i="74"/>
  <c r="O12" i="74"/>
  <c r="A8" i="73"/>
  <c r="B8" i="73"/>
  <c r="C8" i="73"/>
  <c r="D8" i="73"/>
  <c r="Q8" i="73" s="1"/>
  <c r="E8" i="73"/>
  <c r="G8" i="73"/>
  <c r="K8" i="73"/>
  <c r="O8" i="73"/>
  <c r="A9" i="73"/>
  <c r="B9" i="73"/>
  <c r="C9" i="73"/>
  <c r="D9" i="73"/>
  <c r="Q9" i="73" s="1"/>
  <c r="E9" i="73"/>
  <c r="G9" i="73"/>
  <c r="K9" i="73"/>
  <c r="O9" i="73"/>
  <c r="A10" i="73"/>
  <c r="B10" i="73"/>
  <c r="C10" i="73"/>
  <c r="D10" i="73"/>
  <c r="Q10" i="73" s="1"/>
  <c r="E10" i="73"/>
  <c r="G10" i="73"/>
  <c r="K10" i="73"/>
  <c r="O10" i="73"/>
  <c r="A11" i="73"/>
  <c r="B11" i="73"/>
  <c r="C11" i="73"/>
  <c r="D11" i="73"/>
  <c r="Q11" i="73" s="1"/>
  <c r="E11" i="73"/>
  <c r="G11" i="73"/>
  <c r="K11" i="73"/>
  <c r="O11" i="73"/>
  <c r="A12" i="73"/>
  <c r="B12" i="73"/>
  <c r="C12" i="73"/>
  <c r="D12" i="73"/>
  <c r="Q12" i="73" s="1"/>
  <c r="E12" i="73"/>
  <c r="G12" i="73"/>
  <c r="K12" i="73"/>
  <c r="O12" i="73"/>
  <c r="A8" i="72"/>
  <c r="B8" i="72"/>
  <c r="C8" i="72"/>
  <c r="D8" i="72"/>
  <c r="Q8" i="72" s="1"/>
  <c r="E8" i="72"/>
  <c r="G8" i="72"/>
  <c r="K8" i="72"/>
  <c r="O8" i="72"/>
  <c r="A9" i="72"/>
  <c r="B9" i="72"/>
  <c r="C9" i="72"/>
  <c r="D9" i="72"/>
  <c r="Q9" i="72" s="1"/>
  <c r="E9" i="72"/>
  <c r="G9" i="72"/>
  <c r="K9" i="72"/>
  <c r="O9" i="72"/>
  <c r="A10" i="72"/>
  <c r="B10" i="72"/>
  <c r="C10" i="72"/>
  <c r="D10" i="72"/>
  <c r="Q10" i="72" s="1"/>
  <c r="E10" i="72"/>
  <c r="G10" i="72"/>
  <c r="K10" i="72"/>
  <c r="O10" i="72"/>
  <c r="A11" i="72"/>
  <c r="B11" i="72"/>
  <c r="C11" i="72"/>
  <c r="D11" i="72"/>
  <c r="Q11" i="72" s="1"/>
  <c r="E11" i="72"/>
  <c r="G11" i="72"/>
  <c r="K11" i="72"/>
  <c r="O11" i="72"/>
  <c r="A12" i="72"/>
  <c r="B12" i="72"/>
  <c r="C12" i="72"/>
  <c r="D12" i="72"/>
  <c r="Q12" i="72" s="1"/>
  <c r="E12" i="72"/>
  <c r="G12" i="72"/>
  <c r="K12" i="72"/>
  <c r="O12" i="72"/>
  <c r="A8" i="57"/>
  <c r="B8" i="57"/>
  <c r="C8" i="57"/>
  <c r="D8" i="57"/>
  <c r="E8" i="57"/>
  <c r="F8" i="57" s="1"/>
  <c r="A9" i="57"/>
  <c r="B9" i="57"/>
  <c r="C9" i="57"/>
  <c r="D9" i="57"/>
  <c r="E9" i="57"/>
  <c r="F9" i="57" s="1"/>
  <c r="A10" i="57"/>
  <c r="B10" i="57"/>
  <c r="C10" i="57"/>
  <c r="D10" i="57"/>
  <c r="E10" i="57"/>
  <c r="F10" i="57" s="1"/>
  <c r="A11" i="57"/>
  <c r="B11" i="57"/>
  <c r="C11" i="57"/>
  <c r="D11" i="57"/>
  <c r="E11" i="57"/>
  <c r="F11" i="57" s="1"/>
  <c r="A12" i="57"/>
  <c r="B12" i="57"/>
  <c r="C12" i="57"/>
  <c r="D12" i="57"/>
  <c r="E12" i="57"/>
  <c r="F12" i="57" s="1"/>
  <c r="AD37" i="45"/>
  <c r="AB40" i="45"/>
  <c r="AA40" i="45"/>
  <c r="AB39" i="45"/>
  <c r="AA39" i="45"/>
  <c r="AB38" i="45"/>
  <c r="AA38" i="45"/>
  <c r="AB37" i="45"/>
  <c r="AA37" i="45"/>
  <c r="AB30" i="45"/>
  <c r="AA30" i="45"/>
  <c r="AB29" i="45"/>
  <c r="AA29" i="45"/>
  <c r="AB26" i="45"/>
  <c r="AA26" i="45"/>
  <c r="AB18" i="45"/>
  <c r="AA18" i="45"/>
  <c r="AC18" i="45" s="1"/>
  <c r="F17" i="68" l="1"/>
  <c r="F16" i="68"/>
  <c r="L40" i="53"/>
  <c r="L38" i="53"/>
  <c r="L36" i="53"/>
  <c r="L35" i="53"/>
  <c r="O5" i="85"/>
  <c r="G6" i="72"/>
  <c r="G7" i="72"/>
  <c r="R192" i="14"/>
  <c r="R164" i="14"/>
  <c r="R136" i="14"/>
  <c r="R109" i="14"/>
  <c r="R82" i="14"/>
  <c r="R55" i="14"/>
  <c r="R28" i="14"/>
  <c r="J24" i="89"/>
  <c r="Q5" i="71" s="1"/>
  <c r="J22" i="89"/>
  <c r="O5" i="71" s="1"/>
  <c r="J20" i="89"/>
  <c r="M5" i="71" s="1"/>
  <c r="J18" i="89"/>
  <c r="K5" i="71" s="1"/>
  <c r="J16" i="89"/>
  <c r="I5" i="71" s="1"/>
  <c r="J14" i="89"/>
  <c r="G5" i="71" s="1"/>
  <c r="J12" i="89"/>
  <c r="E5" i="71" s="1"/>
  <c r="J8" i="89"/>
  <c r="L5" i="67" s="1"/>
  <c r="B141" i="72"/>
  <c r="B142" i="72"/>
  <c r="B151" i="72"/>
  <c r="G233" i="14"/>
  <c r="H233" i="14" s="1"/>
  <c r="I233" i="14" s="1"/>
  <c r="G232" i="14"/>
  <c r="H232" i="14" s="1"/>
  <c r="I232" i="14" s="1"/>
  <c r="G231" i="14"/>
  <c r="H231" i="14" s="1"/>
  <c r="I231" i="14" s="1"/>
  <c r="G230" i="14"/>
  <c r="H230" i="14" s="1"/>
  <c r="I230" i="14" s="1"/>
  <c r="G229" i="14"/>
  <c r="H229" i="14" s="1"/>
  <c r="I229" i="14" s="1"/>
  <c r="G228" i="14"/>
  <c r="H228" i="14" s="1"/>
  <c r="I228" i="14" s="1"/>
  <c r="G227" i="14"/>
  <c r="H227" i="14" s="1"/>
  <c r="I227" i="14" s="1"/>
  <c r="G221" i="14"/>
  <c r="H221" i="14" s="1"/>
  <c r="I221" i="14" s="1"/>
  <c r="G220" i="14"/>
  <c r="H220" i="14" s="1"/>
  <c r="I220" i="14" s="1"/>
  <c r="G219" i="14"/>
  <c r="H219" i="14" s="1"/>
  <c r="I219" i="14" s="1"/>
  <c r="H218" i="14"/>
  <c r="I218" i="14" s="1"/>
  <c r="G218" i="14"/>
  <c r="G217" i="14"/>
  <c r="H217" i="14" s="1"/>
  <c r="I217" i="14" s="1"/>
  <c r="G216" i="14"/>
  <c r="H216" i="14" s="1"/>
  <c r="I216" i="14" s="1"/>
  <c r="H215" i="14"/>
  <c r="I215" i="14"/>
  <c r="G215" i="14"/>
  <c r="C169" i="14"/>
  <c r="C141" i="14"/>
  <c r="L15" i="53"/>
  <c r="K5" i="35"/>
  <c r="J20" i="71"/>
  <c r="K6" i="35" s="1"/>
  <c r="J19" i="71"/>
  <c r="J18" i="71"/>
  <c r="J17" i="71"/>
  <c r="D10" i="61"/>
  <c r="D11" i="60"/>
  <c r="D9" i="59"/>
  <c r="L38" i="54"/>
  <c r="L37" i="54"/>
  <c r="L19" i="53"/>
  <c r="L17" i="53"/>
  <c r="L14" i="53"/>
  <c r="L9" i="52"/>
  <c r="L8" i="52"/>
  <c r="L5" i="52"/>
  <c r="E10" i="89"/>
  <c r="L6" i="52" s="1"/>
  <c r="J6" i="89"/>
  <c r="D15" i="71" s="1"/>
  <c r="H5" i="45" s="1"/>
  <c r="J4" i="89"/>
  <c r="D14" i="71" s="1"/>
  <c r="O7" i="46"/>
  <c r="F11" i="68"/>
  <c r="F10" i="68"/>
  <c r="AK86" i="46"/>
  <c r="AK78" i="46"/>
  <c r="AK77" i="46"/>
  <c r="AK76" i="46"/>
  <c r="AK74" i="46"/>
  <c r="AK73" i="46"/>
  <c r="AK72" i="46"/>
  <c r="AK71" i="46"/>
  <c r="AK69" i="46"/>
  <c r="AK68" i="46"/>
  <c r="AK63" i="46"/>
  <c r="AK59" i="46"/>
  <c r="AK57" i="46"/>
  <c r="AK52" i="46"/>
  <c r="AK51" i="46"/>
  <c r="AK44" i="46"/>
  <c r="AK43" i="46"/>
  <c r="AK42" i="46"/>
  <c r="AK41" i="46"/>
  <c r="AK34" i="46"/>
  <c r="AK32" i="46"/>
  <c r="AK30" i="46"/>
  <c r="AK27" i="46"/>
  <c r="AK25" i="46"/>
  <c r="AK24" i="46"/>
  <c r="AK23" i="46"/>
  <c r="AK20" i="46"/>
  <c r="AK18" i="46"/>
  <c r="AK14" i="46"/>
  <c r="AK13" i="46"/>
  <c r="AK10" i="46"/>
  <c r="AI98" i="46"/>
  <c r="AJ98" i="46" s="1"/>
  <c r="AI97" i="46"/>
  <c r="AJ97" i="46" s="1"/>
  <c r="AI96" i="46"/>
  <c r="AJ96" i="46" s="1"/>
  <c r="AI95" i="46"/>
  <c r="AJ95" i="46" s="1"/>
  <c r="AI94" i="46"/>
  <c r="AJ94" i="46" s="1"/>
  <c r="AI93" i="46"/>
  <c r="AJ93" i="46" s="1"/>
  <c r="AI92" i="46"/>
  <c r="AJ92" i="46" s="1"/>
  <c r="AI91" i="46"/>
  <c r="AJ91" i="46" s="1"/>
  <c r="AI90" i="46"/>
  <c r="AJ90" i="46" s="1"/>
  <c r="AI89" i="46"/>
  <c r="AJ89" i="46" s="1"/>
  <c r="AI88" i="46"/>
  <c r="AJ88" i="46" s="1"/>
  <c r="AI87" i="46"/>
  <c r="AJ87" i="46" s="1"/>
  <c r="AI86" i="46"/>
  <c r="AJ86" i="46" s="1"/>
  <c r="AI85" i="46"/>
  <c r="AJ85" i="46" s="1"/>
  <c r="AI84" i="46"/>
  <c r="AJ84" i="46" s="1"/>
  <c r="AI83" i="46"/>
  <c r="AJ83" i="46" s="1"/>
  <c r="AI82" i="46"/>
  <c r="AJ82" i="46" s="1"/>
  <c r="AI81" i="46"/>
  <c r="AJ81" i="46" s="1"/>
  <c r="AI80" i="46"/>
  <c r="AJ80" i="46" s="1"/>
  <c r="AI78" i="46"/>
  <c r="AJ78" i="46" s="1"/>
  <c r="AI77" i="46"/>
  <c r="AJ77" i="46" s="1"/>
  <c r="AI76" i="46"/>
  <c r="AJ76" i="46" s="1"/>
  <c r="AI75" i="46"/>
  <c r="AJ75" i="46" s="1"/>
  <c r="AI74" i="46"/>
  <c r="AJ74" i="46" s="1"/>
  <c r="AI73" i="46"/>
  <c r="AJ73" i="46" s="1"/>
  <c r="AI72" i="46"/>
  <c r="AJ72" i="46" s="1"/>
  <c r="AI71" i="46"/>
  <c r="AJ71" i="46" s="1"/>
  <c r="AI70" i="46"/>
  <c r="AJ70" i="46" s="1"/>
  <c r="AI69" i="46"/>
  <c r="AJ69" i="46" s="1"/>
  <c r="AI68" i="46"/>
  <c r="AJ68" i="46" s="1"/>
  <c r="AI67" i="46"/>
  <c r="AJ67" i="46" s="1"/>
  <c r="AI66" i="46"/>
  <c r="AJ66" i="46" s="1"/>
  <c r="AI64" i="46"/>
  <c r="AJ64" i="46" s="1"/>
  <c r="AI63" i="46"/>
  <c r="AJ63" i="46" s="1"/>
  <c r="AI62" i="46"/>
  <c r="AJ62" i="46" s="1"/>
  <c r="AI60" i="46"/>
  <c r="AJ60" i="46" s="1"/>
  <c r="AI59" i="46"/>
  <c r="AJ59" i="46" s="1"/>
  <c r="AI58" i="46"/>
  <c r="AJ58" i="46" s="1"/>
  <c r="AI57" i="46"/>
  <c r="AJ57" i="46" s="1"/>
  <c r="AI56" i="46"/>
  <c r="AJ56" i="46" s="1"/>
  <c r="AI54" i="46"/>
  <c r="AJ54" i="46" s="1"/>
  <c r="AI53" i="46"/>
  <c r="AJ53" i="46" s="1"/>
  <c r="AI52" i="46"/>
  <c r="AJ52" i="46" s="1"/>
  <c r="AI51" i="46"/>
  <c r="AJ51" i="46" s="1"/>
  <c r="AI50" i="46"/>
  <c r="AJ50" i="46" s="1"/>
  <c r="AI49" i="46"/>
  <c r="AJ49" i="46" s="1"/>
  <c r="AI47" i="46"/>
  <c r="AJ47" i="46" s="1"/>
  <c r="AI46" i="46"/>
  <c r="AJ46" i="46" s="1"/>
  <c r="AI45" i="46"/>
  <c r="AJ45" i="46" s="1"/>
  <c r="AI44" i="46"/>
  <c r="AJ44" i="46" s="1"/>
  <c r="AI43" i="46"/>
  <c r="AJ43" i="46" s="1"/>
  <c r="AI42" i="46"/>
  <c r="AJ42" i="46" s="1"/>
  <c r="AI41" i="46"/>
  <c r="AJ41" i="46" s="1"/>
  <c r="AI40" i="46"/>
  <c r="AJ40" i="46" s="1"/>
  <c r="AI39" i="46"/>
  <c r="AJ39" i="46" s="1"/>
  <c r="AI38" i="46"/>
  <c r="AJ38" i="46" s="1"/>
  <c r="AI37" i="46"/>
  <c r="AJ37" i="46" s="1"/>
  <c r="AI36" i="46"/>
  <c r="AJ36" i="46" s="1"/>
  <c r="AI35" i="46"/>
  <c r="AJ35" i="46" s="1"/>
  <c r="AI34" i="46"/>
  <c r="AJ34" i="46" s="1"/>
  <c r="AI33" i="46"/>
  <c r="AJ33" i="46" s="1"/>
  <c r="AI32" i="46"/>
  <c r="AJ32" i="46" s="1"/>
  <c r="AI30" i="46"/>
  <c r="AJ30" i="46" s="1"/>
  <c r="AI29" i="46"/>
  <c r="AJ29" i="46" s="1"/>
  <c r="AI28" i="46"/>
  <c r="AJ28" i="46" s="1"/>
  <c r="AI27" i="46"/>
  <c r="AJ27" i="46" s="1"/>
  <c r="AI25" i="46"/>
  <c r="AJ25" i="46" s="1"/>
  <c r="AI24" i="46"/>
  <c r="AJ24" i="46" s="1"/>
  <c r="AI23" i="46"/>
  <c r="AJ23" i="46" s="1"/>
  <c r="AI22" i="46"/>
  <c r="AJ22" i="46" s="1"/>
  <c r="AI21" i="46"/>
  <c r="AJ21" i="46" s="1"/>
  <c r="AI20" i="46"/>
  <c r="AJ20" i="46" s="1"/>
  <c r="AI19" i="46"/>
  <c r="AJ19" i="46" s="1"/>
  <c r="AI18" i="46"/>
  <c r="AJ18" i="46" s="1"/>
  <c r="AI17" i="46"/>
  <c r="AJ17" i="46" s="1"/>
  <c r="AI16" i="46"/>
  <c r="AJ16" i="46" s="1"/>
  <c r="AI15" i="46"/>
  <c r="AJ15" i="46" s="1"/>
  <c r="AI14" i="46"/>
  <c r="AJ14" i="46" s="1"/>
  <c r="AI13" i="46"/>
  <c r="AJ13" i="46" s="1"/>
  <c r="AI12" i="46"/>
  <c r="AJ12" i="46" s="1"/>
  <c r="AI11" i="46"/>
  <c r="AJ11" i="46" s="1"/>
  <c r="AI10" i="46"/>
  <c r="AJ10" i="46" s="1"/>
  <c r="AI9" i="46"/>
  <c r="AJ9" i="46" s="1"/>
  <c r="AI8" i="46"/>
  <c r="AJ8" i="46" s="1"/>
  <c r="AJ46" i="45"/>
  <c r="AJ45" i="45"/>
  <c r="AJ44" i="45"/>
  <c r="AJ43" i="45"/>
  <c r="AJ42" i="45"/>
  <c r="AJ41" i="45"/>
  <c r="AJ40" i="45"/>
  <c r="AJ39" i="45"/>
  <c r="AJ38" i="45"/>
  <c r="AJ37" i="45"/>
  <c r="AJ35" i="45"/>
  <c r="AJ34" i="45"/>
  <c r="AJ33" i="45"/>
  <c r="AJ32" i="45"/>
  <c r="AJ31" i="45"/>
  <c r="AJ30" i="45"/>
  <c r="AJ29" i="45"/>
  <c r="AJ27" i="45"/>
  <c r="AJ26" i="45"/>
  <c r="AJ24" i="45"/>
  <c r="AJ23" i="45"/>
  <c r="AJ22" i="45"/>
  <c r="AJ21" i="45"/>
  <c r="AJ20" i="45"/>
  <c r="AJ19" i="45"/>
  <c r="AJ18" i="45"/>
  <c r="AJ16" i="45"/>
  <c r="AJ15" i="45"/>
  <c r="AJ14" i="45"/>
  <c r="AJ13" i="45"/>
  <c r="AJ12" i="45"/>
  <c r="AJ11" i="45"/>
  <c r="AJ10" i="45"/>
  <c r="AJ9" i="45"/>
  <c r="AJ8" i="45"/>
  <c r="AJ7" i="45"/>
  <c r="T7" i="46" l="1"/>
  <c r="U7" i="46" s="1"/>
  <c r="Q7" i="46"/>
  <c r="L4" i="75"/>
  <c r="K4" i="75"/>
  <c r="L4" i="74"/>
  <c r="G5" i="45"/>
  <c r="G23" i="45" s="1"/>
  <c r="K4" i="74"/>
  <c r="K4" i="73"/>
  <c r="L4" i="73"/>
  <c r="AJ54" i="45"/>
  <c r="H14" i="59" s="1"/>
  <c r="J23" i="71"/>
  <c r="P7" i="46"/>
  <c r="J10" i="89"/>
  <c r="K4" i="35"/>
  <c r="H24" i="45"/>
  <c r="H23" i="45"/>
  <c r="H22" i="45"/>
  <c r="H21" i="45"/>
  <c r="H20" i="45"/>
  <c r="H19" i="45"/>
  <c r="H18" i="45"/>
  <c r="F30" i="45" l="1"/>
  <c r="F7" i="45"/>
  <c r="G7" i="45"/>
  <c r="K7" i="45" s="1"/>
  <c r="F33" i="45"/>
  <c r="F46" i="45"/>
  <c r="F18" i="45"/>
  <c r="F20" i="45"/>
  <c r="F34" i="45"/>
  <c r="F35" i="45"/>
  <c r="G11" i="45"/>
  <c r="K11" i="45" s="1"/>
  <c r="G19" i="45"/>
  <c r="K19" i="45" s="1"/>
  <c r="F9" i="45"/>
  <c r="F29" i="45"/>
  <c r="F19" i="45"/>
  <c r="F37" i="45"/>
  <c r="G10" i="45"/>
  <c r="K10" i="45" s="1"/>
  <c r="G8" i="45"/>
  <c r="K8" i="45" s="1"/>
  <c r="F10" i="45"/>
  <c r="F27" i="45"/>
  <c r="F38" i="45"/>
  <c r="G24" i="45"/>
  <c r="K24" i="45" s="1"/>
  <c r="G9" i="45"/>
  <c r="K9" i="45" s="1"/>
  <c r="F11" i="45"/>
  <c r="G20" i="45"/>
  <c r="K20" i="45" s="1"/>
  <c r="F39" i="45"/>
  <c r="F21" i="45"/>
  <c r="F12" i="45"/>
  <c r="F22" i="45"/>
  <c r="F40" i="45"/>
  <c r="G21" i="45"/>
  <c r="K21" i="45" s="1"/>
  <c r="F13" i="45"/>
  <c r="F23" i="45"/>
  <c r="F41" i="45"/>
  <c r="G14" i="45"/>
  <c r="K14" i="45" s="1"/>
  <c r="G13" i="45"/>
  <c r="K13" i="45" s="1"/>
  <c r="F24" i="45"/>
  <c r="F42" i="45"/>
  <c r="G15" i="45"/>
  <c r="K15" i="45" s="1"/>
  <c r="F43" i="45"/>
  <c r="G22" i="45"/>
  <c r="K22" i="45" s="1"/>
  <c r="F14" i="45"/>
  <c r="F26" i="45"/>
  <c r="F44" i="45"/>
  <c r="G16" i="45"/>
  <c r="K16" i="45" s="1"/>
  <c r="F31" i="45"/>
  <c r="F15" i="45"/>
  <c r="F32" i="45"/>
  <c r="F8" i="45"/>
  <c r="F45" i="45"/>
  <c r="G18" i="45"/>
  <c r="K18" i="45" s="1"/>
  <c r="G12" i="45"/>
  <c r="K12" i="45" s="1"/>
  <c r="F16" i="45"/>
  <c r="K23" i="45"/>
  <c r="K30" i="88"/>
  <c r="G30" i="88"/>
  <c r="E30" i="88"/>
  <c r="D30" i="88"/>
  <c r="Q30" i="88" s="1"/>
  <c r="C30" i="88"/>
  <c r="B30" i="88"/>
  <c r="A30" i="88"/>
  <c r="K29" i="88"/>
  <c r="G29" i="88"/>
  <c r="E29" i="88"/>
  <c r="D29" i="88"/>
  <c r="Q29" i="88" s="1"/>
  <c r="C29" i="88"/>
  <c r="B29" i="88"/>
  <c r="A29" i="88"/>
  <c r="K27" i="88"/>
  <c r="G27" i="88"/>
  <c r="E27" i="88"/>
  <c r="D27" i="88"/>
  <c r="Q27" i="88" s="1"/>
  <c r="C27" i="88"/>
  <c r="B27" i="88"/>
  <c r="A27" i="88"/>
  <c r="K26" i="88"/>
  <c r="G26" i="88"/>
  <c r="E26" i="88"/>
  <c r="D26" i="88"/>
  <c r="Q26" i="88" s="1"/>
  <c r="C26" i="88"/>
  <c r="B26" i="88"/>
  <c r="A26" i="88"/>
  <c r="K25" i="88"/>
  <c r="G25" i="88"/>
  <c r="E25" i="88"/>
  <c r="D25" i="88"/>
  <c r="Q25" i="88" s="1"/>
  <c r="C25" i="88"/>
  <c r="B25" i="88"/>
  <c r="A25" i="88"/>
  <c r="K24" i="88"/>
  <c r="G24" i="88"/>
  <c r="E24" i="88"/>
  <c r="D24" i="88"/>
  <c r="Q24" i="88" s="1"/>
  <c r="C24" i="88"/>
  <c r="B24" i="88"/>
  <c r="A24" i="88"/>
  <c r="K23" i="88"/>
  <c r="G23" i="88"/>
  <c r="E23" i="88"/>
  <c r="D23" i="88"/>
  <c r="Q23" i="88" s="1"/>
  <c r="C23" i="88"/>
  <c r="B23" i="88"/>
  <c r="A23" i="88"/>
  <c r="K21" i="88"/>
  <c r="G21" i="88"/>
  <c r="E21" i="88"/>
  <c r="D21" i="88"/>
  <c r="Q21" i="88" s="1"/>
  <c r="C21" i="88"/>
  <c r="B21" i="88"/>
  <c r="A21" i="88"/>
  <c r="K20" i="88"/>
  <c r="G20" i="88"/>
  <c r="E20" i="88"/>
  <c r="D20" i="88"/>
  <c r="Q20" i="88" s="1"/>
  <c r="C20" i="88"/>
  <c r="B20" i="88"/>
  <c r="A20" i="88"/>
  <c r="K19" i="88"/>
  <c r="G19" i="88"/>
  <c r="E19" i="88"/>
  <c r="D19" i="88"/>
  <c r="Q19" i="88" s="1"/>
  <c r="C19" i="88"/>
  <c r="B19" i="88"/>
  <c r="A19" i="88"/>
  <c r="K18" i="88"/>
  <c r="G18" i="88"/>
  <c r="E18" i="88"/>
  <c r="D18" i="88"/>
  <c r="Q18" i="88" s="1"/>
  <c r="C18" i="88"/>
  <c r="B18" i="88"/>
  <c r="A18" i="88"/>
  <c r="K17" i="88"/>
  <c r="G17" i="88"/>
  <c r="E17" i="88"/>
  <c r="D17" i="88"/>
  <c r="Q17" i="88" s="1"/>
  <c r="C17" i="88"/>
  <c r="B17" i="88"/>
  <c r="A17" i="88"/>
  <c r="K15" i="88"/>
  <c r="G15" i="88"/>
  <c r="E15" i="88"/>
  <c r="D15" i="88"/>
  <c r="Q15" i="88" s="1"/>
  <c r="C15" i="88"/>
  <c r="B15" i="88"/>
  <c r="A15" i="88"/>
  <c r="K14" i="88"/>
  <c r="G14" i="88"/>
  <c r="E14" i="88"/>
  <c r="D14" i="88"/>
  <c r="Q14" i="88" s="1"/>
  <c r="C14" i="88"/>
  <c r="B14" i="88"/>
  <c r="A14" i="88"/>
  <c r="K12" i="88"/>
  <c r="G12" i="88"/>
  <c r="E12" i="88"/>
  <c r="D12" i="88"/>
  <c r="Q12" i="88" s="1"/>
  <c r="C12" i="88"/>
  <c r="B12" i="88"/>
  <c r="A12" i="88"/>
  <c r="K11" i="88"/>
  <c r="G11" i="88"/>
  <c r="E11" i="88"/>
  <c r="D11" i="88"/>
  <c r="Q11" i="88" s="1"/>
  <c r="C11" i="88"/>
  <c r="B11" i="88"/>
  <c r="A11" i="88"/>
  <c r="K9" i="88"/>
  <c r="G9" i="88"/>
  <c r="E9" i="88"/>
  <c r="D9" i="88"/>
  <c r="Q9" i="88" s="1"/>
  <c r="C9" i="88"/>
  <c r="B9" i="88"/>
  <c r="A9" i="88"/>
  <c r="K7" i="88"/>
  <c r="G7" i="88"/>
  <c r="E7" i="88"/>
  <c r="D7" i="88"/>
  <c r="Q7" i="88" s="1"/>
  <c r="C7" i="88"/>
  <c r="B7" i="88"/>
  <c r="A7" i="88"/>
  <c r="K5" i="88"/>
  <c r="G5" i="88"/>
  <c r="E5" i="88"/>
  <c r="D5" i="88"/>
  <c r="Q5" i="88" s="1"/>
  <c r="C5" i="88"/>
  <c r="B5" i="88"/>
  <c r="A5" i="88"/>
  <c r="K30" i="87"/>
  <c r="G30" i="87"/>
  <c r="E30" i="87"/>
  <c r="D30" i="87"/>
  <c r="Q30" i="87" s="1"/>
  <c r="C30" i="87"/>
  <c r="B30" i="87"/>
  <c r="A30" i="87"/>
  <c r="K29" i="87"/>
  <c r="G29" i="87"/>
  <c r="E29" i="87"/>
  <c r="D29" i="87"/>
  <c r="Q29" i="87" s="1"/>
  <c r="C29" i="87"/>
  <c r="B29" i="87"/>
  <c r="A29" i="87"/>
  <c r="K27" i="87"/>
  <c r="G27" i="87"/>
  <c r="E27" i="87"/>
  <c r="D27" i="87"/>
  <c r="Q27" i="87" s="1"/>
  <c r="C27" i="87"/>
  <c r="B27" i="87"/>
  <c r="A27" i="87"/>
  <c r="K26" i="87"/>
  <c r="G26" i="87"/>
  <c r="E26" i="87"/>
  <c r="D26" i="87"/>
  <c r="Q26" i="87" s="1"/>
  <c r="C26" i="87"/>
  <c r="B26" i="87"/>
  <c r="A26" i="87"/>
  <c r="K25" i="87"/>
  <c r="G25" i="87"/>
  <c r="E25" i="87"/>
  <c r="D25" i="87"/>
  <c r="Q25" i="87" s="1"/>
  <c r="C25" i="87"/>
  <c r="B25" i="87"/>
  <c r="A25" i="87"/>
  <c r="K24" i="87"/>
  <c r="G24" i="87"/>
  <c r="E24" i="87"/>
  <c r="D24" i="87"/>
  <c r="Q24" i="87" s="1"/>
  <c r="C24" i="87"/>
  <c r="B24" i="87"/>
  <c r="A24" i="87"/>
  <c r="K23" i="87"/>
  <c r="G23" i="87"/>
  <c r="E23" i="87"/>
  <c r="D23" i="87"/>
  <c r="Q23" i="87" s="1"/>
  <c r="C23" i="87"/>
  <c r="B23" i="87"/>
  <c r="A23" i="87"/>
  <c r="K21" i="87"/>
  <c r="G21" i="87"/>
  <c r="E21" i="87"/>
  <c r="D21" i="87"/>
  <c r="Q21" i="87" s="1"/>
  <c r="C21" i="87"/>
  <c r="B21" i="87"/>
  <c r="A21" i="87"/>
  <c r="K20" i="87"/>
  <c r="G20" i="87"/>
  <c r="E20" i="87"/>
  <c r="D20" i="87"/>
  <c r="Q20" i="87" s="1"/>
  <c r="C20" i="87"/>
  <c r="B20" i="87"/>
  <c r="A20" i="87"/>
  <c r="K19" i="87"/>
  <c r="G19" i="87"/>
  <c r="E19" i="87"/>
  <c r="D19" i="87"/>
  <c r="Q19" i="87" s="1"/>
  <c r="C19" i="87"/>
  <c r="B19" i="87"/>
  <c r="A19" i="87"/>
  <c r="K18" i="87"/>
  <c r="G18" i="87"/>
  <c r="E18" i="87"/>
  <c r="D18" i="87"/>
  <c r="Q18" i="87" s="1"/>
  <c r="C18" i="87"/>
  <c r="B18" i="87"/>
  <c r="A18" i="87"/>
  <c r="K17" i="87"/>
  <c r="G17" i="87"/>
  <c r="E17" i="87"/>
  <c r="D17" i="87"/>
  <c r="Q17" i="87" s="1"/>
  <c r="C17" i="87"/>
  <c r="B17" i="87"/>
  <c r="A17" i="87"/>
  <c r="K15" i="87"/>
  <c r="G15" i="87"/>
  <c r="E15" i="87"/>
  <c r="D15" i="87"/>
  <c r="Q15" i="87" s="1"/>
  <c r="C15" i="87"/>
  <c r="B15" i="87"/>
  <c r="A15" i="87"/>
  <c r="K14" i="87"/>
  <c r="G14" i="87"/>
  <c r="E14" i="87"/>
  <c r="D14" i="87"/>
  <c r="Q14" i="87" s="1"/>
  <c r="C14" i="87"/>
  <c r="B14" i="87"/>
  <c r="A14" i="87"/>
  <c r="K12" i="87"/>
  <c r="G12" i="87"/>
  <c r="E12" i="87"/>
  <c r="D12" i="87"/>
  <c r="Q12" i="87" s="1"/>
  <c r="C12" i="87"/>
  <c r="B12" i="87"/>
  <c r="A12" i="87"/>
  <c r="K11" i="87"/>
  <c r="G11" i="87"/>
  <c r="E11" i="87"/>
  <c r="D11" i="87"/>
  <c r="Q11" i="87" s="1"/>
  <c r="C11" i="87"/>
  <c r="B11" i="87"/>
  <c r="A11" i="87"/>
  <c r="K9" i="87"/>
  <c r="G9" i="87"/>
  <c r="E9" i="87"/>
  <c r="D9" i="87"/>
  <c r="Q9" i="87" s="1"/>
  <c r="C9" i="87"/>
  <c r="B9" i="87"/>
  <c r="A9" i="87"/>
  <c r="K7" i="87"/>
  <c r="G7" i="87"/>
  <c r="E7" i="87"/>
  <c r="D7" i="87"/>
  <c r="Q7" i="87" s="1"/>
  <c r="C7" i="87"/>
  <c r="B7" i="87"/>
  <c r="A7" i="87"/>
  <c r="K5" i="87"/>
  <c r="G5" i="87"/>
  <c r="E5" i="87"/>
  <c r="D5" i="87"/>
  <c r="Q5" i="87" s="1"/>
  <c r="C5" i="87"/>
  <c r="B5" i="87"/>
  <c r="A5" i="87"/>
  <c r="O30" i="86"/>
  <c r="O29" i="86"/>
  <c r="O23" i="86"/>
  <c r="O24" i="86"/>
  <c r="O25" i="86"/>
  <c r="O26" i="86"/>
  <c r="O27" i="86"/>
  <c r="O18" i="86"/>
  <c r="O19" i="86"/>
  <c r="O20" i="86"/>
  <c r="O21" i="86"/>
  <c r="O17" i="86"/>
  <c r="O15" i="86"/>
  <c r="O14" i="86"/>
  <c r="O12" i="86"/>
  <c r="O11" i="86"/>
  <c r="O9" i="86"/>
  <c r="O7" i="86"/>
  <c r="O5" i="86"/>
  <c r="K30" i="86"/>
  <c r="G30" i="86"/>
  <c r="E30" i="86"/>
  <c r="D30" i="86"/>
  <c r="Q30" i="86" s="1"/>
  <c r="C30" i="86"/>
  <c r="B30" i="86"/>
  <c r="A30" i="86"/>
  <c r="K29" i="86"/>
  <c r="G29" i="86"/>
  <c r="E29" i="86"/>
  <c r="D29" i="86"/>
  <c r="Q29" i="86" s="1"/>
  <c r="C29" i="86"/>
  <c r="B29" i="86"/>
  <c r="A29" i="86"/>
  <c r="K27" i="86"/>
  <c r="G27" i="86"/>
  <c r="E27" i="86"/>
  <c r="D27" i="86"/>
  <c r="Q27" i="86" s="1"/>
  <c r="C27" i="86"/>
  <c r="B27" i="86"/>
  <c r="A27" i="86"/>
  <c r="K26" i="86"/>
  <c r="G26" i="86"/>
  <c r="E26" i="86"/>
  <c r="D26" i="86"/>
  <c r="Q26" i="86" s="1"/>
  <c r="C26" i="86"/>
  <c r="B26" i="86"/>
  <c r="A26" i="86"/>
  <c r="K25" i="86"/>
  <c r="G25" i="86"/>
  <c r="E25" i="86"/>
  <c r="D25" i="86"/>
  <c r="Q25" i="86" s="1"/>
  <c r="C25" i="86"/>
  <c r="B25" i="86"/>
  <c r="A25" i="86"/>
  <c r="K24" i="86"/>
  <c r="G24" i="86"/>
  <c r="E24" i="86"/>
  <c r="D24" i="86"/>
  <c r="Q24" i="86" s="1"/>
  <c r="C24" i="86"/>
  <c r="B24" i="86"/>
  <c r="A24" i="86"/>
  <c r="K23" i="86"/>
  <c r="G23" i="86"/>
  <c r="E23" i="86"/>
  <c r="D23" i="86"/>
  <c r="Q23" i="86" s="1"/>
  <c r="C23" i="86"/>
  <c r="B23" i="86"/>
  <c r="A23" i="86"/>
  <c r="K21" i="86"/>
  <c r="G21" i="86"/>
  <c r="E21" i="86"/>
  <c r="D21" i="86"/>
  <c r="Q21" i="86" s="1"/>
  <c r="C21" i="86"/>
  <c r="B21" i="86"/>
  <c r="A21" i="86"/>
  <c r="K20" i="86"/>
  <c r="G20" i="86"/>
  <c r="E20" i="86"/>
  <c r="D20" i="86"/>
  <c r="Q20" i="86" s="1"/>
  <c r="C20" i="86"/>
  <c r="B20" i="86"/>
  <c r="A20" i="86"/>
  <c r="K19" i="86"/>
  <c r="G19" i="86"/>
  <c r="E19" i="86"/>
  <c r="D19" i="86"/>
  <c r="Q19" i="86" s="1"/>
  <c r="C19" i="86"/>
  <c r="B19" i="86"/>
  <c r="A19" i="86"/>
  <c r="K18" i="86"/>
  <c r="G18" i="86"/>
  <c r="E18" i="86"/>
  <c r="D18" i="86"/>
  <c r="Q18" i="86" s="1"/>
  <c r="C18" i="86"/>
  <c r="B18" i="86"/>
  <c r="A18" i="86"/>
  <c r="K17" i="86"/>
  <c r="G17" i="86"/>
  <c r="E17" i="86"/>
  <c r="D17" i="86"/>
  <c r="Q17" i="86" s="1"/>
  <c r="C17" i="86"/>
  <c r="B17" i="86"/>
  <c r="A17" i="86"/>
  <c r="K15" i="86"/>
  <c r="G15" i="86"/>
  <c r="E15" i="86"/>
  <c r="D15" i="86"/>
  <c r="Q15" i="86" s="1"/>
  <c r="C15" i="86"/>
  <c r="B15" i="86"/>
  <c r="A15" i="86"/>
  <c r="K14" i="86"/>
  <c r="G14" i="86"/>
  <c r="E14" i="86"/>
  <c r="D14" i="86"/>
  <c r="Q14" i="86" s="1"/>
  <c r="C14" i="86"/>
  <c r="B14" i="86"/>
  <c r="A14" i="86"/>
  <c r="K12" i="86"/>
  <c r="G12" i="86"/>
  <c r="E12" i="86"/>
  <c r="D12" i="86"/>
  <c r="Q12" i="86" s="1"/>
  <c r="C12" i="86"/>
  <c r="B12" i="86"/>
  <c r="A12" i="86"/>
  <c r="K11" i="86"/>
  <c r="G11" i="86"/>
  <c r="E11" i="86"/>
  <c r="D11" i="86"/>
  <c r="Q11" i="86" s="1"/>
  <c r="C11" i="86"/>
  <c r="B11" i="86"/>
  <c r="A11" i="86"/>
  <c r="K9" i="86"/>
  <c r="G9" i="86"/>
  <c r="E9" i="86"/>
  <c r="D9" i="86"/>
  <c r="Q9" i="86" s="1"/>
  <c r="C9" i="86"/>
  <c r="B9" i="86"/>
  <c r="A9" i="86"/>
  <c r="K7" i="86"/>
  <c r="G7" i="86"/>
  <c r="E7" i="86"/>
  <c r="D7" i="86"/>
  <c r="Q7" i="86" s="1"/>
  <c r="C7" i="86"/>
  <c r="B7" i="86"/>
  <c r="A7" i="86"/>
  <c r="K5" i="86"/>
  <c r="G5" i="86"/>
  <c r="E5" i="86"/>
  <c r="D5" i="86"/>
  <c r="Q5" i="86" s="1"/>
  <c r="C5" i="86"/>
  <c r="B5" i="86"/>
  <c r="A5" i="86"/>
  <c r="O30" i="85"/>
  <c r="O29" i="85"/>
  <c r="O23" i="85"/>
  <c r="O24" i="85"/>
  <c r="O25" i="85"/>
  <c r="O26" i="85"/>
  <c r="O27" i="85"/>
  <c r="O18" i="85"/>
  <c r="O19" i="85"/>
  <c r="O20" i="85"/>
  <c r="O21" i="85"/>
  <c r="O17" i="85"/>
  <c r="O15" i="85"/>
  <c r="O14" i="85"/>
  <c r="O12" i="85"/>
  <c r="O11" i="85"/>
  <c r="O9" i="85"/>
  <c r="O7" i="85"/>
  <c r="K30" i="85"/>
  <c r="G30" i="85"/>
  <c r="E30" i="85"/>
  <c r="D30" i="85"/>
  <c r="Q30" i="85" s="1"/>
  <c r="C30" i="85"/>
  <c r="B30" i="85"/>
  <c r="A30" i="85"/>
  <c r="K29" i="85"/>
  <c r="G29" i="85"/>
  <c r="E29" i="85"/>
  <c r="D29" i="85"/>
  <c r="Q29" i="85" s="1"/>
  <c r="C29" i="85"/>
  <c r="B29" i="85"/>
  <c r="A29" i="85"/>
  <c r="K27" i="85"/>
  <c r="G27" i="85"/>
  <c r="E27" i="85"/>
  <c r="D27" i="85"/>
  <c r="Q27" i="85" s="1"/>
  <c r="C27" i="85"/>
  <c r="B27" i="85"/>
  <c r="A27" i="85"/>
  <c r="K26" i="85"/>
  <c r="G26" i="85"/>
  <c r="E26" i="85"/>
  <c r="D26" i="85"/>
  <c r="Q26" i="85" s="1"/>
  <c r="C26" i="85"/>
  <c r="B26" i="85"/>
  <c r="A26" i="85"/>
  <c r="K25" i="85"/>
  <c r="G25" i="85"/>
  <c r="E25" i="85"/>
  <c r="D25" i="85"/>
  <c r="Q25" i="85" s="1"/>
  <c r="C25" i="85"/>
  <c r="B25" i="85"/>
  <c r="A25" i="85"/>
  <c r="K24" i="85"/>
  <c r="G24" i="85"/>
  <c r="E24" i="85"/>
  <c r="D24" i="85"/>
  <c r="Q24" i="85" s="1"/>
  <c r="C24" i="85"/>
  <c r="B24" i="85"/>
  <c r="A24" i="85"/>
  <c r="K23" i="85"/>
  <c r="G23" i="85"/>
  <c r="E23" i="85"/>
  <c r="D23" i="85"/>
  <c r="Q23" i="85" s="1"/>
  <c r="C23" i="85"/>
  <c r="B23" i="85"/>
  <c r="A23" i="85"/>
  <c r="K21" i="85"/>
  <c r="G21" i="85"/>
  <c r="E21" i="85"/>
  <c r="D21" i="85"/>
  <c r="Q21" i="85" s="1"/>
  <c r="C21" i="85"/>
  <c r="B21" i="85"/>
  <c r="A21" i="85"/>
  <c r="K20" i="85"/>
  <c r="G20" i="85"/>
  <c r="E20" i="85"/>
  <c r="D20" i="85"/>
  <c r="Q20" i="85" s="1"/>
  <c r="C20" i="85"/>
  <c r="B20" i="85"/>
  <c r="A20" i="85"/>
  <c r="K19" i="85"/>
  <c r="G19" i="85"/>
  <c r="E19" i="85"/>
  <c r="D19" i="85"/>
  <c r="Q19" i="85" s="1"/>
  <c r="C19" i="85"/>
  <c r="B19" i="85"/>
  <c r="A19" i="85"/>
  <c r="K18" i="85"/>
  <c r="G18" i="85"/>
  <c r="E18" i="85"/>
  <c r="D18" i="85"/>
  <c r="Q18" i="85" s="1"/>
  <c r="C18" i="85"/>
  <c r="B18" i="85"/>
  <c r="A18" i="85"/>
  <c r="K17" i="85"/>
  <c r="G17" i="85"/>
  <c r="E17" i="85"/>
  <c r="D17" i="85"/>
  <c r="Q17" i="85" s="1"/>
  <c r="C17" i="85"/>
  <c r="B17" i="85"/>
  <c r="A17" i="85"/>
  <c r="K15" i="85"/>
  <c r="G15" i="85"/>
  <c r="E15" i="85"/>
  <c r="D15" i="85"/>
  <c r="Q15" i="85" s="1"/>
  <c r="C15" i="85"/>
  <c r="B15" i="85"/>
  <c r="A15" i="85"/>
  <c r="K14" i="85"/>
  <c r="G14" i="85"/>
  <c r="E14" i="85"/>
  <c r="D14" i="85"/>
  <c r="Q14" i="85" s="1"/>
  <c r="C14" i="85"/>
  <c r="B14" i="85"/>
  <c r="A14" i="85"/>
  <c r="K12" i="85"/>
  <c r="G12" i="85"/>
  <c r="E12" i="85"/>
  <c r="D12" i="85"/>
  <c r="Q12" i="85" s="1"/>
  <c r="C12" i="85"/>
  <c r="B12" i="85"/>
  <c r="A12" i="85"/>
  <c r="K11" i="85"/>
  <c r="G11" i="85"/>
  <c r="E11" i="85"/>
  <c r="D11" i="85"/>
  <c r="Q11" i="85" s="1"/>
  <c r="C11" i="85"/>
  <c r="B11" i="85"/>
  <c r="A11" i="85"/>
  <c r="K9" i="85"/>
  <c r="G9" i="85"/>
  <c r="E9" i="85"/>
  <c r="D9" i="85"/>
  <c r="Q9" i="85" s="1"/>
  <c r="C9" i="85"/>
  <c r="B9" i="85"/>
  <c r="A9" i="85"/>
  <c r="K7" i="85"/>
  <c r="G7" i="85"/>
  <c r="E7" i="85"/>
  <c r="D7" i="85"/>
  <c r="Q7" i="85" s="1"/>
  <c r="C7" i="85"/>
  <c r="B7" i="85"/>
  <c r="A7" i="85"/>
  <c r="K5" i="85"/>
  <c r="G5" i="85"/>
  <c r="E5" i="85"/>
  <c r="D5" i="85"/>
  <c r="Q5" i="85" s="1"/>
  <c r="C5" i="85"/>
  <c r="B5" i="85"/>
  <c r="A5" i="85"/>
  <c r="O23" i="84"/>
  <c r="O26" i="84"/>
  <c r="O27" i="84"/>
  <c r="O18" i="84"/>
  <c r="O19" i="84"/>
  <c r="O20" i="84"/>
  <c r="O21" i="84"/>
  <c r="O17" i="84"/>
  <c r="O11" i="84"/>
  <c r="O9" i="84"/>
  <c r="O7" i="84"/>
  <c r="K30" i="84"/>
  <c r="G30" i="84"/>
  <c r="E30" i="84"/>
  <c r="D30" i="84"/>
  <c r="Q30" i="84" s="1"/>
  <c r="C30" i="84"/>
  <c r="B30" i="84"/>
  <c r="A30" i="84"/>
  <c r="K29" i="84"/>
  <c r="G29" i="84"/>
  <c r="E29" i="84"/>
  <c r="D29" i="84"/>
  <c r="Q29" i="84" s="1"/>
  <c r="C29" i="84"/>
  <c r="B29" i="84"/>
  <c r="A29" i="84"/>
  <c r="K27" i="84"/>
  <c r="G27" i="84"/>
  <c r="E27" i="84"/>
  <c r="D27" i="84"/>
  <c r="Q27" i="84" s="1"/>
  <c r="C27" i="84"/>
  <c r="B27" i="84"/>
  <c r="A27" i="84"/>
  <c r="K26" i="84"/>
  <c r="G26" i="84"/>
  <c r="E26" i="84"/>
  <c r="D26" i="84"/>
  <c r="Q26" i="84" s="1"/>
  <c r="C26" i="84"/>
  <c r="B26" i="84"/>
  <c r="A26" i="84"/>
  <c r="K25" i="84"/>
  <c r="G25" i="84"/>
  <c r="E25" i="84"/>
  <c r="D25" i="84"/>
  <c r="Q25" i="84" s="1"/>
  <c r="C25" i="84"/>
  <c r="B25" i="84"/>
  <c r="A25" i="84"/>
  <c r="K24" i="84"/>
  <c r="G24" i="84"/>
  <c r="E24" i="84"/>
  <c r="D24" i="84"/>
  <c r="Q24" i="84" s="1"/>
  <c r="C24" i="84"/>
  <c r="B24" i="84"/>
  <c r="A24" i="84"/>
  <c r="K23" i="84"/>
  <c r="G23" i="84"/>
  <c r="E23" i="84"/>
  <c r="D23" i="84"/>
  <c r="Q23" i="84" s="1"/>
  <c r="C23" i="84"/>
  <c r="B23" i="84"/>
  <c r="A23" i="84"/>
  <c r="K21" i="84"/>
  <c r="G21" i="84"/>
  <c r="E21" i="84"/>
  <c r="D21" i="84"/>
  <c r="Q21" i="84" s="1"/>
  <c r="C21" i="84"/>
  <c r="B21" i="84"/>
  <c r="A21" i="84"/>
  <c r="K20" i="84"/>
  <c r="G20" i="84"/>
  <c r="E20" i="84"/>
  <c r="D20" i="84"/>
  <c r="Q20" i="84" s="1"/>
  <c r="C20" i="84"/>
  <c r="B20" i="84"/>
  <c r="A20" i="84"/>
  <c r="K19" i="84"/>
  <c r="G19" i="84"/>
  <c r="E19" i="84"/>
  <c r="D19" i="84"/>
  <c r="Q19" i="84" s="1"/>
  <c r="C19" i="84"/>
  <c r="B19" i="84"/>
  <c r="A19" i="84"/>
  <c r="K18" i="84"/>
  <c r="G18" i="84"/>
  <c r="E18" i="84"/>
  <c r="D18" i="84"/>
  <c r="Q18" i="84" s="1"/>
  <c r="C18" i="84"/>
  <c r="B18" i="84"/>
  <c r="A18" i="84"/>
  <c r="K17" i="84"/>
  <c r="G17" i="84"/>
  <c r="E17" i="84"/>
  <c r="D17" i="84"/>
  <c r="Q17" i="84" s="1"/>
  <c r="C17" i="84"/>
  <c r="B17" i="84"/>
  <c r="A17" i="84"/>
  <c r="K15" i="84"/>
  <c r="G15" i="84"/>
  <c r="E15" i="84"/>
  <c r="D15" i="84"/>
  <c r="Q15" i="84" s="1"/>
  <c r="C15" i="84"/>
  <c r="B15" i="84"/>
  <c r="A15" i="84"/>
  <c r="K14" i="84"/>
  <c r="G14" i="84"/>
  <c r="E14" i="84"/>
  <c r="D14" i="84"/>
  <c r="Q14" i="84" s="1"/>
  <c r="C14" i="84"/>
  <c r="B14" i="84"/>
  <c r="A14" i="84"/>
  <c r="K12" i="84"/>
  <c r="G12" i="84"/>
  <c r="E12" i="84"/>
  <c r="D12" i="84"/>
  <c r="Q12" i="84" s="1"/>
  <c r="C12" i="84"/>
  <c r="B12" i="84"/>
  <c r="A12" i="84"/>
  <c r="K11" i="84"/>
  <c r="G11" i="84"/>
  <c r="E11" i="84"/>
  <c r="D11" i="84"/>
  <c r="Q11" i="84" s="1"/>
  <c r="C11" i="84"/>
  <c r="B11" i="84"/>
  <c r="A11" i="84"/>
  <c r="K9" i="84"/>
  <c r="G9" i="84"/>
  <c r="E9" i="84"/>
  <c r="D9" i="84"/>
  <c r="Q9" i="84" s="1"/>
  <c r="C9" i="84"/>
  <c r="B9" i="84"/>
  <c r="A9" i="84"/>
  <c r="K7" i="84"/>
  <c r="G7" i="84"/>
  <c r="E7" i="84"/>
  <c r="D7" i="84"/>
  <c r="Q7" i="84" s="1"/>
  <c r="C7" i="84"/>
  <c r="B7" i="84"/>
  <c r="A7" i="84"/>
  <c r="K5" i="84"/>
  <c r="G5" i="84"/>
  <c r="E5" i="84"/>
  <c r="D5" i="84"/>
  <c r="Q5" i="84" s="1"/>
  <c r="C5" i="84"/>
  <c r="B5" i="84"/>
  <c r="A5" i="84"/>
  <c r="O30" i="83"/>
  <c r="O29" i="83"/>
  <c r="O23" i="83"/>
  <c r="O24" i="83"/>
  <c r="O25" i="83"/>
  <c r="O26" i="83"/>
  <c r="O27" i="83"/>
  <c r="O18" i="83"/>
  <c r="O19" i="83"/>
  <c r="O20" i="83"/>
  <c r="O21" i="83"/>
  <c r="O17" i="83"/>
  <c r="O15" i="83"/>
  <c r="O14" i="83"/>
  <c r="O12" i="83"/>
  <c r="O11" i="83"/>
  <c r="O9" i="83"/>
  <c r="O7" i="83"/>
  <c r="O5" i="83"/>
  <c r="K30" i="83"/>
  <c r="G30" i="83"/>
  <c r="E30" i="83"/>
  <c r="D30" i="83"/>
  <c r="Q30" i="83" s="1"/>
  <c r="C30" i="83"/>
  <c r="B30" i="83"/>
  <c r="A30" i="83"/>
  <c r="K29" i="83"/>
  <c r="G29" i="83"/>
  <c r="E29" i="83"/>
  <c r="D29" i="83"/>
  <c r="Q29" i="83" s="1"/>
  <c r="C29" i="83"/>
  <c r="B29" i="83"/>
  <c r="A29" i="83"/>
  <c r="K27" i="83"/>
  <c r="G27" i="83"/>
  <c r="E27" i="83"/>
  <c r="D27" i="83"/>
  <c r="Q27" i="83" s="1"/>
  <c r="C27" i="83"/>
  <c r="B27" i="83"/>
  <c r="A27" i="83"/>
  <c r="K26" i="83"/>
  <c r="G26" i="83"/>
  <c r="E26" i="83"/>
  <c r="D26" i="83"/>
  <c r="Q26" i="83" s="1"/>
  <c r="C26" i="83"/>
  <c r="B26" i="83"/>
  <c r="A26" i="83"/>
  <c r="K25" i="83"/>
  <c r="G25" i="83"/>
  <c r="E25" i="83"/>
  <c r="D25" i="83"/>
  <c r="Q25" i="83" s="1"/>
  <c r="C25" i="83"/>
  <c r="B25" i="83"/>
  <c r="A25" i="83"/>
  <c r="K24" i="83"/>
  <c r="G24" i="83"/>
  <c r="E24" i="83"/>
  <c r="D24" i="83"/>
  <c r="Q24" i="83" s="1"/>
  <c r="C24" i="83"/>
  <c r="B24" i="83"/>
  <c r="A24" i="83"/>
  <c r="K23" i="83"/>
  <c r="G23" i="83"/>
  <c r="E23" i="83"/>
  <c r="D23" i="83"/>
  <c r="Q23" i="83" s="1"/>
  <c r="C23" i="83"/>
  <c r="B23" i="83"/>
  <c r="A23" i="83"/>
  <c r="K21" i="83"/>
  <c r="G21" i="83"/>
  <c r="E21" i="83"/>
  <c r="D21" i="83"/>
  <c r="Q21" i="83" s="1"/>
  <c r="C21" i="83"/>
  <c r="B21" i="83"/>
  <c r="A21" i="83"/>
  <c r="K20" i="83"/>
  <c r="G20" i="83"/>
  <c r="E20" i="83"/>
  <c r="D20" i="83"/>
  <c r="Q20" i="83" s="1"/>
  <c r="C20" i="83"/>
  <c r="B20" i="83"/>
  <c r="A20" i="83"/>
  <c r="K19" i="83"/>
  <c r="G19" i="83"/>
  <c r="E19" i="83"/>
  <c r="D19" i="83"/>
  <c r="Q19" i="83" s="1"/>
  <c r="C19" i="83"/>
  <c r="B19" i="83"/>
  <c r="A19" i="83"/>
  <c r="K18" i="83"/>
  <c r="G18" i="83"/>
  <c r="E18" i="83"/>
  <c r="D18" i="83"/>
  <c r="Q18" i="83" s="1"/>
  <c r="C18" i="83"/>
  <c r="B18" i="83"/>
  <c r="A18" i="83"/>
  <c r="K17" i="83"/>
  <c r="G17" i="83"/>
  <c r="E17" i="83"/>
  <c r="D17" i="83"/>
  <c r="Q17" i="83" s="1"/>
  <c r="C17" i="83"/>
  <c r="B17" i="83"/>
  <c r="A17" i="83"/>
  <c r="K15" i="83"/>
  <c r="G15" i="83"/>
  <c r="E15" i="83"/>
  <c r="D15" i="83"/>
  <c r="Q15" i="83" s="1"/>
  <c r="C15" i="83"/>
  <c r="B15" i="83"/>
  <c r="A15" i="83"/>
  <c r="K14" i="83"/>
  <c r="G14" i="83"/>
  <c r="E14" i="83"/>
  <c r="D14" i="83"/>
  <c r="Q14" i="83" s="1"/>
  <c r="C14" i="83"/>
  <c r="B14" i="83"/>
  <c r="A14" i="83"/>
  <c r="K12" i="83"/>
  <c r="G12" i="83"/>
  <c r="E12" i="83"/>
  <c r="D12" i="83"/>
  <c r="Q12" i="83" s="1"/>
  <c r="C12" i="83"/>
  <c r="B12" i="83"/>
  <c r="A12" i="83"/>
  <c r="K11" i="83"/>
  <c r="G11" i="83"/>
  <c r="E11" i="83"/>
  <c r="D11" i="83"/>
  <c r="Q11" i="83" s="1"/>
  <c r="C11" i="83"/>
  <c r="B11" i="83"/>
  <c r="A11" i="83"/>
  <c r="K9" i="83"/>
  <c r="G9" i="83"/>
  <c r="E9" i="83"/>
  <c r="D9" i="83"/>
  <c r="Q9" i="83" s="1"/>
  <c r="C9" i="83"/>
  <c r="B9" i="83"/>
  <c r="A9" i="83"/>
  <c r="K7" i="83"/>
  <c r="G7" i="83"/>
  <c r="E7" i="83"/>
  <c r="D7" i="83"/>
  <c r="Q7" i="83" s="1"/>
  <c r="C7" i="83"/>
  <c r="B7" i="83"/>
  <c r="A7" i="83"/>
  <c r="K5" i="83"/>
  <c r="G5" i="83"/>
  <c r="E5" i="83"/>
  <c r="D5" i="83"/>
  <c r="Q5" i="83" s="1"/>
  <c r="C5" i="83"/>
  <c r="B5" i="83"/>
  <c r="A5" i="83"/>
  <c r="O30" i="81"/>
  <c r="O29" i="81"/>
  <c r="O23" i="81"/>
  <c r="O24" i="81"/>
  <c r="O25" i="81"/>
  <c r="O26" i="81"/>
  <c r="O27" i="81"/>
  <c r="O18" i="81"/>
  <c r="O19" i="81"/>
  <c r="O20" i="81"/>
  <c r="O21" i="81"/>
  <c r="O17" i="81"/>
  <c r="O15" i="81"/>
  <c r="O14" i="81"/>
  <c r="O12" i="81"/>
  <c r="O11" i="81"/>
  <c r="O9" i="81"/>
  <c r="O7" i="81"/>
  <c r="K25" i="81"/>
  <c r="K26" i="81"/>
  <c r="K27" i="81"/>
  <c r="K29" i="81"/>
  <c r="K30" i="81"/>
  <c r="K18" i="81"/>
  <c r="K19" i="81"/>
  <c r="K20" i="81"/>
  <c r="K21" i="81"/>
  <c r="K23" i="81"/>
  <c r="A7" i="81"/>
  <c r="B7" i="81"/>
  <c r="C7" i="81"/>
  <c r="D7" i="81"/>
  <c r="Q7" i="81" s="1"/>
  <c r="E7" i="81"/>
  <c r="G7" i="81"/>
  <c r="A9" i="81"/>
  <c r="B9" i="81"/>
  <c r="C9" i="81"/>
  <c r="D9" i="81"/>
  <c r="Q9" i="81" s="1"/>
  <c r="E9" i="81"/>
  <c r="G9" i="81"/>
  <c r="A11" i="81"/>
  <c r="B11" i="81"/>
  <c r="C11" i="81"/>
  <c r="D11" i="81"/>
  <c r="Q11" i="81" s="1"/>
  <c r="E11" i="81"/>
  <c r="G11" i="81"/>
  <c r="A12" i="81"/>
  <c r="B12" i="81"/>
  <c r="C12" i="81"/>
  <c r="D12" i="81"/>
  <c r="Q12" i="81" s="1"/>
  <c r="E12" i="81"/>
  <c r="G12" i="81"/>
  <c r="A14" i="81"/>
  <c r="B14" i="81"/>
  <c r="C14" i="81"/>
  <c r="D14" i="81"/>
  <c r="Q14" i="81" s="1"/>
  <c r="E14" i="81"/>
  <c r="G14" i="81"/>
  <c r="A15" i="81"/>
  <c r="B15" i="81"/>
  <c r="C15" i="81"/>
  <c r="D15" i="81"/>
  <c r="Q15" i="81" s="1"/>
  <c r="E15" i="81"/>
  <c r="G15" i="81"/>
  <c r="A17" i="81"/>
  <c r="B17" i="81"/>
  <c r="C17" i="81"/>
  <c r="D17" i="81"/>
  <c r="Q17" i="81" s="1"/>
  <c r="E17" i="81"/>
  <c r="G17" i="81"/>
  <c r="A18" i="81"/>
  <c r="B18" i="81"/>
  <c r="C18" i="81"/>
  <c r="D18" i="81"/>
  <c r="Q18" i="81" s="1"/>
  <c r="E18" i="81"/>
  <c r="G18" i="81"/>
  <c r="A19" i="81"/>
  <c r="B19" i="81"/>
  <c r="C19" i="81"/>
  <c r="D19" i="81"/>
  <c r="Q19" i="81" s="1"/>
  <c r="E19" i="81"/>
  <c r="G19" i="81"/>
  <c r="A20" i="81"/>
  <c r="B20" i="81"/>
  <c r="C20" i="81"/>
  <c r="D20" i="81"/>
  <c r="Q20" i="81" s="1"/>
  <c r="E20" i="81"/>
  <c r="G20" i="81"/>
  <c r="A21" i="81"/>
  <c r="B21" i="81"/>
  <c r="C21" i="81"/>
  <c r="D21" i="81"/>
  <c r="Q21" i="81" s="1"/>
  <c r="E21" i="81"/>
  <c r="G21" i="81"/>
  <c r="A23" i="81"/>
  <c r="B23" i="81"/>
  <c r="C23" i="81"/>
  <c r="D23" i="81"/>
  <c r="Q23" i="81" s="1"/>
  <c r="E23" i="81"/>
  <c r="G23" i="81"/>
  <c r="A24" i="81"/>
  <c r="B24" i="81"/>
  <c r="C24" i="81"/>
  <c r="D24" i="81"/>
  <c r="Q24" i="81" s="1"/>
  <c r="E24" i="81"/>
  <c r="G24" i="81"/>
  <c r="A25" i="81"/>
  <c r="B25" i="81"/>
  <c r="C25" i="81"/>
  <c r="D25" i="81"/>
  <c r="Q25" i="81" s="1"/>
  <c r="E25" i="81"/>
  <c r="G25" i="81"/>
  <c r="A26" i="81"/>
  <c r="B26" i="81"/>
  <c r="C26" i="81"/>
  <c r="D26" i="81"/>
  <c r="Q26" i="81" s="1"/>
  <c r="E26" i="81"/>
  <c r="G26" i="81"/>
  <c r="A27" i="81"/>
  <c r="B27" i="81"/>
  <c r="C27" i="81"/>
  <c r="D27" i="81"/>
  <c r="Q27" i="81" s="1"/>
  <c r="E27" i="81"/>
  <c r="G27" i="81"/>
  <c r="A29" i="81"/>
  <c r="B29" i="81"/>
  <c r="C29" i="81"/>
  <c r="D29" i="81"/>
  <c r="Q29" i="81" s="1"/>
  <c r="E29" i="81"/>
  <c r="G29" i="81"/>
  <c r="A30" i="81"/>
  <c r="B30" i="81"/>
  <c r="C30" i="81"/>
  <c r="D30" i="81"/>
  <c r="Q30" i="81" s="1"/>
  <c r="E30" i="81"/>
  <c r="G30" i="81"/>
  <c r="G5" i="81"/>
  <c r="C8" i="82"/>
  <c r="D8" i="82"/>
  <c r="E8" i="82"/>
  <c r="F8" i="82" s="1"/>
  <c r="C10" i="82"/>
  <c r="D10" i="82"/>
  <c r="E10" i="82"/>
  <c r="F10" i="82"/>
  <c r="C12" i="82"/>
  <c r="D12" i="82"/>
  <c r="E12" i="82"/>
  <c r="F12" i="82"/>
  <c r="C13" i="82"/>
  <c r="D13" i="82"/>
  <c r="E13" i="82"/>
  <c r="F13" i="82"/>
  <c r="C15" i="82"/>
  <c r="D15" i="82"/>
  <c r="E15" i="82"/>
  <c r="F15" i="82"/>
  <c r="C16" i="82"/>
  <c r="D16" i="82"/>
  <c r="E16" i="82"/>
  <c r="F16" i="82" s="1"/>
  <c r="C18" i="82"/>
  <c r="D18" i="82"/>
  <c r="E18" i="82"/>
  <c r="F18" i="82" s="1"/>
  <c r="C19" i="82"/>
  <c r="D19" i="82"/>
  <c r="E19" i="82"/>
  <c r="F19" i="82"/>
  <c r="C20" i="82"/>
  <c r="D20" i="82"/>
  <c r="E20" i="82"/>
  <c r="F20" i="82"/>
  <c r="C21" i="82"/>
  <c r="D21" i="82"/>
  <c r="E21" i="82"/>
  <c r="F21" i="82"/>
  <c r="C22" i="82"/>
  <c r="D22" i="82"/>
  <c r="E22" i="82"/>
  <c r="F22" i="82" s="1"/>
  <c r="C24" i="82"/>
  <c r="D24" i="82"/>
  <c r="E24" i="82"/>
  <c r="F24" i="82" s="1"/>
  <c r="C25" i="82"/>
  <c r="D25" i="82"/>
  <c r="E25" i="82"/>
  <c r="F25" i="82"/>
  <c r="C26" i="82"/>
  <c r="D26" i="82"/>
  <c r="E26" i="82"/>
  <c r="F26" i="82"/>
  <c r="C27" i="82"/>
  <c r="D27" i="82"/>
  <c r="E27" i="82"/>
  <c r="F27" i="82"/>
  <c r="C28" i="82"/>
  <c r="D28" i="82"/>
  <c r="E28" i="82"/>
  <c r="F28" i="82"/>
  <c r="C30" i="82"/>
  <c r="D30" i="82"/>
  <c r="E30" i="82"/>
  <c r="F30" i="82"/>
  <c r="C31" i="82"/>
  <c r="D31" i="82"/>
  <c r="E31" i="82"/>
  <c r="F31" i="82" s="1"/>
  <c r="B8" i="82"/>
  <c r="B10" i="82"/>
  <c r="B12" i="82"/>
  <c r="B13" i="82"/>
  <c r="B15" i="82"/>
  <c r="B16" i="82"/>
  <c r="B18" i="82"/>
  <c r="B19" i="82"/>
  <c r="B20" i="82"/>
  <c r="B21" i="82"/>
  <c r="B22" i="82"/>
  <c r="B24" i="82"/>
  <c r="B25" i="82"/>
  <c r="B26" i="82"/>
  <c r="B27" i="82"/>
  <c r="B28" i="82"/>
  <c r="B30" i="82"/>
  <c r="B31" i="82"/>
  <c r="A8" i="82"/>
  <c r="A10" i="82"/>
  <c r="A12" i="82"/>
  <c r="A13" i="82"/>
  <c r="A15" i="82"/>
  <c r="A16" i="82"/>
  <c r="A18" i="82"/>
  <c r="A19" i="82"/>
  <c r="A20" i="82"/>
  <c r="A21" i="82"/>
  <c r="A22" i="82"/>
  <c r="A24" i="82"/>
  <c r="A25" i="82"/>
  <c r="A26" i="82"/>
  <c r="A27" i="82"/>
  <c r="A28" i="82"/>
  <c r="A30" i="82"/>
  <c r="A31" i="82"/>
  <c r="E6" i="82"/>
  <c r="F6" i="82" s="1"/>
  <c r="D6" i="82"/>
  <c r="C6" i="82"/>
  <c r="B6" i="82"/>
  <c r="A6" i="82"/>
  <c r="H4" i="82"/>
  <c r="H21" i="82" s="1"/>
  <c r="G4" i="82"/>
  <c r="E5" i="81"/>
  <c r="D5" i="81"/>
  <c r="Q5" i="81" s="1"/>
  <c r="C5" i="81"/>
  <c r="B5" i="81"/>
  <c r="A5" i="81"/>
  <c r="K24" i="81"/>
  <c r="K17" i="81"/>
  <c r="K15" i="81"/>
  <c r="K14" i="81"/>
  <c r="K12" i="81"/>
  <c r="K11" i="81"/>
  <c r="K9" i="81"/>
  <c r="K7" i="81"/>
  <c r="O5" i="81"/>
  <c r="K5" i="81"/>
  <c r="K6" i="78"/>
  <c r="K7" i="78"/>
  <c r="K14" i="78"/>
  <c r="K15" i="78"/>
  <c r="K16" i="78"/>
  <c r="K17" i="78"/>
  <c r="K18" i="78"/>
  <c r="K19" i="78"/>
  <c r="K20" i="78"/>
  <c r="K21" i="78"/>
  <c r="K22" i="78"/>
  <c r="K23" i="78"/>
  <c r="K24" i="78"/>
  <c r="K25" i="78"/>
  <c r="K26" i="78"/>
  <c r="K27" i="78"/>
  <c r="K28" i="78"/>
  <c r="K29" i="78"/>
  <c r="K30" i="78"/>
  <c r="K31" i="78"/>
  <c r="K32" i="78"/>
  <c r="K33" i="78"/>
  <c r="K34" i="78"/>
  <c r="K35" i="78"/>
  <c r="K36" i="78"/>
  <c r="K37" i="78"/>
  <c r="K38" i="78"/>
  <c r="K39" i="78"/>
  <c r="K40" i="78"/>
  <c r="K41" i="78"/>
  <c r="K42" i="78"/>
  <c r="K43" i="78"/>
  <c r="K44" i="78"/>
  <c r="K45" i="78"/>
  <c r="K46" i="78"/>
  <c r="K47" i="78"/>
  <c r="K48" i="78"/>
  <c r="K49" i="78"/>
  <c r="K50" i="78"/>
  <c r="K51" i="78"/>
  <c r="K52" i="78"/>
  <c r="K53" i="78"/>
  <c r="K54" i="78"/>
  <c r="K55" i="78"/>
  <c r="K56" i="78"/>
  <c r="K57" i="78"/>
  <c r="K58" i="78"/>
  <c r="K59" i="78"/>
  <c r="K60" i="78"/>
  <c r="K61" i="78"/>
  <c r="K62" i="78"/>
  <c r="K63" i="78"/>
  <c r="K64" i="78"/>
  <c r="K65" i="78"/>
  <c r="K66" i="78"/>
  <c r="K67" i="78"/>
  <c r="K68" i="78"/>
  <c r="K85" i="78"/>
  <c r="K87" i="78"/>
  <c r="K88" i="78"/>
  <c r="K89" i="78"/>
  <c r="K113" i="78"/>
  <c r="K115" i="78"/>
  <c r="K116" i="78"/>
  <c r="K117" i="78"/>
  <c r="K118" i="78"/>
  <c r="K119" i="78"/>
  <c r="K120" i="78"/>
  <c r="K121" i="78"/>
  <c r="K122" i="78"/>
  <c r="K138" i="78"/>
  <c r="K140" i="78"/>
  <c r="K141" i="78"/>
  <c r="K142" i="78"/>
  <c r="K151" i="78"/>
  <c r="K153" i="78"/>
  <c r="K162" i="78"/>
  <c r="K164" i="78"/>
  <c r="K168" i="78"/>
  <c r="K172" i="78"/>
  <c r="K175" i="78"/>
  <c r="K5" i="78"/>
  <c r="K6" i="77"/>
  <c r="K7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38" i="77"/>
  <c r="K39" i="77"/>
  <c r="K40" i="77"/>
  <c r="K41" i="77"/>
  <c r="K42" i="77"/>
  <c r="K43" i="77"/>
  <c r="K44" i="77"/>
  <c r="K45" i="77"/>
  <c r="K46" i="77"/>
  <c r="K47" i="77"/>
  <c r="K48" i="77"/>
  <c r="K49" i="77"/>
  <c r="K50" i="77"/>
  <c r="K51" i="77"/>
  <c r="K52" i="77"/>
  <c r="K53" i="77"/>
  <c r="K54" i="77"/>
  <c r="K55" i="77"/>
  <c r="K56" i="77"/>
  <c r="K57" i="77"/>
  <c r="K58" i="77"/>
  <c r="K59" i="77"/>
  <c r="K60" i="77"/>
  <c r="K61" i="77"/>
  <c r="K62" i="77"/>
  <c r="K63" i="77"/>
  <c r="K64" i="77"/>
  <c r="K65" i="77"/>
  <c r="K66" i="77"/>
  <c r="K67" i="77"/>
  <c r="K68" i="77"/>
  <c r="K85" i="77"/>
  <c r="K87" i="77"/>
  <c r="K88" i="77"/>
  <c r="K89" i="77"/>
  <c r="K113" i="77"/>
  <c r="K115" i="77"/>
  <c r="K116" i="77"/>
  <c r="K117" i="77"/>
  <c r="K118" i="77"/>
  <c r="K119" i="77"/>
  <c r="K120" i="77"/>
  <c r="K121" i="77"/>
  <c r="K122" i="77"/>
  <c r="K138" i="77"/>
  <c r="K140" i="77"/>
  <c r="K141" i="77"/>
  <c r="K142" i="77"/>
  <c r="K151" i="77"/>
  <c r="K153" i="77"/>
  <c r="K162" i="77"/>
  <c r="K164" i="77"/>
  <c r="K168" i="77"/>
  <c r="K172" i="77"/>
  <c r="K5" i="77"/>
  <c r="K6" i="76"/>
  <c r="K7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54" i="76"/>
  <c r="K55" i="76"/>
  <c r="K56" i="76"/>
  <c r="K57" i="76"/>
  <c r="K58" i="76"/>
  <c r="K59" i="76"/>
  <c r="K60" i="76"/>
  <c r="K61" i="76"/>
  <c r="K62" i="76"/>
  <c r="K63" i="76"/>
  <c r="K64" i="76"/>
  <c r="K65" i="76"/>
  <c r="K66" i="76"/>
  <c r="K67" i="76"/>
  <c r="K68" i="76"/>
  <c r="K85" i="76"/>
  <c r="K87" i="76"/>
  <c r="K88" i="76"/>
  <c r="K89" i="76"/>
  <c r="K113" i="76"/>
  <c r="K115" i="76"/>
  <c r="K116" i="76"/>
  <c r="K117" i="76"/>
  <c r="K118" i="76"/>
  <c r="K119" i="76"/>
  <c r="K120" i="76"/>
  <c r="K121" i="76"/>
  <c r="K122" i="76"/>
  <c r="K138" i="76"/>
  <c r="K140" i="76"/>
  <c r="K141" i="76"/>
  <c r="K142" i="76"/>
  <c r="K151" i="76"/>
  <c r="K153" i="76"/>
  <c r="K162" i="76"/>
  <c r="K164" i="76"/>
  <c r="K168" i="76"/>
  <c r="K172" i="76"/>
  <c r="K175" i="76"/>
  <c r="K5" i="76"/>
  <c r="K6" i="75"/>
  <c r="K7" i="75"/>
  <c r="K14" i="75"/>
  <c r="K15" i="75"/>
  <c r="K16" i="75"/>
  <c r="K17" i="75"/>
  <c r="K18" i="75"/>
  <c r="K19" i="75"/>
  <c r="K20" i="75"/>
  <c r="K21" i="75"/>
  <c r="K22" i="75"/>
  <c r="K23" i="75"/>
  <c r="K24" i="75"/>
  <c r="K25" i="75"/>
  <c r="K26" i="75"/>
  <c r="K27" i="75"/>
  <c r="K28" i="75"/>
  <c r="K29" i="75"/>
  <c r="K30" i="75"/>
  <c r="K31" i="75"/>
  <c r="K32" i="75"/>
  <c r="K33" i="75"/>
  <c r="K34" i="75"/>
  <c r="K35" i="75"/>
  <c r="K36" i="75"/>
  <c r="K37" i="75"/>
  <c r="K38" i="75"/>
  <c r="K39" i="75"/>
  <c r="K40" i="75"/>
  <c r="K41" i="75"/>
  <c r="K42" i="75"/>
  <c r="K43" i="75"/>
  <c r="K44" i="75"/>
  <c r="K45" i="75"/>
  <c r="K46" i="75"/>
  <c r="K47" i="75"/>
  <c r="K48" i="75"/>
  <c r="K49" i="75"/>
  <c r="K50" i="75"/>
  <c r="K51" i="75"/>
  <c r="K52" i="75"/>
  <c r="K53" i="75"/>
  <c r="K54" i="75"/>
  <c r="K55" i="75"/>
  <c r="K56" i="75"/>
  <c r="K57" i="75"/>
  <c r="K58" i="75"/>
  <c r="K59" i="75"/>
  <c r="K60" i="75"/>
  <c r="K61" i="75"/>
  <c r="K62" i="75"/>
  <c r="K63" i="75"/>
  <c r="K64" i="75"/>
  <c r="K65" i="75"/>
  <c r="K66" i="75"/>
  <c r="K67" i="75"/>
  <c r="K68" i="75"/>
  <c r="K85" i="75"/>
  <c r="K87" i="75"/>
  <c r="K88" i="75"/>
  <c r="K89" i="75"/>
  <c r="K113" i="75"/>
  <c r="K115" i="75"/>
  <c r="K116" i="75"/>
  <c r="K117" i="75"/>
  <c r="K118" i="75"/>
  <c r="K119" i="75"/>
  <c r="K120" i="75"/>
  <c r="K121" i="75"/>
  <c r="K122" i="75"/>
  <c r="K138" i="75"/>
  <c r="K140" i="75"/>
  <c r="K141" i="75"/>
  <c r="K142" i="75"/>
  <c r="K151" i="75"/>
  <c r="K153" i="75"/>
  <c r="K162" i="75"/>
  <c r="K164" i="75"/>
  <c r="K168" i="75"/>
  <c r="K172" i="75"/>
  <c r="K175" i="75"/>
  <c r="K5" i="75"/>
  <c r="K6" i="74"/>
  <c r="K7" i="74"/>
  <c r="K14" i="74"/>
  <c r="K15" i="74"/>
  <c r="K16" i="74"/>
  <c r="K17" i="74"/>
  <c r="K18" i="74"/>
  <c r="K19" i="74"/>
  <c r="K20" i="74"/>
  <c r="K21" i="74"/>
  <c r="K22" i="74"/>
  <c r="K23" i="74"/>
  <c r="K24" i="74"/>
  <c r="K25" i="74"/>
  <c r="K26" i="74"/>
  <c r="K27" i="74"/>
  <c r="K28" i="74"/>
  <c r="K29" i="74"/>
  <c r="K30" i="74"/>
  <c r="K31" i="74"/>
  <c r="K32" i="74"/>
  <c r="K33" i="74"/>
  <c r="K34" i="74"/>
  <c r="K35" i="74"/>
  <c r="K36" i="74"/>
  <c r="K37" i="74"/>
  <c r="K38" i="74"/>
  <c r="K39" i="74"/>
  <c r="K40" i="74"/>
  <c r="K41" i="74"/>
  <c r="K42" i="74"/>
  <c r="K43" i="74"/>
  <c r="K44" i="74"/>
  <c r="K45" i="74"/>
  <c r="K46" i="74"/>
  <c r="K47" i="74"/>
  <c r="K48" i="74"/>
  <c r="K49" i="74"/>
  <c r="K50" i="74"/>
  <c r="K51" i="74"/>
  <c r="K52" i="74"/>
  <c r="K53" i="74"/>
  <c r="K54" i="74"/>
  <c r="K55" i="74"/>
  <c r="K56" i="74"/>
  <c r="K57" i="74"/>
  <c r="K58" i="74"/>
  <c r="K59" i="74"/>
  <c r="K60" i="74"/>
  <c r="K61" i="74"/>
  <c r="K62" i="74"/>
  <c r="K63" i="74"/>
  <c r="K64" i="74"/>
  <c r="K65" i="74"/>
  <c r="K66" i="74"/>
  <c r="K67" i="74"/>
  <c r="K68" i="74"/>
  <c r="K85" i="74"/>
  <c r="K87" i="74"/>
  <c r="K88" i="74"/>
  <c r="K89" i="74"/>
  <c r="K113" i="74"/>
  <c r="K115" i="74"/>
  <c r="K116" i="74"/>
  <c r="K117" i="74"/>
  <c r="K118" i="74"/>
  <c r="K119" i="74"/>
  <c r="K120" i="74"/>
  <c r="K121" i="74"/>
  <c r="K122" i="74"/>
  <c r="K138" i="74"/>
  <c r="K140" i="74"/>
  <c r="K141" i="74"/>
  <c r="K142" i="74"/>
  <c r="K151" i="74"/>
  <c r="K153" i="74"/>
  <c r="K162" i="74"/>
  <c r="K164" i="74"/>
  <c r="K172" i="74"/>
  <c r="K5" i="74"/>
  <c r="K6" i="73"/>
  <c r="K7" i="73"/>
  <c r="K14" i="73"/>
  <c r="K15" i="73"/>
  <c r="K16" i="73"/>
  <c r="K17" i="73"/>
  <c r="K18" i="73"/>
  <c r="K19" i="73"/>
  <c r="K20" i="73"/>
  <c r="K21" i="73"/>
  <c r="K22" i="73"/>
  <c r="K23" i="73"/>
  <c r="K24" i="73"/>
  <c r="K25" i="73"/>
  <c r="K26" i="73"/>
  <c r="K27" i="73"/>
  <c r="K28" i="73"/>
  <c r="K29" i="73"/>
  <c r="K30" i="73"/>
  <c r="K31" i="73"/>
  <c r="K32" i="73"/>
  <c r="K33" i="73"/>
  <c r="K34" i="73"/>
  <c r="K35" i="73"/>
  <c r="K36" i="73"/>
  <c r="K37" i="73"/>
  <c r="K38" i="73"/>
  <c r="K39" i="73"/>
  <c r="K40" i="73"/>
  <c r="K41" i="73"/>
  <c r="K42" i="73"/>
  <c r="K43" i="73"/>
  <c r="K44" i="73"/>
  <c r="K45" i="73"/>
  <c r="K46" i="73"/>
  <c r="K47" i="73"/>
  <c r="K48" i="73"/>
  <c r="K49" i="73"/>
  <c r="K50" i="73"/>
  <c r="K51" i="73"/>
  <c r="K52" i="73"/>
  <c r="K53" i="73"/>
  <c r="K54" i="73"/>
  <c r="K55" i="73"/>
  <c r="K56" i="73"/>
  <c r="K57" i="73"/>
  <c r="K58" i="73"/>
  <c r="K59" i="73"/>
  <c r="K60" i="73"/>
  <c r="K61" i="73"/>
  <c r="K62" i="73"/>
  <c r="K63" i="73"/>
  <c r="K64" i="73"/>
  <c r="K65" i="73"/>
  <c r="K66" i="73"/>
  <c r="K67" i="73"/>
  <c r="K68" i="73"/>
  <c r="K85" i="73"/>
  <c r="K87" i="73"/>
  <c r="K88" i="73"/>
  <c r="K89" i="73"/>
  <c r="K113" i="73"/>
  <c r="K115" i="73"/>
  <c r="K116" i="73"/>
  <c r="K117" i="73"/>
  <c r="K118" i="73"/>
  <c r="K119" i="73"/>
  <c r="K120" i="73"/>
  <c r="K121" i="73"/>
  <c r="K122" i="73"/>
  <c r="K138" i="73"/>
  <c r="K140" i="73"/>
  <c r="K141" i="73"/>
  <c r="K142" i="73"/>
  <c r="K151" i="73"/>
  <c r="K153" i="73"/>
  <c r="K162" i="73"/>
  <c r="K164" i="73"/>
  <c r="K168" i="73"/>
  <c r="K172" i="73"/>
  <c r="K5" i="73"/>
  <c r="K5" i="72"/>
  <c r="A6" i="78"/>
  <c r="B6" i="78"/>
  <c r="C6" i="78"/>
  <c r="D6" i="78"/>
  <c r="Q6" i="78" s="1"/>
  <c r="E6" i="78"/>
  <c r="G6" i="78"/>
  <c r="A7" i="78"/>
  <c r="B7" i="78"/>
  <c r="C7" i="78"/>
  <c r="D7" i="78"/>
  <c r="Q7" i="78" s="1"/>
  <c r="E7" i="78"/>
  <c r="G7" i="78"/>
  <c r="A14" i="78"/>
  <c r="B14" i="78"/>
  <c r="C14" i="78"/>
  <c r="D14" i="78"/>
  <c r="Q14" i="78" s="1"/>
  <c r="E14" i="78"/>
  <c r="G14" i="78"/>
  <c r="A15" i="78"/>
  <c r="B15" i="78"/>
  <c r="C15" i="78"/>
  <c r="D15" i="78"/>
  <c r="Q15" i="78" s="1"/>
  <c r="E15" i="78"/>
  <c r="G15" i="78"/>
  <c r="A16" i="78"/>
  <c r="B16" i="78"/>
  <c r="C16" i="78"/>
  <c r="D16" i="78"/>
  <c r="Q16" i="78" s="1"/>
  <c r="E16" i="78"/>
  <c r="G16" i="78"/>
  <c r="A17" i="78"/>
  <c r="B17" i="78"/>
  <c r="C17" i="78"/>
  <c r="D17" i="78"/>
  <c r="Q17" i="78" s="1"/>
  <c r="E17" i="78"/>
  <c r="G17" i="78"/>
  <c r="A18" i="78"/>
  <c r="B18" i="78"/>
  <c r="C18" i="78"/>
  <c r="D18" i="78"/>
  <c r="Q18" i="78" s="1"/>
  <c r="E18" i="78"/>
  <c r="G18" i="78"/>
  <c r="A19" i="78"/>
  <c r="B19" i="78"/>
  <c r="C19" i="78"/>
  <c r="D19" i="78"/>
  <c r="Q19" i="78" s="1"/>
  <c r="E19" i="78"/>
  <c r="G19" i="78"/>
  <c r="A20" i="78"/>
  <c r="B20" i="78"/>
  <c r="C20" i="78"/>
  <c r="D20" i="78"/>
  <c r="Q20" i="78" s="1"/>
  <c r="E20" i="78"/>
  <c r="G20" i="78"/>
  <c r="A21" i="78"/>
  <c r="B21" i="78"/>
  <c r="C21" i="78"/>
  <c r="D21" i="78"/>
  <c r="Q21" i="78" s="1"/>
  <c r="E21" i="78"/>
  <c r="G21" i="78"/>
  <c r="A22" i="78"/>
  <c r="B22" i="78"/>
  <c r="C22" i="78"/>
  <c r="D22" i="78"/>
  <c r="Q22" i="78" s="1"/>
  <c r="E22" i="78"/>
  <c r="G22" i="78"/>
  <c r="A23" i="78"/>
  <c r="B23" i="78"/>
  <c r="C23" i="78"/>
  <c r="D23" i="78"/>
  <c r="Q23" i="78" s="1"/>
  <c r="E23" i="78"/>
  <c r="G23" i="78"/>
  <c r="A24" i="78"/>
  <c r="B24" i="78"/>
  <c r="C24" i="78"/>
  <c r="D24" i="78"/>
  <c r="Q24" i="78" s="1"/>
  <c r="E24" i="78"/>
  <c r="G24" i="78"/>
  <c r="A25" i="78"/>
  <c r="B25" i="78"/>
  <c r="C25" i="78"/>
  <c r="D25" i="78"/>
  <c r="Q25" i="78" s="1"/>
  <c r="E25" i="78"/>
  <c r="G25" i="78"/>
  <c r="A26" i="78"/>
  <c r="B26" i="78"/>
  <c r="C26" i="78"/>
  <c r="D26" i="78"/>
  <c r="Q26" i="78" s="1"/>
  <c r="E26" i="78"/>
  <c r="G26" i="78"/>
  <c r="A27" i="78"/>
  <c r="B27" i="78"/>
  <c r="C27" i="78"/>
  <c r="D27" i="78"/>
  <c r="Q27" i="78" s="1"/>
  <c r="E27" i="78"/>
  <c r="G27" i="78"/>
  <c r="A28" i="78"/>
  <c r="B28" i="78"/>
  <c r="C28" i="78"/>
  <c r="D28" i="78"/>
  <c r="Q28" i="78" s="1"/>
  <c r="E28" i="78"/>
  <c r="G28" i="78"/>
  <c r="A29" i="78"/>
  <c r="B29" i="78"/>
  <c r="C29" i="78"/>
  <c r="D29" i="78"/>
  <c r="Q29" i="78" s="1"/>
  <c r="E29" i="78"/>
  <c r="G29" i="78"/>
  <c r="A30" i="78"/>
  <c r="B30" i="78"/>
  <c r="C30" i="78"/>
  <c r="D30" i="78"/>
  <c r="Q30" i="78" s="1"/>
  <c r="E30" i="78"/>
  <c r="G30" i="78"/>
  <c r="A31" i="78"/>
  <c r="B31" i="78"/>
  <c r="C31" i="78"/>
  <c r="D31" i="78"/>
  <c r="Q31" i="78" s="1"/>
  <c r="E31" i="78"/>
  <c r="G31" i="78"/>
  <c r="A32" i="78"/>
  <c r="B32" i="78"/>
  <c r="C32" i="78"/>
  <c r="D32" i="78"/>
  <c r="Q32" i="78" s="1"/>
  <c r="E32" i="78"/>
  <c r="G32" i="78"/>
  <c r="A33" i="78"/>
  <c r="B33" i="78"/>
  <c r="C33" i="78"/>
  <c r="D33" i="78"/>
  <c r="Q33" i="78" s="1"/>
  <c r="E33" i="78"/>
  <c r="G33" i="78"/>
  <c r="A34" i="78"/>
  <c r="B34" i="78"/>
  <c r="C34" i="78"/>
  <c r="D34" i="78"/>
  <c r="Q34" i="78" s="1"/>
  <c r="E34" i="78"/>
  <c r="G34" i="78"/>
  <c r="A35" i="78"/>
  <c r="B35" i="78"/>
  <c r="C35" i="78"/>
  <c r="D35" i="78"/>
  <c r="Q35" i="78" s="1"/>
  <c r="E35" i="78"/>
  <c r="G35" i="78"/>
  <c r="A36" i="78"/>
  <c r="B36" i="78"/>
  <c r="C36" i="78"/>
  <c r="D36" i="78"/>
  <c r="Q36" i="78" s="1"/>
  <c r="E36" i="78"/>
  <c r="G36" i="78"/>
  <c r="A37" i="78"/>
  <c r="B37" i="78"/>
  <c r="C37" i="78"/>
  <c r="D37" i="78"/>
  <c r="Q37" i="78" s="1"/>
  <c r="E37" i="78"/>
  <c r="G37" i="78"/>
  <c r="A38" i="78"/>
  <c r="B38" i="78"/>
  <c r="C38" i="78"/>
  <c r="D38" i="78"/>
  <c r="Q38" i="78" s="1"/>
  <c r="E38" i="78"/>
  <c r="G38" i="78"/>
  <c r="A39" i="78"/>
  <c r="B39" i="78"/>
  <c r="C39" i="78"/>
  <c r="D39" i="78"/>
  <c r="Q39" i="78" s="1"/>
  <c r="E39" i="78"/>
  <c r="G39" i="78"/>
  <c r="A40" i="78"/>
  <c r="B40" i="78"/>
  <c r="C40" i="78"/>
  <c r="D40" i="78"/>
  <c r="Q40" i="78" s="1"/>
  <c r="E40" i="78"/>
  <c r="G40" i="78"/>
  <c r="A41" i="78"/>
  <c r="B41" i="78"/>
  <c r="C41" i="78"/>
  <c r="D41" i="78"/>
  <c r="Q41" i="78" s="1"/>
  <c r="E41" i="78"/>
  <c r="G41" i="78"/>
  <c r="A42" i="78"/>
  <c r="B42" i="78"/>
  <c r="C42" i="78"/>
  <c r="D42" i="78"/>
  <c r="Q42" i="78" s="1"/>
  <c r="E42" i="78"/>
  <c r="G42" i="78"/>
  <c r="A43" i="78"/>
  <c r="B43" i="78"/>
  <c r="C43" i="78"/>
  <c r="D43" i="78"/>
  <c r="Q43" i="78" s="1"/>
  <c r="E43" i="78"/>
  <c r="G43" i="78"/>
  <c r="A44" i="78"/>
  <c r="B44" i="78"/>
  <c r="C44" i="78"/>
  <c r="D44" i="78"/>
  <c r="Q44" i="78" s="1"/>
  <c r="E44" i="78"/>
  <c r="G44" i="78"/>
  <c r="A45" i="78"/>
  <c r="B45" i="78"/>
  <c r="C45" i="78"/>
  <c r="D45" i="78"/>
  <c r="Q45" i="78" s="1"/>
  <c r="E45" i="78"/>
  <c r="G45" i="78"/>
  <c r="A46" i="78"/>
  <c r="B46" i="78"/>
  <c r="C46" i="78"/>
  <c r="D46" i="78"/>
  <c r="Q46" i="78" s="1"/>
  <c r="E46" i="78"/>
  <c r="G46" i="78"/>
  <c r="A47" i="78"/>
  <c r="B47" i="78"/>
  <c r="C47" i="78"/>
  <c r="D47" i="78"/>
  <c r="Q47" i="78" s="1"/>
  <c r="E47" i="78"/>
  <c r="G47" i="78"/>
  <c r="A48" i="78"/>
  <c r="B48" i="78"/>
  <c r="C48" i="78"/>
  <c r="D48" i="78"/>
  <c r="Q48" i="78" s="1"/>
  <c r="E48" i="78"/>
  <c r="G48" i="78"/>
  <c r="A49" i="78"/>
  <c r="B49" i="78"/>
  <c r="C49" i="78"/>
  <c r="D49" i="78"/>
  <c r="Q49" i="78" s="1"/>
  <c r="E49" i="78"/>
  <c r="G49" i="78"/>
  <c r="A50" i="78"/>
  <c r="B50" i="78"/>
  <c r="C50" i="78"/>
  <c r="D50" i="78"/>
  <c r="Q50" i="78" s="1"/>
  <c r="E50" i="78"/>
  <c r="G50" i="78"/>
  <c r="A51" i="78"/>
  <c r="B51" i="78"/>
  <c r="C51" i="78"/>
  <c r="D51" i="78"/>
  <c r="Q51" i="78" s="1"/>
  <c r="E51" i="78"/>
  <c r="G51" i="78"/>
  <c r="A52" i="78"/>
  <c r="B52" i="78"/>
  <c r="C52" i="78"/>
  <c r="D52" i="78"/>
  <c r="Q52" i="78" s="1"/>
  <c r="E52" i="78"/>
  <c r="G52" i="78"/>
  <c r="A53" i="78"/>
  <c r="B53" i="78"/>
  <c r="C53" i="78"/>
  <c r="D53" i="78"/>
  <c r="Q53" i="78" s="1"/>
  <c r="E53" i="78"/>
  <c r="G53" i="78"/>
  <c r="A54" i="78"/>
  <c r="B54" i="78"/>
  <c r="C54" i="78"/>
  <c r="D54" i="78"/>
  <c r="Q54" i="78" s="1"/>
  <c r="E54" i="78"/>
  <c r="G54" i="78"/>
  <c r="A55" i="78"/>
  <c r="B55" i="78"/>
  <c r="C55" i="78"/>
  <c r="D55" i="78"/>
  <c r="Q55" i="78" s="1"/>
  <c r="E55" i="78"/>
  <c r="G55" i="78"/>
  <c r="A56" i="78"/>
  <c r="B56" i="78"/>
  <c r="C56" i="78"/>
  <c r="D56" i="78"/>
  <c r="Q56" i="78" s="1"/>
  <c r="E56" i="78"/>
  <c r="G56" i="78"/>
  <c r="A57" i="78"/>
  <c r="B57" i="78"/>
  <c r="C57" i="78"/>
  <c r="D57" i="78"/>
  <c r="Q57" i="78" s="1"/>
  <c r="E57" i="78"/>
  <c r="G57" i="78"/>
  <c r="A58" i="78"/>
  <c r="B58" i="78"/>
  <c r="C58" i="78"/>
  <c r="D58" i="78"/>
  <c r="Q58" i="78" s="1"/>
  <c r="E58" i="78"/>
  <c r="G58" i="78"/>
  <c r="A59" i="78"/>
  <c r="B59" i="78"/>
  <c r="C59" i="78"/>
  <c r="D59" i="78"/>
  <c r="Q59" i="78" s="1"/>
  <c r="E59" i="78"/>
  <c r="G59" i="78"/>
  <c r="A60" i="78"/>
  <c r="B60" i="78"/>
  <c r="C60" i="78"/>
  <c r="D60" i="78"/>
  <c r="Q60" i="78" s="1"/>
  <c r="E60" i="78"/>
  <c r="G60" i="78"/>
  <c r="A61" i="78"/>
  <c r="B61" i="78"/>
  <c r="C61" i="78"/>
  <c r="D61" i="78"/>
  <c r="Q61" i="78" s="1"/>
  <c r="E61" i="78"/>
  <c r="G61" i="78"/>
  <c r="A62" i="78"/>
  <c r="B62" i="78"/>
  <c r="C62" i="78"/>
  <c r="D62" i="78"/>
  <c r="Q62" i="78" s="1"/>
  <c r="E62" i="78"/>
  <c r="G62" i="78"/>
  <c r="A63" i="78"/>
  <c r="B63" i="78"/>
  <c r="C63" i="78"/>
  <c r="D63" i="78"/>
  <c r="Q63" i="78" s="1"/>
  <c r="E63" i="78"/>
  <c r="G63" i="78"/>
  <c r="A64" i="78"/>
  <c r="B64" i="78"/>
  <c r="C64" i="78"/>
  <c r="D64" i="78"/>
  <c r="Q64" i="78" s="1"/>
  <c r="E64" i="78"/>
  <c r="G64" i="78"/>
  <c r="A65" i="78"/>
  <c r="B65" i="78"/>
  <c r="C65" i="78"/>
  <c r="D65" i="78"/>
  <c r="Q65" i="78" s="1"/>
  <c r="E65" i="78"/>
  <c r="G65" i="78"/>
  <c r="A66" i="78"/>
  <c r="B66" i="78"/>
  <c r="C66" i="78"/>
  <c r="D66" i="78"/>
  <c r="Q66" i="78" s="1"/>
  <c r="E66" i="78"/>
  <c r="G66" i="78"/>
  <c r="A67" i="78"/>
  <c r="B67" i="78"/>
  <c r="C67" i="78"/>
  <c r="D67" i="78"/>
  <c r="Q67" i="78" s="1"/>
  <c r="E67" i="78"/>
  <c r="G67" i="78"/>
  <c r="A68" i="78"/>
  <c r="B68" i="78"/>
  <c r="C68" i="78"/>
  <c r="D68" i="78"/>
  <c r="Q68" i="78" s="1"/>
  <c r="E68" i="78"/>
  <c r="G68" i="78"/>
  <c r="A85" i="78"/>
  <c r="B85" i="78"/>
  <c r="C85" i="78"/>
  <c r="D85" i="78"/>
  <c r="Q85" i="78" s="1"/>
  <c r="E85" i="78"/>
  <c r="G85" i="78"/>
  <c r="A87" i="78"/>
  <c r="B87" i="78"/>
  <c r="C87" i="78"/>
  <c r="D87" i="78"/>
  <c r="Q87" i="78" s="1"/>
  <c r="E87" i="78"/>
  <c r="G87" i="78"/>
  <c r="A88" i="78"/>
  <c r="B88" i="78"/>
  <c r="C88" i="78"/>
  <c r="D88" i="78"/>
  <c r="Q88" i="78" s="1"/>
  <c r="E88" i="78"/>
  <c r="G88" i="78"/>
  <c r="A89" i="78"/>
  <c r="B89" i="78"/>
  <c r="C89" i="78"/>
  <c r="D89" i="78"/>
  <c r="Q89" i="78" s="1"/>
  <c r="E89" i="78"/>
  <c r="G89" i="78"/>
  <c r="A113" i="78"/>
  <c r="B113" i="78"/>
  <c r="C113" i="78"/>
  <c r="D113" i="78"/>
  <c r="Q113" i="78" s="1"/>
  <c r="E113" i="78"/>
  <c r="G113" i="78"/>
  <c r="A115" i="78"/>
  <c r="B115" i="78"/>
  <c r="C115" i="78"/>
  <c r="D115" i="78"/>
  <c r="Q115" i="78" s="1"/>
  <c r="E115" i="78"/>
  <c r="G115" i="78"/>
  <c r="A116" i="78"/>
  <c r="B116" i="78"/>
  <c r="C116" i="78"/>
  <c r="D116" i="78"/>
  <c r="Q116" i="78" s="1"/>
  <c r="E116" i="78"/>
  <c r="G116" i="78"/>
  <c r="A117" i="78"/>
  <c r="B117" i="78"/>
  <c r="C117" i="78"/>
  <c r="D117" i="78"/>
  <c r="Q117" i="78" s="1"/>
  <c r="E117" i="78"/>
  <c r="G117" i="78"/>
  <c r="A118" i="78"/>
  <c r="B118" i="78"/>
  <c r="C118" i="78"/>
  <c r="D118" i="78"/>
  <c r="Q118" i="78" s="1"/>
  <c r="E118" i="78"/>
  <c r="G118" i="78"/>
  <c r="A119" i="78"/>
  <c r="B119" i="78"/>
  <c r="C119" i="78"/>
  <c r="D119" i="78"/>
  <c r="Q119" i="78" s="1"/>
  <c r="E119" i="78"/>
  <c r="G119" i="78"/>
  <c r="A120" i="78"/>
  <c r="B120" i="78"/>
  <c r="C120" i="78"/>
  <c r="D120" i="78"/>
  <c r="Q120" i="78" s="1"/>
  <c r="E120" i="78"/>
  <c r="G120" i="78"/>
  <c r="A121" i="78"/>
  <c r="B121" i="78"/>
  <c r="C121" i="78"/>
  <c r="D121" i="78"/>
  <c r="Q121" i="78" s="1"/>
  <c r="E121" i="78"/>
  <c r="G121" i="78"/>
  <c r="A122" i="78"/>
  <c r="B122" i="78"/>
  <c r="C122" i="78"/>
  <c r="D122" i="78"/>
  <c r="Q122" i="78" s="1"/>
  <c r="E122" i="78"/>
  <c r="G122" i="78"/>
  <c r="A138" i="78"/>
  <c r="B138" i="78"/>
  <c r="C138" i="78"/>
  <c r="D138" i="78"/>
  <c r="Q138" i="78" s="1"/>
  <c r="E138" i="78"/>
  <c r="G138" i="78"/>
  <c r="A140" i="78"/>
  <c r="B140" i="78"/>
  <c r="C140" i="78"/>
  <c r="D140" i="78"/>
  <c r="Q140" i="78" s="1"/>
  <c r="E140" i="78"/>
  <c r="G140" i="78"/>
  <c r="A141" i="78"/>
  <c r="B141" i="78"/>
  <c r="C141" i="78"/>
  <c r="D141" i="78"/>
  <c r="Q141" i="78" s="1"/>
  <c r="E141" i="78"/>
  <c r="G141" i="78"/>
  <c r="A142" i="78"/>
  <c r="B142" i="78"/>
  <c r="C142" i="78"/>
  <c r="D142" i="78"/>
  <c r="Q142" i="78" s="1"/>
  <c r="E142" i="78"/>
  <c r="G142" i="78"/>
  <c r="A151" i="78"/>
  <c r="B151" i="78"/>
  <c r="C151" i="78"/>
  <c r="D151" i="78"/>
  <c r="Q151" i="78" s="1"/>
  <c r="E151" i="78"/>
  <c r="G151" i="78"/>
  <c r="A153" i="78"/>
  <c r="B153" i="78"/>
  <c r="C153" i="78"/>
  <c r="D153" i="78"/>
  <c r="Q153" i="78" s="1"/>
  <c r="E153" i="78"/>
  <c r="G153" i="78"/>
  <c r="A162" i="78"/>
  <c r="B162" i="78"/>
  <c r="C162" i="78"/>
  <c r="D162" i="78"/>
  <c r="Q162" i="78" s="1"/>
  <c r="E162" i="78"/>
  <c r="G162" i="78"/>
  <c r="A164" i="78"/>
  <c r="B164" i="78"/>
  <c r="C164" i="78"/>
  <c r="D164" i="78"/>
  <c r="Q164" i="78" s="1"/>
  <c r="E164" i="78"/>
  <c r="G164" i="78"/>
  <c r="A168" i="78"/>
  <c r="B168" i="78"/>
  <c r="C168" i="78"/>
  <c r="D168" i="78"/>
  <c r="Q168" i="78" s="1"/>
  <c r="E168" i="78"/>
  <c r="G168" i="78"/>
  <c r="A172" i="78"/>
  <c r="B172" i="78"/>
  <c r="C172" i="78"/>
  <c r="D172" i="78"/>
  <c r="Q172" i="78" s="1"/>
  <c r="E172" i="78"/>
  <c r="G172" i="78"/>
  <c r="A175" i="78"/>
  <c r="B175" i="78"/>
  <c r="C175" i="78"/>
  <c r="D175" i="78"/>
  <c r="Q175" i="78" s="1"/>
  <c r="E175" i="78"/>
  <c r="G175" i="78"/>
  <c r="G5" i="78"/>
  <c r="E5" i="78"/>
  <c r="D5" i="78"/>
  <c r="Q5" i="78" s="1"/>
  <c r="C5" i="78"/>
  <c r="B5" i="78"/>
  <c r="A5" i="78"/>
  <c r="A6" i="77"/>
  <c r="B6" i="77"/>
  <c r="C6" i="77"/>
  <c r="D6" i="77"/>
  <c r="Q6" i="77" s="1"/>
  <c r="E6" i="77"/>
  <c r="G6" i="77"/>
  <c r="A7" i="77"/>
  <c r="B7" i="77"/>
  <c r="C7" i="77"/>
  <c r="D7" i="77"/>
  <c r="Q7" i="77" s="1"/>
  <c r="E7" i="77"/>
  <c r="G7" i="77"/>
  <c r="A14" i="77"/>
  <c r="B14" i="77"/>
  <c r="C14" i="77"/>
  <c r="D14" i="77"/>
  <c r="Q14" i="77" s="1"/>
  <c r="E14" i="77"/>
  <c r="G14" i="77"/>
  <c r="A15" i="77"/>
  <c r="B15" i="77"/>
  <c r="C15" i="77"/>
  <c r="D15" i="77"/>
  <c r="Q15" i="77" s="1"/>
  <c r="E15" i="77"/>
  <c r="G15" i="77"/>
  <c r="A16" i="77"/>
  <c r="B16" i="77"/>
  <c r="C16" i="77"/>
  <c r="D16" i="77"/>
  <c r="Q16" i="77" s="1"/>
  <c r="E16" i="77"/>
  <c r="G16" i="77"/>
  <c r="A17" i="77"/>
  <c r="B17" i="77"/>
  <c r="C17" i="77"/>
  <c r="D17" i="77"/>
  <c r="Q17" i="77" s="1"/>
  <c r="E17" i="77"/>
  <c r="G17" i="77"/>
  <c r="A18" i="77"/>
  <c r="B18" i="77"/>
  <c r="C18" i="77"/>
  <c r="D18" i="77"/>
  <c r="Q18" i="77" s="1"/>
  <c r="E18" i="77"/>
  <c r="G18" i="77"/>
  <c r="A19" i="77"/>
  <c r="B19" i="77"/>
  <c r="C19" i="77"/>
  <c r="D19" i="77"/>
  <c r="Q19" i="77" s="1"/>
  <c r="E19" i="77"/>
  <c r="G19" i="77"/>
  <c r="A20" i="77"/>
  <c r="B20" i="77"/>
  <c r="C20" i="77"/>
  <c r="D20" i="77"/>
  <c r="Q20" i="77" s="1"/>
  <c r="E20" i="77"/>
  <c r="G20" i="77"/>
  <c r="A21" i="77"/>
  <c r="B21" i="77"/>
  <c r="C21" i="77"/>
  <c r="D21" i="77"/>
  <c r="Q21" i="77" s="1"/>
  <c r="E21" i="77"/>
  <c r="G21" i="77"/>
  <c r="A22" i="77"/>
  <c r="B22" i="77"/>
  <c r="C22" i="77"/>
  <c r="D22" i="77"/>
  <c r="Q22" i="77" s="1"/>
  <c r="E22" i="77"/>
  <c r="G22" i="77"/>
  <c r="A23" i="77"/>
  <c r="B23" i="77"/>
  <c r="C23" i="77"/>
  <c r="D23" i="77"/>
  <c r="Q23" i="77" s="1"/>
  <c r="E23" i="77"/>
  <c r="G23" i="77"/>
  <c r="A24" i="77"/>
  <c r="B24" i="77"/>
  <c r="C24" i="77"/>
  <c r="D24" i="77"/>
  <c r="Q24" i="77" s="1"/>
  <c r="E24" i="77"/>
  <c r="G24" i="77"/>
  <c r="A25" i="77"/>
  <c r="B25" i="77"/>
  <c r="C25" i="77"/>
  <c r="D25" i="77"/>
  <c r="Q25" i="77" s="1"/>
  <c r="E25" i="77"/>
  <c r="G25" i="77"/>
  <c r="A26" i="77"/>
  <c r="B26" i="77"/>
  <c r="C26" i="77"/>
  <c r="D26" i="77"/>
  <c r="Q26" i="77" s="1"/>
  <c r="E26" i="77"/>
  <c r="G26" i="77"/>
  <c r="A27" i="77"/>
  <c r="B27" i="77"/>
  <c r="C27" i="77"/>
  <c r="D27" i="77"/>
  <c r="Q27" i="77" s="1"/>
  <c r="E27" i="77"/>
  <c r="G27" i="77"/>
  <c r="A28" i="77"/>
  <c r="B28" i="77"/>
  <c r="C28" i="77"/>
  <c r="D28" i="77"/>
  <c r="Q28" i="77" s="1"/>
  <c r="E28" i="77"/>
  <c r="G28" i="77"/>
  <c r="A29" i="77"/>
  <c r="B29" i="77"/>
  <c r="C29" i="77"/>
  <c r="D29" i="77"/>
  <c r="Q29" i="77" s="1"/>
  <c r="E29" i="77"/>
  <c r="G29" i="77"/>
  <c r="A30" i="77"/>
  <c r="B30" i="77"/>
  <c r="C30" i="77"/>
  <c r="D30" i="77"/>
  <c r="Q30" i="77" s="1"/>
  <c r="E30" i="77"/>
  <c r="G30" i="77"/>
  <c r="A31" i="77"/>
  <c r="B31" i="77"/>
  <c r="C31" i="77"/>
  <c r="D31" i="77"/>
  <c r="Q31" i="77" s="1"/>
  <c r="E31" i="77"/>
  <c r="G31" i="77"/>
  <c r="A32" i="77"/>
  <c r="B32" i="77"/>
  <c r="C32" i="77"/>
  <c r="D32" i="77"/>
  <c r="Q32" i="77" s="1"/>
  <c r="E32" i="77"/>
  <c r="G32" i="77"/>
  <c r="A33" i="77"/>
  <c r="B33" i="77"/>
  <c r="C33" i="77"/>
  <c r="D33" i="77"/>
  <c r="Q33" i="77" s="1"/>
  <c r="E33" i="77"/>
  <c r="G33" i="77"/>
  <c r="A34" i="77"/>
  <c r="B34" i="77"/>
  <c r="C34" i="77"/>
  <c r="D34" i="77"/>
  <c r="Q34" i="77" s="1"/>
  <c r="E34" i="77"/>
  <c r="G34" i="77"/>
  <c r="A35" i="77"/>
  <c r="B35" i="77"/>
  <c r="C35" i="77"/>
  <c r="D35" i="77"/>
  <c r="Q35" i="77" s="1"/>
  <c r="E35" i="77"/>
  <c r="G35" i="77"/>
  <c r="A36" i="77"/>
  <c r="B36" i="77"/>
  <c r="C36" i="77"/>
  <c r="D36" i="77"/>
  <c r="Q36" i="77" s="1"/>
  <c r="E36" i="77"/>
  <c r="G36" i="77"/>
  <c r="A37" i="77"/>
  <c r="B37" i="77"/>
  <c r="C37" i="77"/>
  <c r="D37" i="77"/>
  <c r="Q37" i="77" s="1"/>
  <c r="E37" i="77"/>
  <c r="G37" i="77"/>
  <c r="A38" i="77"/>
  <c r="B38" i="77"/>
  <c r="C38" i="77"/>
  <c r="D38" i="77"/>
  <c r="Q38" i="77" s="1"/>
  <c r="E38" i="77"/>
  <c r="G38" i="77"/>
  <c r="A39" i="77"/>
  <c r="B39" i="77"/>
  <c r="C39" i="77"/>
  <c r="D39" i="77"/>
  <c r="Q39" i="77" s="1"/>
  <c r="E39" i="77"/>
  <c r="G39" i="77"/>
  <c r="A40" i="77"/>
  <c r="B40" i="77"/>
  <c r="C40" i="77"/>
  <c r="D40" i="77"/>
  <c r="Q40" i="77" s="1"/>
  <c r="E40" i="77"/>
  <c r="G40" i="77"/>
  <c r="A41" i="77"/>
  <c r="B41" i="77"/>
  <c r="C41" i="77"/>
  <c r="D41" i="77"/>
  <c r="Q41" i="77" s="1"/>
  <c r="E41" i="77"/>
  <c r="G41" i="77"/>
  <c r="A42" i="77"/>
  <c r="B42" i="77"/>
  <c r="C42" i="77"/>
  <c r="D42" i="77"/>
  <c r="Q42" i="77" s="1"/>
  <c r="E42" i="77"/>
  <c r="G42" i="77"/>
  <c r="A43" i="77"/>
  <c r="B43" i="77"/>
  <c r="C43" i="77"/>
  <c r="D43" i="77"/>
  <c r="Q43" i="77" s="1"/>
  <c r="E43" i="77"/>
  <c r="G43" i="77"/>
  <c r="A44" i="77"/>
  <c r="B44" i="77"/>
  <c r="C44" i="77"/>
  <c r="D44" i="77"/>
  <c r="Q44" i="77" s="1"/>
  <c r="E44" i="77"/>
  <c r="G44" i="77"/>
  <c r="A45" i="77"/>
  <c r="B45" i="77"/>
  <c r="C45" i="77"/>
  <c r="D45" i="77"/>
  <c r="Q45" i="77" s="1"/>
  <c r="E45" i="77"/>
  <c r="G45" i="77"/>
  <c r="A46" i="77"/>
  <c r="B46" i="77"/>
  <c r="C46" i="77"/>
  <c r="D46" i="77"/>
  <c r="Q46" i="77" s="1"/>
  <c r="E46" i="77"/>
  <c r="G46" i="77"/>
  <c r="A47" i="77"/>
  <c r="B47" i="77"/>
  <c r="C47" i="77"/>
  <c r="D47" i="77"/>
  <c r="Q47" i="77" s="1"/>
  <c r="E47" i="77"/>
  <c r="G47" i="77"/>
  <c r="A48" i="77"/>
  <c r="B48" i="77"/>
  <c r="C48" i="77"/>
  <c r="D48" i="77"/>
  <c r="Q48" i="77" s="1"/>
  <c r="E48" i="77"/>
  <c r="G48" i="77"/>
  <c r="A49" i="77"/>
  <c r="B49" i="77"/>
  <c r="C49" i="77"/>
  <c r="D49" i="77"/>
  <c r="Q49" i="77" s="1"/>
  <c r="E49" i="77"/>
  <c r="G49" i="77"/>
  <c r="A50" i="77"/>
  <c r="B50" i="77"/>
  <c r="C50" i="77"/>
  <c r="D50" i="77"/>
  <c r="Q50" i="77" s="1"/>
  <c r="E50" i="77"/>
  <c r="G50" i="77"/>
  <c r="A51" i="77"/>
  <c r="B51" i="77"/>
  <c r="C51" i="77"/>
  <c r="D51" i="77"/>
  <c r="Q51" i="77" s="1"/>
  <c r="E51" i="77"/>
  <c r="G51" i="77"/>
  <c r="A52" i="77"/>
  <c r="B52" i="77"/>
  <c r="C52" i="77"/>
  <c r="D52" i="77"/>
  <c r="Q52" i="77" s="1"/>
  <c r="E52" i="77"/>
  <c r="G52" i="77"/>
  <c r="A53" i="77"/>
  <c r="B53" i="77"/>
  <c r="C53" i="77"/>
  <c r="D53" i="77"/>
  <c r="Q53" i="77" s="1"/>
  <c r="E53" i="77"/>
  <c r="G53" i="77"/>
  <c r="A54" i="77"/>
  <c r="B54" i="77"/>
  <c r="C54" i="77"/>
  <c r="D54" i="77"/>
  <c r="Q54" i="77" s="1"/>
  <c r="E54" i="77"/>
  <c r="G54" i="77"/>
  <c r="A55" i="77"/>
  <c r="B55" i="77"/>
  <c r="C55" i="77"/>
  <c r="D55" i="77"/>
  <c r="Q55" i="77" s="1"/>
  <c r="E55" i="77"/>
  <c r="G55" i="77"/>
  <c r="A56" i="77"/>
  <c r="B56" i="77"/>
  <c r="C56" i="77"/>
  <c r="D56" i="77"/>
  <c r="Q56" i="77" s="1"/>
  <c r="E56" i="77"/>
  <c r="G56" i="77"/>
  <c r="A57" i="77"/>
  <c r="B57" i="77"/>
  <c r="C57" i="77"/>
  <c r="D57" i="77"/>
  <c r="Q57" i="77" s="1"/>
  <c r="E57" i="77"/>
  <c r="G57" i="77"/>
  <c r="A58" i="77"/>
  <c r="B58" i="77"/>
  <c r="C58" i="77"/>
  <c r="D58" i="77"/>
  <c r="Q58" i="77" s="1"/>
  <c r="E58" i="77"/>
  <c r="G58" i="77"/>
  <c r="A59" i="77"/>
  <c r="B59" i="77"/>
  <c r="C59" i="77"/>
  <c r="D59" i="77"/>
  <c r="Q59" i="77" s="1"/>
  <c r="E59" i="77"/>
  <c r="G59" i="77"/>
  <c r="A60" i="77"/>
  <c r="B60" i="77"/>
  <c r="C60" i="77"/>
  <c r="D60" i="77"/>
  <c r="Q60" i="77" s="1"/>
  <c r="E60" i="77"/>
  <c r="G60" i="77"/>
  <c r="A61" i="77"/>
  <c r="B61" i="77"/>
  <c r="C61" i="77"/>
  <c r="D61" i="77"/>
  <c r="Q61" i="77" s="1"/>
  <c r="E61" i="77"/>
  <c r="G61" i="77"/>
  <c r="A62" i="77"/>
  <c r="B62" i="77"/>
  <c r="C62" i="77"/>
  <c r="D62" i="77"/>
  <c r="Q62" i="77" s="1"/>
  <c r="E62" i="77"/>
  <c r="G62" i="77"/>
  <c r="A63" i="77"/>
  <c r="B63" i="77"/>
  <c r="C63" i="77"/>
  <c r="D63" i="77"/>
  <c r="Q63" i="77" s="1"/>
  <c r="E63" i="77"/>
  <c r="G63" i="77"/>
  <c r="A64" i="77"/>
  <c r="B64" i="77"/>
  <c r="C64" i="77"/>
  <c r="D64" i="77"/>
  <c r="Q64" i="77" s="1"/>
  <c r="E64" i="77"/>
  <c r="G64" i="77"/>
  <c r="A65" i="77"/>
  <c r="B65" i="77"/>
  <c r="C65" i="77"/>
  <c r="D65" i="77"/>
  <c r="Q65" i="77" s="1"/>
  <c r="E65" i="77"/>
  <c r="G65" i="77"/>
  <c r="A66" i="77"/>
  <c r="B66" i="77"/>
  <c r="C66" i="77"/>
  <c r="D66" i="77"/>
  <c r="Q66" i="77" s="1"/>
  <c r="E66" i="77"/>
  <c r="G66" i="77"/>
  <c r="A67" i="77"/>
  <c r="B67" i="77"/>
  <c r="C67" i="77"/>
  <c r="D67" i="77"/>
  <c r="Q67" i="77" s="1"/>
  <c r="E67" i="77"/>
  <c r="G67" i="77"/>
  <c r="A68" i="77"/>
  <c r="B68" i="77"/>
  <c r="C68" i="77"/>
  <c r="D68" i="77"/>
  <c r="Q68" i="77" s="1"/>
  <c r="E68" i="77"/>
  <c r="G68" i="77"/>
  <c r="A85" i="77"/>
  <c r="B85" i="77"/>
  <c r="C85" i="77"/>
  <c r="D85" i="77"/>
  <c r="Q85" i="77" s="1"/>
  <c r="E85" i="77"/>
  <c r="G85" i="77"/>
  <c r="A87" i="77"/>
  <c r="B87" i="77"/>
  <c r="C87" i="77"/>
  <c r="D87" i="77"/>
  <c r="Q87" i="77" s="1"/>
  <c r="E87" i="77"/>
  <c r="G87" i="77"/>
  <c r="A88" i="77"/>
  <c r="B88" i="77"/>
  <c r="C88" i="77"/>
  <c r="D88" i="77"/>
  <c r="Q88" i="77" s="1"/>
  <c r="E88" i="77"/>
  <c r="G88" i="77"/>
  <c r="A89" i="77"/>
  <c r="B89" i="77"/>
  <c r="C89" i="77"/>
  <c r="D89" i="77"/>
  <c r="Q89" i="77" s="1"/>
  <c r="E89" i="77"/>
  <c r="G89" i="77"/>
  <c r="A113" i="77"/>
  <c r="B113" i="77"/>
  <c r="C113" i="77"/>
  <c r="D113" i="77"/>
  <c r="Q113" i="77" s="1"/>
  <c r="E113" i="77"/>
  <c r="G113" i="77"/>
  <c r="A115" i="77"/>
  <c r="B115" i="77"/>
  <c r="C115" i="77"/>
  <c r="D115" i="77"/>
  <c r="Q115" i="77" s="1"/>
  <c r="E115" i="77"/>
  <c r="G115" i="77"/>
  <c r="A116" i="77"/>
  <c r="B116" i="77"/>
  <c r="C116" i="77"/>
  <c r="D116" i="77"/>
  <c r="Q116" i="77" s="1"/>
  <c r="E116" i="77"/>
  <c r="G116" i="77"/>
  <c r="A117" i="77"/>
  <c r="B117" i="77"/>
  <c r="C117" i="77"/>
  <c r="D117" i="77"/>
  <c r="Q117" i="77" s="1"/>
  <c r="E117" i="77"/>
  <c r="G117" i="77"/>
  <c r="A118" i="77"/>
  <c r="B118" i="77"/>
  <c r="C118" i="77"/>
  <c r="D118" i="77"/>
  <c r="Q118" i="77" s="1"/>
  <c r="E118" i="77"/>
  <c r="G118" i="77"/>
  <c r="A119" i="77"/>
  <c r="B119" i="77"/>
  <c r="C119" i="77"/>
  <c r="D119" i="77"/>
  <c r="Q119" i="77" s="1"/>
  <c r="E119" i="77"/>
  <c r="G119" i="77"/>
  <c r="A120" i="77"/>
  <c r="B120" i="77"/>
  <c r="C120" i="77"/>
  <c r="D120" i="77"/>
  <c r="Q120" i="77" s="1"/>
  <c r="E120" i="77"/>
  <c r="G120" i="77"/>
  <c r="A121" i="77"/>
  <c r="B121" i="77"/>
  <c r="C121" i="77"/>
  <c r="D121" i="77"/>
  <c r="Q121" i="77" s="1"/>
  <c r="E121" i="77"/>
  <c r="G121" i="77"/>
  <c r="A122" i="77"/>
  <c r="B122" i="77"/>
  <c r="C122" i="77"/>
  <c r="D122" i="77"/>
  <c r="Q122" i="77" s="1"/>
  <c r="E122" i="77"/>
  <c r="G122" i="77"/>
  <c r="A138" i="77"/>
  <c r="B138" i="77"/>
  <c r="C138" i="77"/>
  <c r="D138" i="77"/>
  <c r="Q138" i="77" s="1"/>
  <c r="E138" i="77"/>
  <c r="G138" i="77"/>
  <c r="A140" i="77"/>
  <c r="B140" i="77"/>
  <c r="C140" i="77"/>
  <c r="D140" i="77"/>
  <c r="Q140" i="77" s="1"/>
  <c r="E140" i="77"/>
  <c r="G140" i="77"/>
  <c r="A141" i="77"/>
  <c r="B141" i="77"/>
  <c r="C141" i="77"/>
  <c r="D141" i="77"/>
  <c r="Q141" i="77" s="1"/>
  <c r="E141" i="77"/>
  <c r="G141" i="77"/>
  <c r="A142" i="77"/>
  <c r="B142" i="77"/>
  <c r="C142" i="77"/>
  <c r="D142" i="77"/>
  <c r="Q142" i="77" s="1"/>
  <c r="E142" i="77"/>
  <c r="G142" i="77"/>
  <c r="A151" i="77"/>
  <c r="B151" i="77"/>
  <c r="C151" i="77"/>
  <c r="D151" i="77"/>
  <c r="Q151" i="77" s="1"/>
  <c r="E151" i="77"/>
  <c r="G151" i="77"/>
  <c r="A153" i="77"/>
  <c r="B153" i="77"/>
  <c r="C153" i="77"/>
  <c r="D153" i="77"/>
  <c r="Q153" i="77" s="1"/>
  <c r="E153" i="77"/>
  <c r="G153" i="77"/>
  <c r="A162" i="77"/>
  <c r="B162" i="77"/>
  <c r="C162" i="77"/>
  <c r="D162" i="77"/>
  <c r="Q162" i="77" s="1"/>
  <c r="E162" i="77"/>
  <c r="G162" i="77"/>
  <c r="A164" i="77"/>
  <c r="B164" i="77"/>
  <c r="C164" i="77"/>
  <c r="D164" i="77"/>
  <c r="Q164" i="77" s="1"/>
  <c r="E164" i="77"/>
  <c r="G164" i="77"/>
  <c r="A168" i="77"/>
  <c r="B168" i="77"/>
  <c r="C168" i="77"/>
  <c r="D168" i="77"/>
  <c r="Q168" i="77" s="1"/>
  <c r="E168" i="77"/>
  <c r="G168" i="77"/>
  <c r="A172" i="77"/>
  <c r="B172" i="77"/>
  <c r="C172" i="77"/>
  <c r="D172" i="77"/>
  <c r="Q172" i="77" s="1"/>
  <c r="E172" i="77"/>
  <c r="G172" i="77"/>
  <c r="A175" i="77"/>
  <c r="B175" i="77"/>
  <c r="C175" i="77"/>
  <c r="D175" i="77"/>
  <c r="Q175" i="77" s="1"/>
  <c r="E175" i="77"/>
  <c r="G175" i="77"/>
  <c r="G5" i="77"/>
  <c r="E5" i="77"/>
  <c r="D5" i="77"/>
  <c r="Q5" i="77" s="1"/>
  <c r="C5" i="77"/>
  <c r="B5" i="77"/>
  <c r="A5" i="77"/>
  <c r="A6" i="76"/>
  <c r="B6" i="76"/>
  <c r="C6" i="76"/>
  <c r="D6" i="76"/>
  <c r="Q6" i="76" s="1"/>
  <c r="E6" i="76"/>
  <c r="G6" i="76"/>
  <c r="A7" i="76"/>
  <c r="B7" i="76"/>
  <c r="C7" i="76"/>
  <c r="D7" i="76"/>
  <c r="Q7" i="76" s="1"/>
  <c r="E7" i="76"/>
  <c r="G7" i="76"/>
  <c r="A14" i="76"/>
  <c r="B14" i="76"/>
  <c r="C14" i="76"/>
  <c r="D14" i="76"/>
  <c r="Q14" i="76" s="1"/>
  <c r="E14" i="76"/>
  <c r="G14" i="76"/>
  <c r="A15" i="76"/>
  <c r="B15" i="76"/>
  <c r="C15" i="76"/>
  <c r="D15" i="76"/>
  <c r="Q15" i="76" s="1"/>
  <c r="E15" i="76"/>
  <c r="G15" i="76"/>
  <c r="A16" i="76"/>
  <c r="B16" i="76"/>
  <c r="C16" i="76"/>
  <c r="D16" i="76"/>
  <c r="Q16" i="76" s="1"/>
  <c r="E16" i="76"/>
  <c r="G16" i="76"/>
  <c r="A17" i="76"/>
  <c r="B17" i="76"/>
  <c r="C17" i="76"/>
  <c r="D17" i="76"/>
  <c r="Q17" i="76" s="1"/>
  <c r="E17" i="76"/>
  <c r="G17" i="76"/>
  <c r="A18" i="76"/>
  <c r="B18" i="76"/>
  <c r="C18" i="76"/>
  <c r="D18" i="76"/>
  <c r="Q18" i="76" s="1"/>
  <c r="E18" i="76"/>
  <c r="G18" i="76"/>
  <c r="A19" i="76"/>
  <c r="B19" i="76"/>
  <c r="C19" i="76"/>
  <c r="D19" i="76"/>
  <c r="Q19" i="76" s="1"/>
  <c r="E19" i="76"/>
  <c r="G19" i="76"/>
  <c r="A20" i="76"/>
  <c r="B20" i="76"/>
  <c r="C20" i="76"/>
  <c r="D20" i="76"/>
  <c r="Q20" i="76" s="1"/>
  <c r="E20" i="76"/>
  <c r="G20" i="76"/>
  <c r="A21" i="76"/>
  <c r="B21" i="76"/>
  <c r="C21" i="76"/>
  <c r="D21" i="76"/>
  <c r="Q21" i="76" s="1"/>
  <c r="E21" i="76"/>
  <c r="G21" i="76"/>
  <c r="A22" i="76"/>
  <c r="B22" i="76"/>
  <c r="C22" i="76"/>
  <c r="D22" i="76"/>
  <c r="Q22" i="76" s="1"/>
  <c r="E22" i="76"/>
  <c r="G22" i="76"/>
  <c r="A23" i="76"/>
  <c r="B23" i="76"/>
  <c r="C23" i="76"/>
  <c r="D23" i="76"/>
  <c r="Q23" i="76" s="1"/>
  <c r="E23" i="76"/>
  <c r="G23" i="76"/>
  <c r="A24" i="76"/>
  <c r="B24" i="76"/>
  <c r="C24" i="76"/>
  <c r="D24" i="76"/>
  <c r="Q24" i="76" s="1"/>
  <c r="E24" i="76"/>
  <c r="G24" i="76"/>
  <c r="A25" i="76"/>
  <c r="B25" i="76"/>
  <c r="C25" i="76"/>
  <c r="D25" i="76"/>
  <c r="Q25" i="76" s="1"/>
  <c r="E25" i="76"/>
  <c r="G25" i="76"/>
  <c r="A26" i="76"/>
  <c r="B26" i="76"/>
  <c r="C26" i="76"/>
  <c r="D26" i="76"/>
  <c r="Q26" i="76" s="1"/>
  <c r="E26" i="76"/>
  <c r="G26" i="76"/>
  <c r="A27" i="76"/>
  <c r="B27" i="76"/>
  <c r="C27" i="76"/>
  <c r="D27" i="76"/>
  <c r="Q27" i="76" s="1"/>
  <c r="E27" i="76"/>
  <c r="G27" i="76"/>
  <c r="A28" i="76"/>
  <c r="B28" i="76"/>
  <c r="C28" i="76"/>
  <c r="D28" i="76"/>
  <c r="Q28" i="76" s="1"/>
  <c r="E28" i="76"/>
  <c r="G28" i="76"/>
  <c r="A29" i="76"/>
  <c r="B29" i="76"/>
  <c r="C29" i="76"/>
  <c r="D29" i="76"/>
  <c r="Q29" i="76" s="1"/>
  <c r="E29" i="76"/>
  <c r="G29" i="76"/>
  <c r="A30" i="76"/>
  <c r="B30" i="76"/>
  <c r="C30" i="76"/>
  <c r="D30" i="76"/>
  <c r="Q30" i="76" s="1"/>
  <c r="E30" i="76"/>
  <c r="G30" i="76"/>
  <c r="A31" i="76"/>
  <c r="B31" i="76"/>
  <c r="C31" i="76"/>
  <c r="D31" i="76"/>
  <c r="Q31" i="76" s="1"/>
  <c r="E31" i="76"/>
  <c r="G31" i="76"/>
  <c r="A32" i="76"/>
  <c r="B32" i="76"/>
  <c r="C32" i="76"/>
  <c r="D32" i="76"/>
  <c r="Q32" i="76" s="1"/>
  <c r="E32" i="76"/>
  <c r="G32" i="76"/>
  <c r="A33" i="76"/>
  <c r="B33" i="76"/>
  <c r="C33" i="76"/>
  <c r="D33" i="76"/>
  <c r="Q33" i="76" s="1"/>
  <c r="E33" i="76"/>
  <c r="G33" i="76"/>
  <c r="A34" i="76"/>
  <c r="B34" i="76"/>
  <c r="C34" i="76"/>
  <c r="D34" i="76"/>
  <c r="Q34" i="76" s="1"/>
  <c r="E34" i="76"/>
  <c r="G34" i="76"/>
  <c r="A35" i="76"/>
  <c r="B35" i="76"/>
  <c r="C35" i="76"/>
  <c r="D35" i="76"/>
  <c r="Q35" i="76" s="1"/>
  <c r="E35" i="76"/>
  <c r="G35" i="76"/>
  <c r="A36" i="76"/>
  <c r="B36" i="76"/>
  <c r="C36" i="76"/>
  <c r="D36" i="76"/>
  <c r="Q36" i="76" s="1"/>
  <c r="E36" i="76"/>
  <c r="G36" i="76"/>
  <c r="A37" i="76"/>
  <c r="B37" i="76"/>
  <c r="C37" i="76"/>
  <c r="D37" i="76"/>
  <c r="Q37" i="76" s="1"/>
  <c r="E37" i="76"/>
  <c r="G37" i="76"/>
  <c r="A38" i="76"/>
  <c r="B38" i="76"/>
  <c r="C38" i="76"/>
  <c r="D38" i="76"/>
  <c r="Q38" i="76" s="1"/>
  <c r="E38" i="76"/>
  <c r="G38" i="76"/>
  <c r="A39" i="76"/>
  <c r="B39" i="76"/>
  <c r="C39" i="76"/>
  <c r="D39" i="76"/>
  <c r="Q39" i="76" s="1"/>
  <c r="E39" i="76"/>
  <c r="G39" i="76"/>
  <c r="A40" i="76"/>
  <c r="B40" i="76"/>
  <c r="C40" i="76"/>
  <c r="D40" i="76"/>
  <c r="Q40" i="76" s="1"/>
  <c r="E40" i="76"/>
  <c r="G40" i="76"/>
  <c r="A41" i="76"/>
  <c r="B41" i="76"/>
  <c r="C41" i="76"/>
  <c r="D41" i="76"/>
  <c r="Q41" i="76" s="1"/>
  <c r="E41" i="76"/>
  <c r="G41" i="76"/>
  <c r="A42" i="76"/>
  <c r="B42" i="76"/>
  <c r="C42" i="76"/>
  <c r="D42" i="76"/>
  <c r="Q42" i="76" s="1"/>
  <c r="E42" i="76"/>
  <c r="G42" i="76"/>
  <c r="A43" i="76"/>
  <c r="B43" i="76"/>
  <c r="C43" i="76"/>
  <c r="D43" i="76"/>
  <c r="Q43" i="76" s="1"/>
  <c r="E43" i="76"/>
  <c r="G43" i="76"/>
  <c r="A44" i="76"/>
  <c r="B44" i="76"/>
  <c r="C44" i="76"/>
  <c r="D44" i="76"/>
  <c r="Q44" i="76" s="1"/>
  <c r="E44" i="76"/>
  <c r="G44" i="76"/>
  <c r="A45" i="76"/>
  <c r="B45" i="76"/>
  <c r="C45" i="76"/>
  <c r="D45" i="76"/>
  <c r="Q45" i="76" s="1"/>
  <c r="E45" i="76"/>
  <c r="G45" i="76"/>
  <c r="A46" i="76"/>
  <c r="B46" i="76"/>
  <c r="C46" i="76"/>
  <c r="D46" i="76"/>
  <c r="Q46" i="76" s="1"/>
  <c r="E46" i="76"/>
  <c r="G46" i="76"/>
  <c r="A47" i="76"/>
  <c r="B47" i="76"/>
  <c r="C47" i="76"/>
  <c r="D47" i="76"/>
  <c r="Q47" i="76" s="1"/>
  <c r="E47" i="76"/>
  <c r="G47" i="76"/>
  <c r="A48" i="76"/>
  <c r="B48" i="76"/>
  <c r="C48" i="76"/>
  <c r="D48" i="76"/>
  <c r="Q48" i="76" s="1"/>
  <c r="E48" i="76"/>
  <c r="G48" i="76"/>
  <c r="A49" i="76"/>
  <c r="B49" i="76"/>
  <c r="C49" i="76"/>
  <c r="D49" i="76"/>
  <c r="Q49" i="76" s="1"/>
  <c r="E49" i="76"/>
  <c r="G49" i="76"/>
  <c r="A50" i="76"/>
  <c r="B50" i="76"/>
  <c r="C50" i="76"/>
  <c r="D50" i="76"/>
  <c r="Q50" i="76" s="1"/>
  <c r="E50" i="76"/>
  <c r="G50" i="76"/>
  <c r="A51" i="76"/>
  <c r="B51" i="76"/>
  <c r="C51" i="76"/>
  <c r="D51" i="76"/>
  <c r="Q51" i="76" s="1"/>
  <c r="E51" i="76"/>
  <c r="G51" i="76"/>
  <c r="A52" i="76"/>
  <c r="B52" i="76"/>
  <c r="C52" i="76"/>
  <c r="D52" i="76"/>
  <c r="Q52" i="76" s="1"/>
  <c r="E52" i="76"/>
  <c r="G52" i="76"/>
  <c r="A53" i="76"/>
  <c r="B53" i="76"/>
  <c r="C53" i="76"/>
  <c r="D53" i="76"/>
  <c r="Q53" i="76" s="1"/>
  <c r="E53" i="76"/>
  <c r="G53" i="76"/>
  <c r="A54" i="76"/>
  <c r="B54" i="76"/>
  <c r="C54" i="76"/>
  <c r="D54" i="76"/>
  <c r="Q54" i="76" s="1"/>
  <c r="E54" i="76"/>
  <c r="G54" i="76"/>
  <c r="A55" i="76"/>
  <c r="B55" i="76"/>
  <c r="C55" i="76"/>
  <c r="D55" i="76"/>
  <c r="Q55" i="76" s="1"/>
  <c r="E55" i="76"/>
  <c r="G55" i="76"/>
  <c r="A56" i="76"/>
  <c r="B56" i="76"/>
  <c r="C56" i="76"/>
  <c r="D56" i="76"/>
  <c r="Q56" i="76" s="1"/>
  <c r="E56" i="76"/>
  <c r="G56" i="76"/>
  <c r="A57" i="76"/>
  <c r="B57" i="76"/>
  <c r="C57" i="76"/>
  <c r="D57" i="76"/>
  <c r="Q57" i="76" s="1"/>
  <c r="E57" i="76"/>
  <c r="G57" i="76"/>
  <c r="A58" i="76"/>
  <c r="B58" i="76"/>
  <c r="C58" i="76"/>
  <c r="D58" i="76"/>
  <c r="Q58" i="76" s="1"/>
  <c r="E58" i="76"/>
  <c r="G58" i="76"/>
  <c r="A59" i="76"/>
  <c r="B59" i="76"/>
  <c r="C59" i="76"/>
  <c r="D59" i="76"/>
  <c r="Q59" i="76" s="1"/>
  <c r="E59" i="76"/>
  <c r="G59" i="76"/>
  <c r="A60" i="76"/>
  <c r="B60" i="76"/>
  <c r="C60" i="76"/>
  <c r="D60" i="76"/>
  <c r="Q60" i="76" s="1"/>
  <c r="E60" i="76"/>
  <c r="G60" i="76"/>
  <c r="A61" i="76"/>
  <c r="B61" i="76"/>
  <c r="C61" i="76"/>
  <c r="D61" i="76"/>
  <c r="Q61" i="76" s="1"/>
  <c r="E61" i="76"/>
  <c r="G61" i="76"/>
  <c r="A62" i="76"/>
  <c r="B62" i="76"/>
  <c r="C62" i="76"/>
  <c r="D62" i="76"/>
  <c r="Q62" i="76" s="1"/>
  <c r="E62" i="76"/>
  <c r="G62" i="76"/>
  <c r="A63" i="76"/>
  <c r="B63" i="76"/>
  <c r="C63" i="76"/>
  <c r="D63" i="76"/>
  <c r="Q63" i="76" s="1"/>
  <c r="E63" i="76"/>
  <c r="G63" i="76"/>
  <c r="A64" i="76"/>
  <c r="B64" i="76"/>
  <c r="C64" i="76"/>
  <c r="D64" i="76"/>
  <c r="Q64" i="76" s="1"/>
  <c r="E64" i="76"/>
  <c r="G64" i="76"/>
  <c r="A65" i="76"/>
  <c r="B65" i="76"/>
  <c r="C65" i="76"/>
  <c r="D65" i="76"/>
  <c r="Q65" i="76" s="1"/>
  <c r="E65" i="76"/>
  <c r="G65" i="76"/>
  <c r="A66" i="76"/>
  <c r="B66" i="76"/>
  <c r="C66" i="76"/>
  <c r="D66" i="76"/>
  <c r="Q66" i="76" s="1"/>
  <c r="E66" i="76"/>
  <c r="G66" i="76"/>
  <c r="A67" i="76"/>
  <c r="B67" i="76"/>
  <c r="C67" i="76"/>
  <c r="D67" i="76"/>
  <c r="Q67" i="76" s="1"/>
  <c r="E67" i="76"/>
  <c r="G67" i="76"/>
  <c r="A68" i="76"/>
  <c r="B68" i="76"/>
  <c r="C68" i="76"/>
  <c r="D68" i="76"/>
  <c r="Q68" i="76" s="1"/>
  <c r="E68" i="76"/>
  <c r="G68" i="76"/>
  <c r="A85" i="76"/>
  <c r="B85" i="76"/>
  <c r="C85" i="76"/>
  <c r="D85" i="76"/>
  <c r="Q85" i="76" s="1"/>
  <c r="E85" i="76"/>
  <c r="G85" i="76"/>
  <c r="A87" i="76"/>
  <c r="B87" i="76"/>
  <c r="C87" i="76"/>
  <c r="D87" i="76"/>
  <c r="Q87" i="76" s="1"/>
  <c r="E87" i="76"/>
  <c r="G87" i="76"/>
  <c r="A88" i="76"/>
  <c r="B88" i="76"/>
  <c r="C88" i="76"/>
  <c r="D88" i="76"/>
  <c r="Q88" i="76" s="1"/>
  <c r="E88" i="76"/>
  <c r="G88" i="76"/>
  <c r="A89" i="76"/>
  <c r="B89" i="76"/>
  <c r="C89" i="76"/>
  <c r="D89" i="76"/>
  <c r="Q89" i="76" s="1"/>
  <c r="E89" i="76"/>
  <c r="G89" i="76"/>
  <c r="A113" i="76"/>
  <c r="B113" i="76"/>
  <c r="C113" i="76"/>
  <c r="D113" i="76"/>
  <c r="Q113" i="76" s="1"/>
  <c r="E113" i="76"/>
  <c r="G113" i="76"/>
  <c r="A115" i="76"/>
  <c r="B115" i="76"/>
  <c r="C115" i="76"/>
  <c r="D115" i="76"/>
  <c r="Q115" i="76" s="1"/>
  <c r="E115" i="76"/>
  <c r="G115" i="76"/>
  <c r="A116" i="76"/>
  <c r="B116" i="76"/>
  <c r="C116" i="76"/>
  <c r="D116" i="76"/>
  <c r="Q116" i="76" s="1"/>
  <c r="E116" i="76"/>
  <c r="G116" i="76"/>
  <c r="A117" i="76"/>
  <c r="B117" i="76"/>
  <c r="C117" i="76"/>
  <c r="D117" i="76"/>
  <c r="Q117" i="76" s="1"/>
  <c r="E117" i="76"/>
  <c r="G117" i="76"/>
  <c r="A118" i="76"/>
  <c r="B118" i="76"/>
  <c r="C118" i="76"/>
  <c r="D118" i="76"/>
  <c r="Q118" i="76" s="1"/>
  <c r="E118" i="76"/>
  <c r="G118" i="76"/>
  <c r="A119" i="76"/>
  <c r="B119" i="76"/>
  <c r="C119" i="76"/>
  <c r="D119" i="76"/>
  <c r="Q119" i="76" s="1"/>
  <c r="E119" i="76"/>
  <c r="G119" i="76"/>
  <c r="A120" i="76"/>
  <c r="B120" i="76"/>
  <c r="C120" i="76"/>
  <c r="D120" i="76"/>
  <c r="Q120" i="76" s="1"/>
  <c r="E120" i="76"/>
  <c r="G120" i="76"/>
  <c r="A121" i="76"/>
  <c r="B121" i="76"/>
  <c r="C121" i="76"/>
  <c r="D121" i="76"/>
  <c r="Q121" i="76" s="1"/>
  <c r="E121" i="76"/>
  <c r="G121" i="76"/>
  <c r="A122" i="76"/>
  <c r="B122" i="76"/>
  <c r="C122" i="76"/>
  <c r="D122" i="76"/>
  <c r="Q122" i="76" s="1"/>
  <c r="E122" i="76"/>
  <c r="G122" i="76"/>
  <c r="A138" i="76"/>
  <c r="B138" i="76"/>
  <c r="C138" i="76"/>
  <c r="D138" i="76"/>
  <c r="Q138" i="76" s="1"/>
  <c r="E138" i="76"/>
  <c r="G138" i="76"/>
  <c r="A140" i="76"/>
  <c r="B140" i="76"/>
  <c r="C140" i="76"/>
  <c r="D140" i="76"/>
  <c r="Q140" i="76" s="1"/>
  <c r="E140" i="76"/>
  <c r="G140" i="76"/>
  <c r="A141" i="76"/>
  <c r="B141" i="76"/>
  <c r="C141" i="76"/>
  <c r="D141" i="76"/>
  <c r="Q141" i="76" s="1"/>
  <c r="E141" i="76"/>
  <c r="G141" i="76"/>
  <c r="A142" i="76"/>
  <c r="B142" i="76"/>
  <c r="C142" i="76"/>
  <c r="D142" i="76"/>
  <c r="Q142" i="76" s="1"/>
  <c r="E142" i="76"/>
  <c r="G142" i="76"/>
  <c r="A151" i="76"/>
  <c r="B151" i="76"/>
  <c r="C151" i="76"/>
  <c r="D151" i="76"/>
  <c r="Q151" i="76" s="1"/>
  <c r="E151" i="76"/>
  <c r="G151" i="76"/>
  <c r="A153" i="76"/>
  <c r="B153" i="76"/>
  <c r="C153" i="76"/>
  <c r="D153" i="76"/>
  <c r="Q153" i="76" s="1"/>
  <c r="E153" i="76"/>
  <c r="G153" i="76"/>
  <c r="A162" i="76"/>
  <c r="B162" i="76"/>
  <c r="C162" i="76"/>
  <c r="D162" i="76"/>
  <c r="Q162" i="76" s="1"/>
  <c r="E162" i="76"/>
  <c r="G162" i="76"/>
  <c r="A164" i="76"/>
  <c r="B164" i="76"/>
  <c r="C164" i="76"/>
  <c r="D164" i="76"/>
  <c r="Q164" i="76" s="1"/>
  <c r="E164" i="76"/>
  <c r="G164" i="76"/>
  <c r="A168" i="76"/>
  <c r="B168" i="76"/>
  <c r="C168" i="76"/>
  <c r="D168" i="76"/>
  <c r="Q168" i="76" s="1"/>
  <c r="E168" i="76"/>
  <c r="G168" i="76"/>
  <c r="A172" i="76"/>
  <c r="B172" i="76"/>
  <c r="C172" i="76"/>
  <c r="D172" i="76"/>
  <c r="Q172" i="76" s="1"/>
  <c r="E172" i="76"/>
  <c r="G172" i="76"/>
  <c r="A175" i="76"/>
  <c r="B175" i="76"/>
  <c r="C175" i="76"/>
  <c r="D175" i="76"/>
  <c r="Q175" i="76" s="1"/>
  <c r="E175" i="76"/>
  <c r="G175" i="76"/>
  <c r="G5" i="76"/>
  <c r="E5" i="76"/>
  <c r="D5" i="76"/>
  <c r="Q5" i="76" s="1"/>
  <c r="C5" i="76"/>
  <c r="B5" i="76"/>
  <c r="A5" i="76"/>
  <c r="A6" i="75"/>
  <c r="B6" i="75"/>
  <c r="C6" i="75"/>
  <c r="D6" i="75"/>
  <c r="Q6" i="75" s="1"/>
  <c r="E6" i="75"/>
  <c r="G6" i="75"/>
  <c r="A7" i="75"/>
  <c r="B7" i="75"/>
  <c r="C7" i="75"/>
  <c r="D7" i="75"/>
  <c r="Q7" i="75" s="1"/>
  <c r="E7" i="75"/>
  <c r="G7" i="75"/>
  <c r="A14" i="75"/>
  <c r="B14" i="75"/>
  <c r="C14" i="75"/>
  <c r="D14" i="75"/>
  <c r="Q14" i="75" s="1"/>
  <c r="E14" i="75"/>
  <c r="G14" i="75"/>
  <c r="A15" i="75"/>
  <c r="B15" i="75"/>
  <c r="C15" i="75"/>
  <c r="D15" i="75"/>
  <c r="Q15" i="75" s="1"/>
  <c r="E15" i="75"/>
  <c r="G15" i="75"/>
  <c r="A16" i="75"/>
  <c r="B16" i="75"/>
  <c r="C16" i="75"/>
  <c r="D16" i="75"/>
  <c r="Q16" i="75" s="1"/>
  <c r="E16" i="75"/>
  <c r="G16" i="75"/>
  <c r="A17" i="75"/>
  <c r="B17" i="75"/>
  <c r="C17" i="75"/>
  <c r="D17" i="75"/>
  <c r="Q17" i="75" s="1"/>
  <c r="E17" i="75"/>
  <c r="G17" i="75"/>
  <c r="A18" i="75"/>
  <c r="B18" i="75"/>
  <c r="C18" i="75"/>
  <c r="D18" i="75"/>
  <c r="Q18" i="75" s="1"/>
  <c r="E18" i="75"/>
  <c r="G18" i="75"/>
  <c r="A19" i="75"/>
  <c r="B19" i="75"/>
  <c r="C19" i="75"/>
  <c r="D19" i="75"/>
  <c r="Q19" i="75" s="1"/>
  <c r="E19" i="75"/>
  <c r="G19" i="75"/>
  <c r="A20" i="75"/>
  <c r="B20" i="75"/>
  <c r="C20" i="75"/>
  <c r="D20" i="75"/>
  <c r="Q20" i="75" s="1"/>
  <c r="E20" i="75"/>
  <c r="G20" i="75"/>
  <c r="A21" i="75"/>
  <c r="B21" i="75"/>
  <c r="C21" i="75"/>
  <c r="D21" i="75"/>
  <c r="Q21" i="75" s="1"/>
  <c r="E21" i="75"/>
  <c r="G21" i="75"/>
  <c r="A22" i="75"/>
  <c r="B22" i="75"/>
  <c r="C22" i="75"/>
  <c r="D22" i="75"/>
  <c r="Q22" i="75" s="1"/>
  <c r="E22" i="75"/>
  <c r="G22" i="75"/>
  <c r="A23" i="75"/>
  <c r="B23" i="75"/>
  <c r="C23" i="75"/>
  <c r="D23" i="75"/>
  <c r="Q23" i="75" s="1"/>
  <c r="E23" i="75"/>
  <c r="G23" i="75"/>
  <c r="A24" i="75"/>
  <c r="B24" i="75"/>
  <c r="C24" i="75"/>
  <c r="D24" i="75"/>
  <c r="Q24" i="75" s="1"/>
  <c r="E24" i="75"/>
  <c r="G24" i="75"/>
  <c r="A25" i="75"/>
  <c r="B25" i="75"/>
  <c r="C25" i="75"/>
  <c r="D25" i="75"/>
  <c r="Q25" i="75" s="1"/>
  <c r="E25" i="75"/>
  <c r="G25" i="75"/>
  <c r="A26" i="75"/>
  <c r="B26" i="75"/>
  <c r="C26" i="75"/>
  <c r="D26" i="75"/>
  <c r="Q26" i="75" s="1"/>
  <c r="E26" i="75"/>
  <c r="G26" i="75"/>
  <c r="A27" i="75"/>
  <c r="B27" i="75"/>
  <c r="C27" i="75"/>
  <c r="D27" i="75"/>
  <c r="Q27" i="75" s="1"/>
  <c r="E27" i="75"/>
  <c r="G27" i="75"/>
  <c r="A28" i="75"/>
  <c r="B28" i="75"/>
  <c r="C28" i="75"/>
  <c r="D28" i="75"/>
  <c r="Q28" i="75" s="1"/>
  <c r="E28" i="75"/>
  <c r="G28" i="75"/>
  <c r="A29" i="75"/>
  <c r="B29" i="75"/>
  <c r="C29" i="75"/>
  <c r="D29" i="75"/>
  <c r="Q29" i="75" s="1"/>
  <c r="E29" i="75"/>
  <c r="G29" i="75"/>
  <c r="A30" i="75"/>
  <c r="B30" i="75"/>
  <c r="C30" i="75"/>
  <c r="D30" i="75"/>
  <c r="Q30" i="75" s="1"/>
  <c r="E30" i="75"/>
  <c r="G30" i="75"/>
  <c r="A31" i="75"/>
  <c r="B31" i="75"/>
  <c r="C31" i="75"/>
  <c r="D31" i="75"/>
  <c r="Q31" i="75" s="1"/>
  <c r="E31" i="75"/>
  <c r="G31" i="75"/>
  <c r="A32" i="75"/>
  <c r="B32" i="75"/>
  <c r="C32" i="75"/>
  <c r="D32" i="75"/>
  <c r="Q32" i="75" s="1"/>
  <c r="E32" i="75"/>
  <c r="G32" i="75"/>
  <c r="A33" i="75"/>
  <c r="B33" i="75"/>
  <c r="C33" i="75"/>
  <c r="D33" i="75"/>
  <c r="Q33" i="75" s="1"/>
  <c r="E33" i="75"/>
  <c r="G33" i="75"/>
  <c r="A34" i="75"/>
  <c r="B34" i="75"/>
  <c r="C34" i="75"/>
  <c r="D34" i="75"/>
  <c r="Q34" i="75" s="1"/>
  <c r="E34" i="75"/>
  <c r="G34" i="75"/>
  <c r="A35" i="75"/>
  <c r="B35" i="75"/>
  <c r="C35" i="75"/>
  <c r="D35" i="75"/>
  <c r="Q35" i="75" s="1"/>
  <c r="E35" i="75"/>
  <c r="G35" i="75"/>
  <c r="A36" i="75"/>
  <c r="B36" i="75"/>
  <c r="C36" i="75"/>
  <c r="D36" i="75"/>
  <c r="Q36" i="75" s="1"/>
  <c r="E36" i="75"/>
  <c r="G36" i="75"/>
  <c r="A37" i="75"/>
  <c r="B37" i="75"/>
  <c r="C37" i="75"/>
  <c r="D37" i="75"/>
  <c r="Q37" i="75" s="1"/>
  <c r="E37" i="75"/>
  <c r="G37" i="75"/>
  <c r="A38" i="75"/>
  <c r="B38" i="75"/>
  <c r="C38" i="75"/>
  <c r="D38" i="75"/>
  <c r="Q38" i="75" s="1"/>
  <c r="E38" i="75"/>
  <c r="G38" i="75"/>
  <c r="A39" i="75"/>
  <c r="B39" i="75"/>
  <c r="C39" i="75"/>
  <c r="D39" i="75"/>
  <c r="Q39" i="75" s="1"/>
  <c r="E39" i="75"/>
  <c r="G39" i="75"/>
  <c r="A40" i="75"/>
  <c r="B40" i="75"/>
  <c r="C40" i="75"/>
  <c r="D40" i="75"/>
  <c r="Q40" i="75" s="1"/>
  <c r="E40" i="75"/>
  <c r="G40" i="75"/>
  <c r="A41" i="75"/>
  <c r="B41" i="75"/>
  <c r="C41" i="75"/>
  <c r="D41" i="75"/>
  <c r="Q41" i="75" s="1"/>
  <c r="E41" i="75"/>
  <c r="G41" i="75"/>
  <c r="A42" i="75"/>
  <c r="B42" i="75"/>
  <c r="C42" i="75"/>
  <c r="D42" i="75"/>
  <c r="Q42" i="75" s="1"/>
  <c r="E42" i="75"/>
  <c r="G42" i="75"/>
  <c r="A43" i="75"/>
  <c r="B43" i="75"/>
  <c r="C43" i="75"/>
  <c r="D43" i="75"/>
  <c r="Q43" i="75" s="1"/>
  <c r="E43" i="75"/>
  <c r="G43" i="75"/>
  <c r="A44" i="75"/>
  <c r="B44" i="75"/>
  <c r="C44" i="75"/>
  <c r="D44" i="75"/>
  <c r="Q44" i="75" s="1"/>
  <c r="E44" i="75"/>
  <c r="G44" i="75"/>
  <c r="A45" i="75"/>
  <c r="B45" i="75"/>
  <c r="C45" i="75"/>
  <c r="D45" i="75"/>
  <c r="Q45" i="75" s="1"/>
  <c r="E45" i="75"/>
  <c r="G45" i="75"/>
  <c r="A46" i="75"/>
  <c r="B46" i="75"/>
  <c r="C46" i="75"/>
  <c r="D46" i="75"/>
  <c r="Q46" i="75" s="1"/>
  <c r="E46" i="75"/>
  <c r="G46" i="75"/>
  <c r="A47" i="75"/>
  <c r="B47" i="75"/>
  <c r="C47" i="75"/>
  <c r="D47" i="75"/>
  <c r="Q47" i="75" s="1"/>
  <c r="E47" i="75"/>
  <c r="G47" i="75"/>
  <c r="A48" i="75"/>
  <c r="B48" i="75"/>
  <c r="C48" i="75"/>
  <c r="D48" i="75"/>
  <c r="Q48" i="75" s="1"/>
  <c r="E48" i="75"/>
  <c r="G48" i="75"/>
  <c r="A49" i="75"/>
  <c r="B49" i="75"/>
  <c r="C49" i="75"/>
  <c r="D49" i="75"/>
  <c r="Q49" i="75" s="1"/>
  <c r="E49" i="75"/>
  <c r="G49" i="75"/>
  <c r="A50" i="75"/>
  <c r="B50" i="75"/>
  <c r="C50" i="75"/>
  <c r="D50" i="75"/>
  <c r="Q50" i="75" s="1"/>
  <c r="E50" i="75"/>
  <c r="G50" i="75"/>
  <c r="A51" i="75"/>
  <c r="B51" i="75"/>
  <c r="C51" i="75"/>
  <c r="D51" i="75"/>
  <c r="Q51" i="75" s="1"/>
  <c r="E51" i="75"/>
  <c r="G51" i="75"/>
  <c r="A52" i="75"/>
  <c r="B52" i="75"/>
  <c r="C52" i="75"/>
  <c r="D52" i="75"/>
  <c r="Q52" i="75" s="1"/>
  <c r="E52" i="75"/>
  <c r="G52" i="75"/>
  <c r="A53" i="75"/>
  <c r="B53" i="75"/>
  <c r="C53" i="75"/>
  <c r="D53" i="75"/>
  <c r="Q53" i="75" s="1"/>
  <c r="E53" i="75"/>
  <c r="G53" i="75"/>
  <c r="A54" i="75"/>
  <c r="B54" i="75"/>
  <c r="C54" i="75"/>
  <c r="D54" i="75"/>
  <c r="Q54" i="75" s="1"/>
  <c r="E54" i="75"/>
  <c r="G54" i="75"/>
  <c r="A55" i="75"/>
  <c r="B55" i="75"/>
  <c r="C55" i="75"/>
  <c r="D55" i="75"/>
  <c r="Q55" i="75" s="1"/>
  <c r="E55" i="75"/>
  <c r="G55" i="75"/>
  <c r="A56" i="75"/>
  <c r="B56" i="75"/>
  <c r="C56" i="75"/>
  <c r="D56" i="75"/>
  <c r="Q56" i="75" s="1"/>
  <c r="E56" i="75"/>
  <c r="G56" i="75"/>
  <c r="A57" i="75"/>
  <c r="B57" i="75"/>
  <c r="C57" i="75"/>
  <c r="D57" i="75"/>
  <c r="Q57" i="75" s="1"/>
  <c r="E57" i="75"/>
  <c r="G57" i="75"/>
  <c r="A58" i="75"/>
  <c r="B58" i="75"/>
  <c r="C58" i="75"/>
  <c r="D58" i="75"/>
  <c r="Q58" i="75" s="1"/>
  <c r="E58" i="75"/>
  <c r="G58" i="75"/>
  <c r="A59" i="75"/>
  <c r="B59" i="75"/>
  <c r="C59" i="75"/>
  <c r="D59" i="75"/>
  <c r="Q59" i="75" s="1"/>
  <c r="E59" i="75"/>
  <c r="G59" i="75"/>
  <c r="A60" i="75"/>
  <c r="B60" i="75"/>
  <c r="C60" i="75"/>
  <c r="D60" i="75"/>
  <c r="Q60" i="75" s="1"/>
  <c r="E60" i="75"/>
  <c r="G60" i="75"/>
  <c r="A61" i="75"/>
  <c r="B61" i="75"/>
  <c r="C61" i="75"/>
  <c r="D61" i="75"/>
  <c r="Q61" i="75" s="1"/>
  <c r="E61" i="75"/>
  <c r="G61" i="75"/>
  <c r="A62" i="75"/>
  <c r="B62" i="75"/>
  <c r="C62" i="75"/>
  <c r="D62" i="75"/>
  <c r="Q62" i="75" s="1"/>
  <c r="E62" i="75"/>
  <c r="G62" i="75"/>
  <c r="A63" i="75"/>
  <c r="B63" i="75"/>
  <c r="C63" i="75"/>
  <c r="D63" i="75"/>
  <c r="Q63" i="75" s="1"/>
  <c r="E63" i="75"/>
  <c r="G63" i="75"/>
  <c r="A64" i="75"/>
  <c r="B64" i="75"/>
  <c r="C64" i="75"/>
  <c r="D64" i="75"/>
  <c r="Q64" i="75" s="1"/>
  <c r="E64" i="75"/>
  <c r="G64" i="75"/>
  <c r="A65" i="75"/>
  <c r="B65" i="75"/>
  <c r="C65" i="75"/>
  <c r="D65" i="75"/>
  <c r="Q65" i="75" s="1"/>
  <c r="E65" i="75"/>
  <c r="G65" i="75"/>
  <c r="A66" i="75"/>
  <c r="B66" i="75"/>
  <c r="C66" i="75"/>
  <c r="D66" i="75"/>
  <c r="Q66" i="75" s="1"/>
  <c r="E66" i="75"/>
  <c r="G66" i="75"/>
  <c r="A67" i="75"/>
  <c r="B67" i="75"/>
  <c r="C67" i="75"/>
  <c r="D67" i="75"/>
  <c r="Q67" i="75" s="1"/>
  <c r="E67" i="75"/>
  <c r="G67" i="75"/>
  <c r="A68" i="75"/>
  <c r="B68" i="75"/>
  <c r="C68" i="75"/>
  <c r="D68" i="75"/>
  <c r="Q68" i="75" s="1"/>
  <c r="E68" i="75"/>
  <c r="G68" i="75"/>
  <c r="A85" i="75"/>
  <c r="B85" i="75"/>
  <c r="C85" i="75"/>
  <c r="D85" i="75"/>
  <c r="Q85" i="75" s="1"/>
  <c r="E85" i="75"/>
  <c r="G85" i="75"/>
  <c r="A87" i="75"/>
  <c r="B87" i="75"/>
  <c r="C87" i="75"/>
  <c r="D87" i="75"/>
  <c r="Q87" i="75" s="1"/>
  <c r="E87" i="75"/>
  <c r="G87" i="75"/>
  <c r="A88" i="75"/>
  <c r="B88" i="75"/>
  <c r="C88" i="75"/>
  <c r="D88" i="75"/>
  <c r="Q88" i="75" s="1"/>
  <c r="E88" i="75"/>
  <c r="G88" i="75"/>
  <c r="A89" i="75"/>
  <c r="B89" i="75"/>
  <c r="C89" i="75"/>
  <c r="D89" i="75"/>
  <c r="Q89" i="75" s="1"/>
  <c r="E89" i="75"/>
  <c r="G89" i="75"/>
  <c r="A113" i="75"/>
  <c r="B113" i="75"/>
  <c r="C113" i="75"/>
  <c r="D113" i="75"/>
  <c r="Q113" i="75" s="1"/>
  <c r="E113" i="75"/>
  <c r="G113" i="75"/>
  <c r="A115" i="75"/>
  <c r="B115" i="75"/>
  <c r="C115" i="75"/>
  <c r="D115" i="75"/>
  <c r="Q115" i="75" s="1"/>
  <c r="E115" i="75"/>
  <c r="G115" i="75"/>
  <c r="A116" i="75"/>
  <c r="B116" i="75"/>
  <c r="C116" i="75"/>
  <c r="D116" i="75"/>
  <c r="Q116" i="75" s="1"/>
  <c r="E116" i="75"/>
  <c r="G116" i="75"/>
  <c r="A117" i="75"/>
  <c r="B117" i="75"/>
  <c r="C117" i="75"/>
  <c r="D117" i="75"/>
  <c r="Q117" i="75" s="1"/>
  <c r="E117" i="75"/>
  <c r="G117" i="75"/>
  <c r="A118" i="75"/>
  <c r="B118" i="75"/>
  <c r="C118" i="75"/>
  <c r="D118" i="75"/>
  <c r="Q118" i="75" s="1"/>
  <c r="E118" i="75"/>
  <c r="G118" i="75"/>
  <c r="A119" i="75"/>
  <c r="B119" i="75"/>
  <c r="C119" i="75"/>
  <c r="D119" i="75"/>
  <c r="Q119" i="75" s="1"/>
  <c r="E119" i="75"/>
  <c r="G119" i="75"/>
  <c r="A120" i="75"/>
  <c r="B120" i="75"/>
  <c r="C120" i="75"/>
  <c r="D120" i="75"/>
  <c r="Q120" i="75" s="1"/>
  <c r="E120" i="75"/>
  <c r="G120" i="75"/>
  <c r="A121" i="75"/>
  <c r="B121" i="75"/>
  <c r="C121" i="75"/>
  <c r="D121" i="75"/>
  <c r="Q121" i="75" s="1"/>
  <c r="E121" i="75"/>
  <c r="G121" i="75"/>
  <c r="A122" i="75"/>
  <c r="B122" i="75"/>
  <c r="C122" i="75"/>
  <c r="D122" i="75"/>
  <c r="Q122" i="75" s="1"/>
  <c r="E122" i="75"/>
  <c r="G122" i="75"/>
  <c r="A138" i="75"/>
  <c r="B138" i="75"/>
  <c r="C138" i="75"/>
  <c r="D138" i="75"/>
  <c r="Q138" i="75" s="1"/>
  <c r="E138" i="75"/>
  <c r="G138" i="75"/>
  <c r="A140" i="75"/>
  <c r="B140" i="75"/>
  <c r="C140" i="75"/>
  <c r="D140" i="75"/>
  <c r="Q140" i="75" s="1"/>
  <c r="E140" i="75"/>
  <c r="G140" i="75"/>
  <c r="A141" i="75"/>
  <c r="B141" i="75"/>
  <c r="C141" i="75"/>
  <c r="D141" i="75"/>
  <c r="Q141" i="75" s="1"/>
  <c r="E141" i="75"/>
  <c r="G141" i="75"/>
  <c r="A142" i="75"/>
  <c r="B142" i="75"/>
  <c r="C142" i="75"/>
  <c r="D142" i="75"/>
  <c r="Q142" i="75" s="1"/>
  <c r="E142" i="75"/>
  <c r="G142" i="75"/>
  <c r="A151" i="75"/>
  <c r="B151" i="75"/>
  <c r="C151" i="75"/>
  <c r="D151" i="75"/>
  <c r="Q151" i="75" s="1"/>
  <c r="E151" i="75"/>
  <c r="G151" i="75"/>
  <c r="A153" i="75"/>
  <c r="B153" i="75"/>
  <c r="C153" i="75"/>
  <c r="D153" i="75"/>
  <c r="Q153" i="75" s="1"/>
  <c r="E153" i="75"/>
  <c r="G153" i="75"/>
  <c r="A162" i="75"/>
  <c r="B162" i="75"/>
  <c r="C162" i="75"/>
  <c r="D162" i="75"/>
  <c r="Q162" i="75" s="1"/>
  <c r="E162" i="75"/>
  <c r="G162" i="75"/>
  <c r="A164" i="75"/>
  <c r="B164" i="75"/>
  <c r="C164" i="75"/>
  <c r="D164" i="75"/>
  <c r="Q164" i="75" s="1"/>
  <c r="E164" i="75"/>
  <c r="G164" i="75"/>
  <c r="A168" i="75"/>
  <c r="B168" i="75"/>
  <c r="C168" i="75"/>
  <c r="D168" i="75"/>
  <c r="Q168" i="75" s="1"/>
  <c r="E168" i="75"/>
  <c r="G168" i="75"/>
  <c r="A172" i="75"/>
  <c r="B172" i="75"/>
  <c r="C172" i="75"/>
  <c r="D172" i="75"/>
  <c r="Q172" i="75" s="1"/>
  <c r="E172" i="75"/>
  <c r="G172" i="75"/>
  <c r="A175" i="75"/>
  <c r="B175" i="75"/>
  <c r="C175" i="75"/>
  <c r="D175" i="75"/>
  <c r="Q175" i="75" s="1"/>
  <c r="E175" i="75"/>
  <c r="G175" i="75"/>
  <c r="G5" i="75"/>
  <c r="E5" i="75"/>
  <c r="D5" i="75"/>
  <c r="Q5" i="75" s="1"/>
  <c r="C5" i="75"/>
  <c r="B5" i="75"/>
  <c r="A5" i="75"/>
  <c r="A6" i="74"/>
  <c r="B6" i="74"/>
  <c r="C6" i="74"/>
  <c r="D6" i="74"/>
  <c r="Q6" i="74" s="1"/>
  <c r="E6" i="74"/>
  <c r="G6" i="74"/>
  <c r="A7" i="74"/>
  <c r="B7" i="74"/>
  <c r="C7" i="74"/>
  <c r="D7" i="74"/>
  <c r="Q7" i="74" s="1"/>
  <c r="E7" i="74"/>
  <c r="G7" i="74"/>
  <c r="A14" i="74"/>
  <c r="B14" i="74"/>
  <c r="C14" i="74"/>
  <c r="D14" i="74"/>
  <c r="Q14" i="74" s="1"/>
  <c r="E14" i="74"/>
  <c r="G14" i="74"/>
  <c r="A15" i="74"/>
  <c r="B15" i="74"/>
  <c r="C15" i="74"/>
  <c r="D15" i="74"/>
  <c r="Q15" i="74" s="1"/>
  <c r="E15" i="74"/>
  <c r="G15" i="74"/>
  <c r="A16" i="74"/>
  <c r="B16" i="74"/>
  <c r="C16" i="74"/>
  <c r="D16" i="74"/>
  <c r="Q16" i="74" s="1"/>
  <c r="E16" i="74"/>
  <c r="G16" i="74"/>
  <c r="A17" i="74"/>
  <c r="B17" i="74"/>
  <c r="C17" i="74"/>
  <c r="D17" i="74"/>
  <c r="Q17" i="74" s="1"/>
  <c r="E17" i="74"/>
  <c r="G17" i="74"/>
  <c r="A18" i="74"/>
  <c r="B18" i="74"/>
  <c r="C18" i="74"/>
  <c r="D18" i="74"/>
  <c r="Q18" i="74" s="1"/>
  <c r="E18" i="74"/>
  <c r="G18" i="74"/>
  <c r="A19" i="74"/>
  <c r="B19" i="74"/>
  <c r="C19" i="74"/>
  <c r="D19" i="74"/>
  <c r="Q19" i="74" s="1"/>
  <c r="E19" i="74"/>
  <c r="G19" i="74"/>
  <c r="A20" i="74"/>
  <c r="B20" i="74"/>
  <c r="C20" i="74"/>
  <c r="D20" i="74"/>
  <c r="Q20" i="74" s="1"/>
  <c r="E20" i="74"/>
  <c r="G20" i="74"/>
  <c r="A21" i="74"/>
  <c r="B21" i="74"/>
  <c r="C21" i="74"/>
  <c r="D21" i="74"/>
  <c r="Q21" i="74" s="1"/>
  <c r="E21" i="74"/>
  <c r="G21" i="74"/>
  <c r="A22" i="74"/>
  <c r="B22" i="74"/>
  <c r="C22" i="74"/>
  <c r="D22" i="74"/>
  <c r="Q22" i="74" s="1"/>
  <c r="E22" i="74"/>
  <c r="G22" i="74"/>
  <c r="A23" i="74"/>
  <c r="B23" i="74"/>
  <c r="C23" i="74"/>
  <c r="D23" i="74"/>
  <c r="Q23" i="74" s="1"/>
  <c r="E23" i="74"/>
  <c r="G23" i="74"/>
  <c r="A24" i="74"/>
  <c r="B24" i="74"/>
  <c r="C24" i="74"/>
  <c r="D24" i="74"/>
  <c r="Q24" i="74" s="1"/>
  <c r="E24" i="74"/>
  <c r="G24" i="74"/>
  <c r="A25" i="74"/>
  <c r="B25" i="74"/>
  <c r="C25" i="74"/>
  <c r="D25" i="74"/>
  <c r="Q25" i="74" s="1"/>
  <c r="E25" i="74"/>
  <c r="G25" i="74"/>
  <c r="A26" i="74"/>
  <c r="B26" i="74"/>
  <c r="C26" i="74"/>
  <c r="D26" i="74"/>
  <c r="Q26" i="74" s="1"/>
  <c r="E26" i="74"/>
  <c r="G26" i="74"/>
  <c r="A27" i="74"/>
  <c r="B27" i="74"/>
  <c r="C27" i="74"/>
  <c r="D27" i="74"/>
  <c r="Q27" i="74" s="1"/>
  <c r="E27" i="74"/>
  <c r="G27" i="74"/>
  <c r="A28" i="74"/>
  <c r="B28" i="74"/>
  <c r="C28" i="74"/>
  <c r="D28" i="74"/>
  <c r="Q28" i="74" s="1"/>
  <c r="E28" i="74"/>
  <c r="G28" i="74"/>
  <c r="A29" i="74"/>
  <c r="B29" i="74"/>
  <c r="C29" i="74"/>
  <c r="D29" i="74"/>
  <c r="Q29" i="74" s="1"/>
  <c r="E29" i="74"/>
  <c r="G29" i="74"/>
  <c r="A30" i="74"/>
  <c r="B30" i="74"/>
  <c r="C30" i="74"/>
  <c r="D30" i="74"/>
  <c r="Q30" i="74" s="1"/>
  <c r="E30" i="74"/>
  <c r="G30" i="74"/>
  <c r="A31" i="74"/>
  <c r="B31" i="74"/>
  <c r="C31" i="74"/>
  <c r="D31" i="74"/>
  <c r="Q31" i="74" s="1"/>
  <c r="E31" i="74"/>
  <c r="G31" i="74"/>
  <c r="A32" i="74"/>
  <c r="B32" i="74"/>
  <c r="C32" i="74"/>
  <c r="D32" i="74"/>
  <c r="Q32" i="74" s="1"/>
  <c r="E32" i="74"/>
  <c r="G32" i="74"/>
  <c r="A33" i="74"/>
  <c r="B33" i="74"/>
  <c r="C33" i="74"/>
  <c r="D33" i="74"/>
  <c r="Q33" i="74" s="1"/>
  <c r="E33" i="74"/>
  <c r="G33" i="74"/>
  <c r="A34" i="74"/>
  <c r="B34" i="74"/>
  <c r="C34" i="74"/>
  <c r="D34" i="74"/>
  <c r="Q34" i="74" s="1"/>
  <c r="E34" i="74"/>
  <c r="G34" i="74"/>
  <c r="A35" i="74"/>
  <c r="B35" i="74"/>
  <c r="C35" i="74"/>
  <c r="D35" i="74"/>
  <c r="Q35" i="74" s="1"/>
  <c r="E35" i="74"/>
  <c r="G35" i="74"/>
  <c r="A36" i="74"/>
  <c r="B36" i="74"/>
  <c r="C36" i="74"/>
  <c r="D36" i="74"/>
  <c r="Q36" i="74" s="1"/>
  <c r="E36" i="74"/>
  <c r="G36" i="74"/>
  <c r="A37" i="74"/>
  <c r="B37" i="74"/>
  <c r="C37" i="74"/>
  <c r="D37" i="74"/>
  <c r="Q37" i="74" s="1"/>
  <c r="E37" i="74"/>
  <c r="G37" i="74"/>
  <c r="A38" i="74"/>
  <c r="B38" i="74"/>
  <c r="C38" i="74"/>
  <c r="D38" i="74"/>
  <c r="Q38" i="74" s="1"/>
  <c r="E38" i="74"/>
  <c r="G38" i="74"/>
  <c r="A39" i="74"/>
  <c r="B39" i="74"/>
  <c r="C39" i="74"/>
  <c r="D39" i="74"/>
  <c r="Q39" i="74" s="1"/>
  <c r="E39" i="74"/>
  <c r="G39" i="74"/>
  <c r="A40" i="74"/>
  <c r="B40" i="74"/>
  <c r="C40" i="74"/>
  <c r="D40" i="74"/>
  <c r="Q40" i="74" s="1"/>
  <c r="E40" i="74"/>
  <c r="G40" i="74"/>
  <c r="A41" i="74"/>
  <c r="B41" i="74"/>
  <c r="C41" i="74"/>
  <c r="D41" i="74"/>
  <c r="Q41" i="74" s="1"/>
  <c r="E41" i="74"/>
  <c r="G41" i="74"/>
  <c r="A42" i="74"/>
  <c r="B42" i="74"/>
  <c r="C42" i="74"/>
  <c r="D42" i="74"/>
  <c r="Q42" i="74" s="1"/>
  <c r="E42" i="74"/>
  <c r="G42" i="74"/>
  <c r="A43" i="74"/>
  <c r="B43" i="74"/>
  <c r="C43" i="74"/>
  <c r="D43" i="74"/>
  <c r="Q43" i="74" s="1"/>
  <c r="E43" i="74"/>
  <c r="G43" i="74"/>
  <c r="A44" i="74"/>
  <c r="B44" i="74"/>
  <c r="C44" i="74"/>
  <c r="D44" i="74"/>
  <c r="Q44" i="74" s="1"/>
  <c r="E44" i="74"/>
  <c r="G44" i="74"/>
  <c r="A45" i="74"/>
  <c r="B45" i="74"/>
  <c r="C45" i="74"/>
  <c r="D45" i="74"/>
  <c r="Q45" i="74" s="1"/>
  <c r="E45" i="74"/>
  <c r="G45" i="74"/>
  <c r="A46" i="74"/>
  <c r="B46" i="74"/>
  <c r="C46" i="74"/>
  <c r="D46" i="74"/>
  <c r="Q46" i="74" s="1"/>
  <c r="E46" i="74"/>
  <c r="G46" i="74"/>
  <c r="A47" i="74"/>
  <c r="B47" i="74"/>
  <c r="C47" i="74"/>
  <c r="D47" i="74"/>
  <c r="Q47" i="74" s="1"/>
  <c r="E47" i="74"/>
  <c r="G47" i="74"/>
  <c r="A48" i="74"/>
  <c r="B48" i="74"/>
  <c r="C48" i="74"/>
  <c r="D48" i="74"/>
  <c r="Q48" i="74" s="1"/>
  <c r="E48" i="74"/>
  <c r="G48" i="74"/>
  <c r="A49" i="74"/>
  <c r="B49" i="74"/>
  <c r="C49" i="74"/>
  <c r="D49" i="74"/>
  <c r="Q49" i="74" s="1"/>
  <c r="E49" i="74"/>
  <c r="G49" i="74"/>
  <c r="A50" i="74"/>
  <c r="B50" i="74"/>
  <c r="C50" i="74"/>
  <c r="D50" i="74"/>
  <c r="Q50" i="74" s="1"/>
  <c r="E50" i="74"/>
  <c r="G50" i="74"/>
  <c r="A51" i="74"/>
  <c r="B51" i="74"/>
  <c r="C51" i="74"/>
  <c r="D51" i="74"/>
  <c r="Q51" i="74" s="1"/>
  <c r="E51" i="74"/>
  <c r="G51" i="74"/>
  <c r="A52" i="74"/>
  <c r="B52" i="74"/>
  <c r="C52" i="74"/>
  <c r="D52" i="74"/>
  <c r="Q52" i="74" s="1"/>
  <c r="E52" i="74"/>
  <c r="G52" i="74"/>
  <c r="A53" i="74"/>
  <c r="B53" i="74"/>
  <c r="C53" i="74"/>
  <c r="D53" i="74"/>
  <c r="Q53" i="74" s="1"/>
  <c r="E53" i="74"/>
  <c r="G53" i="74"/>
  <c r="A54" i="74"/>
  <c r="B54" i="74"/>
  <c r="C54" i="74"/>
  <c r="D54" i="74"/>
  <c r="Q54" i="74" s="1"/>
  <c r="E54" i="74"/>
  <c r="G54" i="74"/>
  <c r="A55" i="74"/>
  <c r="B55" i="74"/>
  <c r="C55" i="74"/>
  <c r="D55" i="74"/>
  <c r="Q55" i="74" s="1"/>
  <c r="E55" i="74"/>
  <c r="G55" i="74"/>
  <c r="A56" i="74"/>
  <c r="B56" i="74"/>
  <c r="C56" i="74"/>
  <c r="D56" i="74"/>
  <c r="Q56" i="74" s="1"/>
  <c r="E56" i="74"/>
  <c r="G56" i="74"/>
  <c r="A57" i="74"/>
  <c r="B57" i="74"/>
  <c r="C57" i="74"/>
  <c r="D57" i="74"/>
  <c r="Q57" i="74" s="1"/>
  <c r="E57" i="74"/>
  <c r="G57" i="74"/>
  <c r="A58" i="74"/>
  <c r="B58" i="74"/>
  <c r="C58" i="74"/>
  <c r="D58" i="74"/>
  <c r="Q58" i="74" s="1"/>
  <c r="E58" i="74"/>
  <c r="G58" i="74"/>
  <c r="A59" i="74"/>
  <c r="B59" i="74"/>
  <c r="C59" i="74"/>
  <c r="D59" i="74"/>
  <c r="Q59" i="74" s="1"/>
  <c r="E59" i="74"/>
  <c r="G59" i="74"/>
  <c r="A60" i="74"/>
  <c r="B60" i="74"/>
  <c r="C60" i="74"/>
  <c r="D60" i="74"/>
  <c r="Q60" i="74" s="1"/>
  <c r="E60" i="74"/>
  <c r="G60" i="74"/>
  <c r="A61" i="74"/>
  <c r="B61" i="74"/>
  <c r="C61" i="74"/>
  <c r="D61" i="74"/>
  <c r="Q61" i="74" s="1"/>
  <c r="E61" i="74"/>
  <c r="G61" i="74"/>
  <c r="A62" i="74"/>
  <c r="B62" i="74"/>
  <c r="C62" i="74"/>
  <c r="D62" i="74"/>
  <c r="Q62" i="74" s="1"/>
  <c r="E62" i="74"/>
  <c r="G62" i="74"/>
  <c r="A63" i="74"/>
  <c r="B63" i="74"/>
  <c r="C63" i="74"/>
  <c r="D63" i="74"/>
  <c r="Q63" i="74" s="1"/>
  <c r="E63" i="74"/>
  <c r="G63" i="74"/>
  <c r="A64" i="74"/>
  <c r="B64" i="74"/>
  <c r="C64" i="74"/>
  <c r="D64" i="74"/>
  <c r="Q64" i="74" s="1"/>
  <c r="E64" i="74"/>
  <c r="G64" i="74"/>
  <c r="A65" i="74"/>
  <c r="B65" i="74"/>
  <c r="C65" i="74"/>
  <c r="D65" i="74"/>
  <c r="Q65" i="74" s="1"/>
  <c r="E65" i="74"/>
  <c r="G65" i="74"/>
  <c r="A66" i="74"/>
  <c r="B66" i="74"/>
  <c r="C66" i="74"/>
  <c r="D66" i="74"/>
  <c r="Q66" i="74" s="1"/>
  <c r="E66" i="74"/>
  <c r="G66" i="74"/>
  <c r="A67" i="74"/>
  <c r="B67" i="74"/>
  <c r="C67" i="74"/>
  <c r="D67" i="74"/>
  <c r="Q67" i="74" s="1"/>
  <c r="E67" i="74"/>
  <c r="G67" i="74"/>
  <c r="A68" i="74"/>
  <c r="B68" i="74"/>
  <c r="C68" i="74"/>
  <c r="D68" i="74"/>
  <c r="Q68" i="74" s="1"/>
  <c r="E68" i="74"/>
  <c r="G68" i="74"/>
  <c r="A85" i="74"/>
  <c r="B85" i="74"/>
  <c r="C85" i="74"/>
  <c r="D85" i="74"/>
  <c r="Q85" i="74" s="1"/>
  <c r="E85" i="74"/>
  <c r="G85" i="74"/>
  <c r="A87" i="74"/>
  <c r="B87" i="74"/>
  <c r="C87" i="74"/>
  <c r="D87" i="74"/>
  <c r="Q87" i="74" s="1"/>
  <c r="E87" i="74"/>
  <c r="G87" i="74"/>
  <c r="A88" i="74"/>
  <c r="B88" i="74"/>
  <c r="C88" i="74"/>
  <c r="D88" i="74"/>
  <c r="Q88" i="74" s="1"/>
  <c r="E88" i="74"/>
  <c r="G88" i="74"/>
  <c r="A89" i="74"/>
  <c r="B89" i="74"/>
  <c r="C89" i="74"/>
  <c r="D89" i="74"/>
  <c r="Q89" i="74" s="1"/>
  <c r="E89" i="74"/>
  <c r="G89" i="74"/>
  <c r="A113" i="74"/>
  <c r="B113" i="74"/>
  <c r="C113" i="74"/>
  <c r="D113" i="74"/>
  <c r="Q113" i="74" s="1"/>
  <c r="E113" i="74"/>
  <c r="G113" i="74"/>
  <c r="A115" i="74"/>
  <c r="B115" i="74"/>
  <c r="C115" i="74"/>
  <c r="D115" i="74"/>
  <c r="Q115" i="74" s="1"/>
  <c r="E115" i="74"/>
  <c r="G115" i="74"/>
  <c r="A116" i="74"/>
  <c r="B116" i="74"/>
  <c r="C116" i="74"/>
  <c r="D116" i="74"/>
  <c r="Q116" i="74" s="1"/>
  <c r="E116" i="74"/>
  <c r="G116" i="74"/>
  <c r="A117" i="74"/>
  <c r="B117" i="74"/>
  <c r="C117" i="74"/>
  <c r="D117" i="74"/>
  <c r="Q117" i="74" s="1"/>
  <c r="E117" i="74"/>
  <c r="G117" i="74"/>
  <c r="A118" i="74"/>
  <c r="B118" i="74"/>
  <c r="C118" i="74"/>
  <c r="D118" i="74"/>
  <c r="Q118" i="74" s="1"/>
  <c r="E118" i="74"/>
  <c r="G118" i="74"/>
  <c r="A119" i="74"/>
  <c r="B119" i="74"/>
  <c r="C119" i="74"/>
  <c r="D119" i="74"/>
  <c r="Q119" i="74" s="1"/>
  <c r="E119" i="74"/>
  <c r="G119" i="74"/>
  <c r="A120" i="74"/>
  <c r="B120" i="74"/>
  <c r="C120" i="74"/>
  <c r="D120" i="74"/>
  <c r="Q120" i="74" s="1"/>
  <c r="E120" i="74"/>
  <c r="G120" i="74"/>
  <c r="A121" i="74"/>
  <c r="B121" i="74"/>
  <c r="C121" i="74"/>
  <c r="D121" i="74"/>
  <c r="Q121" i="74" s="1"/>
  <c r="E121" i="74"/>
  <c r="G121" i="74"/>
  <c r="A122" i="74"/>
  <c r="B122" i="74"/>
  <c r="C122" i="74"/>
  <c r="D122" i="74"/>
  <c r="Q122" i="74" s="1"/>
  <c r="E122" i="74"/>
  <c r="G122" i="74"/>
  <c r="A138" i="74"/>
  <c r="B138" i="74"/>
  <c r="C138" i="74"/>
  <c r="D138" i="74"/>
  <c r="Q138" i="74" s="1"/>
  <c r="E138" i="74"/>
  <c r="G138" i="74"/>
  <c r="A140" i="74"/>
  <c r="B140" i="74"/>
  <c r="C140" i="74"/>
  <c r="D140" i="74"/>
  <c r="Q140" i="74" s="1"/>
  <c r="E140" i="74"/>
  <c r="G140" i="74"/>
  <c r="A141" i="74"/>
  <c r="B141" i="74"/>
  <c r="C141" i="74"/>
  <c r="D141" i="74"/>
  <c r="Q141" i="74" s="1"/>
  <c r="E141" i="74"/>
  <c r="G141" i="74"/>
  <c r="A142" i="74"/>
  <c r="B142" i="74"/>
  <c r="C142" i="74"/>
  <c r="D142" i="74"/>
  <c r="Q142" i="74" s="1"/>
  <c r="E142" i="74"/>
  <c r="G142" i="74"/>
  <c r="A151" i="74"/>
  <c r="B151" i="74"/>
  <c r="C151" i="74"/>
  <c r="D151" i="74"/>
  <c r="Q151" i="74" s="1"/>
  <c r="E151" i="74"/>
  <c r="G151" i="74"/>
  <c r="A153" i="74"/>
  <c r="B153" i="74"/>
  <c r="C153" i="74"/>
  <c r="D153" i="74"/>
  <c r="Q153" i="74" s="1"/>
  <c r="E153" i="74"/>
  <c r="G153" i="74"/>
  <c r="A162" i="74"/>
  <c r="B162" i="74"/>
  <c r="C162" i="74"/>
  <c r="D162" i="74"/>
  <c r="Q162" i="74" s="1"/>
  <c r="E162" i="74"/>
  <c r="G162" i="74"/>
  <c r="A164" i="74"/>
  <c r="B164" i="74"/>
  <c r="C164" i="74"/>
  <c r="D164" i="74"/>
  <c r="Q164" i="74" s="1"/>
  <c r="E164" i="74"/>
  <c r="G164" i="74"/>
  <c r="A172" i="74"/>
  <c r="B172" i="74"/>
  <c r="C172" i="74"/>
  <c r="D172" i="74"/>
  <c r="Q172" i="74" s="1"/>
  <c r="E172" i="74"/>
  <c r="G172" i="74"/>
  <c r="A175" i="74"/>
  <c r="B175" i="74"/>
  <c r="C175" i="74"/>
  <c r="D175" i="74"/>
  <c r="Q175" i="74" s="1"/>
  <c r="E175" i="74"/>
  <c r="G175" i="74"/>
  <c r="G5" i="74"/>
  <c r="E5" i="74"/>
  <c r="D5" i="74"/>
  <c r="Q5" i="74" s="1"/>
  <c r="C5" i="74"/>
  <c r="B5" i="74"/>
  <c r="A5" i="74"/>
  <c r="A6" i="73"/>
  <c r="B6" i="73"/>
  <c r="C6" i="73"/>
  <c r="D6" i="73"/>
  <c r="Q6" i="73" s="1"/>
  <c r="E6" i="73"/>
  <c r="G6" i="73"/>
  <c r="A7" i="73"/>
  <c r="B7" i="73"/>
  <c r="C7" i="73"/>
  <c r="D7" i="73"/>
  <c r="Q7" i="73" s="1"/>
  <c r="E7" i="73"/>
  <c r="G7" i="73"/>
  <c r="A14" i="73"/>
  <c r="B14" i="73"/>
  <c r="C14" i="73"/>
  <c r="D14" i="73"/>
  <c r="Q14" i="73" s="1"/>
  <c r="E14" i="73"/>
  <c r="G14" i="73"/>
  <c r="A15" i="73"/>
  <c r="B15" i="73"/>
  <c r="C15" i="73"/>
  <c r="D15" i="73"/>
  <c r="Q15" i="73" s="1"/>
  <c r="E15" i="73"/>
  <c r="G15" i="73"/>
  <c r="A16" i="73"/>
  <c r="B16" i="73"/>
  <c r="C16" i="73"/>
  <c r="D16" i="73"/>
  <c r="Q16" i="73" s="1"/>
  <c r="E16" i="73"/>
  <c r="G16" i="73"/>
  <c r="A17" i="73"/>
  <c r="B17" i="73"/>
  <c r="C17" i="73"/>
  <c r="D17" i="73"/>
  <c r="Q17" i="73" s="1"/>
  <c r="E17" i="73"/>
  <c r="G17" i="73"/>
  <c r="A18" i="73"/>
  <c r="B18" i="73"/>
  <c r="C18" i="73"/>
  <c r="D18" i="73"/>
  <c r="Q18" i="73" s="1"/>
  <c r="E18" i="73"/>
  <c r="G18" i="73"/>
  <c r="A19" i="73"/>
  <c r="B19" i="73"/>
  <c r="C19" i="73"/>
  <c r="D19" i="73"/>
  <c r="Q19" i="73" s="1"/>
  <c r="E19" i="73"/>
  <c r="G19" i="73"/>
  <c r="A20" i="73"/>
  <c r="B20" i="73"/>
  <c r="C20" i="73"/>
  <c r="D20" i="73"/>
  <c r="Q20" i="73" s="1"/>
  <c r="E20" i="73"/>
  <c r="G20" i="73"/>
  <c r="A21" i="73"/>
  <c r="B21" i="73"/>
  <c r="C21" i="73"/>
  <c r="D21" i="73"/>
  <c r="Q21" i="73" s="1"/>
  <c r="E21" i="73"/>
  <c r="G21" i="73"/>
  <c r="A22" i="73"/>
  <c r="B22" i="73"/>
  <c r="C22" i="73"/>
  <c r="D22" i="73"/>
  <c r="Q22" i="73" s="1"/>
  <c r="E22" i="73"/>
  <c r="G22" i="73"/>
  <c r="A23" i="73"/>
  <c r="B23" i="73"/>
  <c r="C23" i="73"/>
  <c r="D23" i="73"/>
  <c r="Q23" i="73" s="1"/>
  <c r="E23" i="73"/>
  <c r="G23" i="73"/>
  <c r="A24" i="73"/>
  <c r="B24" i="73"/>
  <c r="C24" i="73"/>
  <c r="D24" i="73"/>
  <c r="Q24" i="73" s="1"/>
  <c r="E24" i="73"/>
  <c r="G24" i="73"/>
  <c r="A25" i="73"/>
  <c r="B25" i="73"/>
  <c r="C25" i="73"/>
  <c r="D25" i="73"/>
  <c r="Q25" i="73" s="1"/>
  <c r="E25" i="73"/>
  <c r="G25" i="73"/>
  <c r="A26" i="73"/>
  <c r="B26" i="73"/>
  <c r="C26" i="73"/>
  <c r="D26" i="73"/>
  <c r="Q26" i="73" s="1"/>
  <c r="E26" i="73"/>
  <c r="G26" i="73"/>
  <c r="A27" i="73"/>
  <c r="B27" i="73"/>
  <c r="C27" i="73"/>
  <c r="D27" i="73"/>
  <c r="Q27" i="73" s="1"/>
  <c r="E27" i="73"/>
  <c r="G27" i="73"/>
  <c r="A28" i="73"/>
  <c r="B28" i="73"/>
  <c r="C28" i="73"/>
  <c r="D28" i="73"/>
  <c r="Q28" i="73" s="1"/>
  <c r="E28" i="73"/>
  <c r="G28" i="73"/>
  <c r="A29" i="73"/>
  <c r="B29" i="73"/>
  <c r="C29" i="73"/>
  <c r="D29" i="73"/>
  <c r="Q29" i="73" s="1"/>
  <c r="E29" i="73"/>
  <c r="G29" i="73"/>
  <c r="A30" i="73"/>
  <c r="B30" i="73"/>
  <c r="C30" i="73"/>
  <c r="D30" i="73"/>
  <c r="Q30" i="73" s="1"/>
  <c r="E30" i="73"/>
  <c r="G30" i="73"/>
  <c r="A31" i="73"/>
  <c r="B31" i="73"/>
  <c r="C31" i="73"/>
  <c r="D31" i="73"/>
  <c r="Q31" i="73" s="1"/>
  <c r="E31" i="73"/>
  <c r="G31" i="73"/>
  <c r="A32" i="73"/>
  <c r="B32" i="73"/>
  <c r="C32" i="73"/>
  <c r="D32" i="73"/>
  <c r="Q32" i="73" s="1"/>
  <c r="E32" i="73"/>
  <c r="G32" i="73"/>
  <c r="A33" i="73"/>
  <c r="B33" i="73"/>
  <c r="C33" i="73"/>
  <c r="D33" i="73"/>
  <c r="Q33" i="73" s="1"/>
  <c r="E33" i="73"/>
  <c r="G33" i="73"/>
  <c r="A34" i="73"/>
  <c r="B34" i="73"/>
  <c r="C34" i="73"/>
  <c r="D34" i="73"/>
  <c r="Q34" i="73" s="1"/>
  <c r="E34" i="73"/>
  <c r="G34" i="73"/>
  <c r="A35" i="73"/>
  <c r="B35" i="73"/>
  <c r="C35" i="73"/>
  <c r="D35" i="73"/>
  <c r="Q35" i="73" s="1"/>
  <c r="E35" i="73"/>
  <c r="G35" i="73"/>
  <c r="A36" i="73"/>
  <c r="B36" i="73"/>
  <c r="C36" i="73"/>
  <c r="D36" i="73"/>
  <c r="Q36" i="73" s="1"/>
  <c r="E36" i="73"/>
  <c r="G36" i="73"/>
  <c r="A37" i="73"/>
  <c r="B37" i="73"/>
  <c r="C37" i="73"/>
  <c r="D37" i="73"/>
  <c r="Q37" i="73" s="1"/>
  <c r="E37" i="73"/>
  <c r="G37" i="73"/>
  <c r="A38" i="73"/>
  <c r="B38" i="73"/>
  <c r="C38" i="73"/>
  <c r="D38" i="73"/>
  <c r="Q38" i="73" s="1"/>
  <c r="E38" i="73"/>
  <c r="G38" i="73"/>
  <c r="A39" i="73"/>
  <c r="B39" i="73"/>
  <c r="C39" i="73"/>
  <c r="D39" i="73"/>
  <c r="Q39" i="73" s="1"/>
  <c r="E39" i="73"/>
  <c r="G39" i="73"/>
  <c r="A40" i="73"/>
  <c r="B40" i="73"/>
  <c r="C40" i="73"/>
  <c r="D40" i="73"/>
  <c r="Q40" i="73" s="1"/>
  <c r="E40" i="73"/>
  <c r="G40" i="73"/>
  <c r="A41" i="73"/>
  <c r="B41" i="73"/>
  <c r="C41" i="73"/>
  <c r="D41" i="73"/>
  <c r="Q41" i="73" s="1"/>
  <c r="E41" i="73"/>
  <c r="G41" i="73"/>
  <c r="A42" i="73"/>
  <c r="B42" i="73"/>
  <c r="C42" i="73"/>
  <c r="D42" i="73"/>
  <c r="Q42" i="73" s="1"/>
  <c r="E42" i="73"/>
  <c r="G42" i="73"/>
  <c r="A43" i="73"/>
  <c r="B43" i="73"/>
  <c r="C43" i="73"/>
  <c r="D43" i="73"/>
  <c r="Q43" i="73" s="1"/>
  <c r="E43" i="73"/>
  <c r="G43" i="73"/>
  <c r="A44" i="73"/>
  <c r="B44" i="73"/>
  <c r="C44" i="73"/>
  <c r="D44" i="73"/>
  <c r="Q44" i="73" s="1"/>
  <c r="E44" i="73"/>
  <c r="G44" i="73"/>
  <c r="A45" i="73"/>
  <c r="B45" i="73"/>
  <c r="C45" i="73"/>
  <c r="D45" i="73"/>
  <c r="Q45" i="73" s="1"/>
  <c r="E45" i="73"/>
  <c r="G45" i="73"/>
  <c r="A46" i="73"/>
  <c r="B46" i="73"/>
  <c r="C46" i="73"/>
  <c r="D46" i="73"/>
  <c r="Q46" i="73" s="1"/>
  <c r="E46" i="73"/>
  <c r="G46" i="73"/>
  <c r="A47" i="73"/>
  <c r="B47" i="73"/>
  <c r="C47" i="73"/>
  <c r="D47" i="73"/>
  <c r="Q47" i="73" s="1"/>
  <c r="E47" i="73"/>
  <c r="G47" i="73"/>
  <c r="A48" i="73"/>
  <c r="B48" i="73"/>
  <c r="C48" i="73"/>
  <c r="D48" i="73"/>
  <c r="Q48" i="73" s="1"/>
  <c r="E48" i="73"/>
  <c r="G48" i="73"/>
  <c r="A49" i="73"/>
  <c r="B49" i="73"/>
  <c r="C49" i="73"/>
  <c r="D49" i="73"/>
  <c r="Q49" i="73" s="1"/>
  <c r="E49" i="73"/>
  <c r="G49" i="73"/>
  <c r="A50" i="73"/>
  <c r="B50" i="73"/>
  <c r="C50" i="73"/>
  <c r="D50" i="73"/>
  <c r="Q50" i="73" s="1"/>
  <c r="E50" i="73"/>
  <c r="G50" i="73"/>
  <c r="A51" i="73"/>
  <c r="B51" i="73"/>
  <c r="C51" i="73"/>
  <c r="D51" i="73"/>
  <c r="Q51" i="73" s="1"/>
  <c r="E51" i="73"/>
  <c r="G51" i="73"/>
  <c r="A52" i="73"/>
  <c r="B52" i="73"/>
  <c r="C52" i="73"/>
  <c r="D52" i="73"/>
  <c r="Q52" i="73" s="1"/>
  <c r="E52" i="73"/>
  <c r="G52" i="73"/>
  <c r="A53" i="73"/>
  <c r="B53" i="73"/>
  <c r="C53" i="73"/>
  <c r="D53" i="73"/>
  <c r="Q53" i="73" s="1"/>
  <c r="E53" i="73"/>
  <c r="G53" i="73"/>
  <c r="A54" i="73"/>
  <c r="B54" i="73"/>
  <c r="C54" i="73"/>
  <c r="D54" i="73"/>
  <c r="Q54" i="73" s="1"/>
  <c r="E54" i="73"/>
  <c r="G54" i="73"/>
  <c r="A55" i="73"/>
  <c r="B55" i="73"/>
  <c r="C55" i="73"/>
  <c r="D55" i="73"/>
  <c r="Q55" i="73" s="1"/>
  <c r="E55" i="73"/>
  <c r="G55" i="73"/>
  <c r="A56" i="73"/>
  <c r="B56" i="73"/>
  <c r="C56" i="73"/>
  <c r="D56" i="73"/>
  <c r="Q56" i="73" s="1"/>
  <c r="E56" i="73"/>
  <c r="G56" i="73"/>
  <c r="A57" i="73"/>
  <c r="B57" i="73"/>
  <c r="C57" i="73"/>
  <c r="D57" i="73"/>
  <c r="Q57" i="73" s="1"/>
  <c r="E57" i="73"/>
  <c r="G57" i="73"/>
  <c r="A58" i="73"/>
  <c r="B58" i="73"/>
  <c r="C58" i="73"/>
  <c r="D58" i="73"/>
  <c r="Q58" i="73" s="1"/>
  <c r="E58" i="73"/>
  <c r="G58" i="73"/>
  <c r="A59" i="73"/>
  <c r="B59" i="73"/>
  <c r="C59" i="73"/>
  <c r="D59" i="73"/>
  <c r="Q59" i="73" s="1"/>
  <c r="E59" i="73"/>
  <c r="G59" i="73"/>
  <c r="A60" i="73"/>
  <c r="B60" i="73"/>
  <c r="C60" i="73"/>
  <c r="D60" i="73"/>
  <c r="Q60" i="73" s="1"/>
  <c r="E60" i="73"/>
  <c r="G60" i="73"/>
  <c r="A61" i="73"/>
  <c r="B61" i="73"/>
  <c r="C61" i="73"/>
  <c r="D61" i="73"/>
  <c r="Q61" i="73" s="1"/>
  <c r="E61" i="73"/>
  <c r="G61" i="73"/>
  <c r="A62" i="73"/>
  <c r="B62" i="73"/>
  <c r="C62" i="73"/>
  <c r="D62" i="73"/>
  <c r="Q62" i="73" s="1"/>
  <c r="E62" i="73"/>
  <c r="G62" i="73"/>
  <c r="A63" i="73"/>
  <c r="B63" i="73"/>
  <c r="C63" i="73"/>
  <c r="D63" i="73"/>
  <c r="Q63" i="73" s="1"/>
  <c r="E63" i="73"/>
  <c r="G63" i="73"/>
  <c r="A64" i="73"/>
  <c r="B64" i="73"/>
  <c r="C64" i="73"/>
  <c r="D64" i="73"/>
  <c r="Q64" i="73" s="1"/>
  <c r="E64" i="73"/>
  <c r="G64" i="73"/>
  <c r="A65" i="73"/>
  <c r="B65" i="73"/>
  <c r="C65" i="73"/>
  <c r="D65" i="73"/>
  <c r="Q65" i="73" s="1"/>
  <c r="E65" i="73"/>
  <c r="G65" i="73"/>
  <c r="A66" i="73"/>
  <c r="B66" i="73"/>
  <c r="C66" i="73"/>
  <c r="D66" i="73"/>
  <c r="Q66" i="73" s="1"/>
  <c r="E66" i="73"/>
  <c r="G66" i="73"/>
  <c r="A67" i="73"/>
  <c r="B67" i="73"/>
  <c r="C67" i="73"/>
  <c r="D67" i="73"/>
  <c r="Q67" i="73" s="1"/>
  <c r="E67" i="73"/>
  <c r="G67" i="73"/>
  <c r="A68" i="73"/>
  <c r="B68" i="73"/>
  <c r="C68" i="73"/>
  <c r="D68" i="73"/>
  <c r="Q68" i="73" s="1"/>
  <c r="E68" i="73"/>
  <c r="G68" i="73"/>
  <c r="A85" i="73"/>
  <c r="B85" i="73"/>
  <c r="C85" i="73"/>
  <c r="D85" i="73"/>
  <c r="Q85" i="73" s="1"/>
  <c r="E85" i="73"/>
  <c r="G85" i="73"/>
  <c r="A87" i="73"/>
  <c r="B87" i="73"/>
  <c r="C87" i="73"/>
  <c r="D87" i="73"/>
  <c r="Q87" i="73" s="1"/>
  <c r="E87" i="73"/>
  <c r="G87" i="73"/>
  <c r="A88" i="73"/>
  <c r="B88" i="73"/>
  <c r="C88" i="73"/>
  <c r="D88" i="73"/>
  <c r="Q88" i="73" s="1"/>
  <c r="E88" i="73"/>
  <c r="G88" i="73"/>
  <c r="A89" i="73"/>
  <c r="B89" i="73"/>
  <c r="C89" i="73"/>
  <c r="D89" i="73"/>
  <c r="Q89" i="73" s="1"/>
  <c r="E89" i="73"/>
  <c r="G89" i="73"/>
  <c r="A113" i="73"/>
  <c r="B113" i="73"/>
  <c r="C113" i="73"/>
  <c r="D113" i="73"/>
  <c r="Q113" i="73" s="1"/>
  <c r="E113" i="73"/>
  <c r="G113" i="73"/>
  <c r="A115" i="73"/>
  <c r="B115" i="73"/>
  <c r="C115" i="73"/>
  <c r="D115" i="73"/>
  <c r="Q115" i="73" s="1"/>
  <c r="E115" i="73"/>
  <c r="G115" i="73"/>
  <c r="A116" i="73"/>
  <c r="B116" i="73"/>
  <c r="C116" i="73"/>
  <c r="D116" i="73"/>
  <c r="Q116" i="73" s="1"/>
  <c r="E116" i="73"/>
  <c r="G116" i="73"/>
  <c r="A117" i="73"/>
  <c r="B117" i="73"/>
  <c r="C117" i="73"/>
  <c r="D117" i="73"/>
  <c r="Q117" i="73" s="1"/>
  <c r="E117" i="73"/>
  <c r="G117" i="73"/>
  <c r="A118" i="73"/>
  <c r="B118" i="73"/>
  <c r="C118" i="73"/>
  <c r="D118" i="73"/>
  <c r="Q118" i="73" s="1"/>
  <c r="E118" i="73"/>
  <c r="G118" i="73"/>
  <c r="A119" i="73"/>
  <c r="B119" i="73"/>
  <c r="C119" i="73"/>
  <c r="D119" i="73"/>
  <c r="Q119" i="73" s="1"/>
  <c r="E119" i="73"/>
  <c r="G119" i="73"/>
  <c r="A120" i="73"/>
  <c r="B120" i="73"/>
  <c r="C120" i="73"/>
  <c r="D120" i="73"/>
  <c r="Q120" i="73" s="1"/>
  <c r="E120" i="73"/>
  <c r="G120" i="73"/>
  <c r="A121" i="73"/>
  <c r="B121" i="73"/>
  <c r="C121" i="73"/>
  <c r="D121" i="73"/>
  <c r="Q121" i="73" s="1"/>
  <c r="E121" i="73"/>
  <c r="G121" i="73"/>
  <c r="A122" i="73"/>
  <c r="B122" i="73"/>
  <c r="C122" i="73"/>
  <c r="D122" i="73"/>
  <c r="Q122" i="73" s="1"/>
  <c r="E122" i="73"/>
  <c r="G122" i="73"/>
  <c r="A138" i="73"/>
  <c r="B138" i="73"/>
  <c r="C138" i="73"/>
  <c r="D138" i="73"/>
  <c r="Q138" i="73" s="1"/>
  <c r="E138" i="73"/>
  <c r="G138" i="73"/>
  <c r="A140" i="73"/>
  <c r="B140" i="73"/>
  <c r="C140" i="73"/>
  <c r="D140" i="73"/>
  <c r="Q140" i="73" s="1"/>
  <c r="E140" i="73"/>
  <c r="G140" i="73"/>
  <c r="A141" i="73"/>
  <c r="B141" i="73"/>
  <c r="C141" i="73"/>
  <c r="D141" i="73"/>
  <c r="Q141" i="73" s="1"/>
  <c r="E141" i="73"/>
  <c r="G141" i="73"/>
  <c r="A142" i="73"/>
  <c r="B142" i="73"/>
  <c r="C142" i="73"/>
  <c r="D142" i="73"/>
  <c r="Q142" i="73" s="1"/>
  <c r="E142" i="73"/>
  <c r="G142" i="73"/>
  <c r="A151" i="73"/>
  <c r="B151" i="73"/>
  <c r="C151" i="73"/>
  <c r="D151" i="73"/>
  <c r="Q151" i="73" s="1"/>
  <c r="E151" i="73"/>
  <c r="G151" i="73"/>
  <c r="A153" i="73"/>
  <c r="B153" i="73"/>
  <c r="C153" i="73"/>
  <c r="D153" i="73"/>
  <c r="Q153" i="73" s="1"/>
  <c r="E153" i="73"/>
  <c r="G153" i="73"/>
  <c r="A162" i="73"/>
  <c r="B162" i="73"/>
  <c r="C162" i="73"/>
  <c r="D162" i="73"/>
  <c r="Q162" i="73" s="1"/>
  <c r="E162" i="73"/>
  <c r="G162" i="73"/>
  <c r="A164" i="73"/>
  <c r="B164" i="73"/>
  <c r="C164" i="73"/>
  <c r="D164" i="73"/>
  <c r="Q164" i="73" s="1"/>
  <c r="E164" i="73"/>
  <c r="G164" i="73"/>
  <c r="A168" i="73"/>
  <c r="B168" i="73"/>
  <c r="C168" i="73"/>
  <c r="D168" i="73"/>
  <c r="Q168" i="73" s="1"/>
  <c r="E168" i="73"/>
  <c r="G168" i="73"/>
  <c r="A172" i="73"/>
  <c r="B172" i="73"/>
  <c r="C172" i="73"/>
  <c r="D172" i="73"/>
  <c r="Q172" i="73" s="1"/>
  <c r="E172" i="73"/>
  <c r="G172" i="73"/>
  <c r="A175" i="73"/>
  <c r="B175" i="73"/>
  <c r="C175" i="73"/>
  <c r="D175" i="73"/>
  <c r="Q175" i="73" s="1"/>
  <c r="E175" i="73"/>
  <c r="G175" i="73"/>
  <c r="G5" i="73"/>
  <c r="E5" i="73"/>
  <c r="D5" i="73"/>
  <c r="Q5" i="73" s="1"/>
  <c r="C5" i="73"/>
  <c r="B5" i="73"/>
  <c r="A5" i="73"/>
  <c r="K6" i="72"/>
  <c r="K7" i="72"/>
  <c r="K14" i="72"/>
  <c r="K15" i="72"/>
  <c r="K16" i="72"/>
  <c r="K17" i="72"/>
  <c r="K18" i="72"/>
  <c r="K19" i="72"/>
  <c r="K20" i="72"/>
  <c r="K21" i="72"/>
  <c r="K22" i="72"/>
  <c r="K23" i="72"/>
  <c r="K24" i="72"/>
  <c r="K25" i="72"/>
  <c r="K26" i="72"/>
  <c r="K27" i="72"/>
  <c r="K28" i="72"/>
  <c r="K29" i="72"/>
  <c r="K30" i="72"/>
  <c r="K31" i="72"/>
  <c r="K32" i="72"/>
  <c r="K33" i="72"/>
  <c r="K34" i="72"/>
  <c r="K35" i="72"/>
  <c r="K36" i="72"/>
  <c r="K37" i="72"/>
  <c r="K38" i="72"/>
  <c r="K39" i="72"/>
  <c r="K40" i="72"/>
  <c r="K41" i="72"/>
  <c r="K42" i="72"/>
  <c r="K43" i="72"/>
  <c r="K44" i="72"/>
  <c r="K45" i="72"/>
  <c r="K46" i="72"/>
  <c r="K47" i="72"/>
  <c r="K48" i="72"/>
  <c r="K49" i="72"/>
  <c r="K50" i="72"/>
  <c r="K51" i="72"/>
  <c r="K52" i="72"/>
  <c r="K53" i="72"/>
  <c r="K54" i="72"/>
  <c r="K55" i="72"/>
  <c r="K56" i="72"/>
  <c r="K57" i="72"/>
  <c r="K58" i="72"/>
  <c r="K59" i="72"/>
  <c r="K60" i="72"/>
  <c r="K61" i="72"/>
  <c r="K62" i="72"/>
  <c r="K63" i="72"/>
  <c r="K64" i="72"/>
  <c r="K65" i="72"/>
  <c r="K66" i="72"/>
  <c r="K67" i="72"/>
  <c r="K68" i="72"/>
  <c r="K85" i="72"/>
  <c r="K87" i="72"/>
  <c r="K88" i="72"/>
  <c r="K89" i="72"/>
  <c r="K113" i="72"/>
  <c r="K115" i="72"/>
  <c r="K116" i="72"/>
  <c r="K117" i="72"/>
  <c r="K118" i="72"/>
  <c r="K119" i="72"/>
  <c r="K120" i="72"/>
  <c r="K121" i="72"/>
  <c r="K122" i="72"/>
  <c r="K138" i="72"/>
  <c r="K140" i="72"/>
  <c r="K141" i="72"/>
  <c r="K142" i="72"/>
  <c r="K151" i="72"/>
  <c r="K153" i="72"/>
  <c r="K162" i="72"/>
  <c r="K164" i="72"/>
  <c r="K168" i="72"/>
  <c r="K172" i="72"/>
  <c r="K175" i="72"/>
  <c r="A6" i="57"/>
  <c r="B6" i="57"/>
  <c r="C6" i="57"/>
  <c r="D6" i="57"/>
  <c r="E6" i="57"/>
  <c r="A7" i="57"/>
  <c r="B7" i="57"/>
  <c r="C7" i="57"/>
  <c r="D7" i="57"/>
  <c r="E7" i="57"/>
  <c r="A14" i="57"/>
  <c r="B14" i="57"/>
  <c r="C14" i="57"/>
  <c r="D14" i="57"/>
  <c r="E14" i="57"/>
  <c r="A15" i="57"/>
  <c r="B15" i="57"/>
  <c r="C15" i="57"/>
  <c r="D15" i="57"/>
  <c r="E15" i="57"/>
  <c r="A16" i="57"/>
  <c r="B16" i="57"/>
  <c r="C16" i="57"/>
  <c r="D16" i="57"/>
  <c r="E16" i="57"/>
  <c r="A17" i="57"/>
  <c r="B17" i="57"/>
  <c r="C17" i="57"/>
  <c r="D17" i="57"/>
  <c r="E17" i="57"/>
  <c r="A18" i="57"/>
  <c r="B18" i="57"/>
  <c r="C18" i="57"/>
  <c r="D18" i="57"/>
  <c r="E18" i="57"/>
  <c r="A19" i="57"/>
  <c r="B19" i="57"/>
  <c r="C19" i="57"/>
  <c r="D19" i="57"/>
  <c r="E19" i="57"/>
  <c r="A20" i="57"/>
  <c r="B20" i="57"/>
  <c r="C20" i="57"/>
  <c r="D20" i="57"/>
  <c r="E20" i="57"/>
  <c r="A21" i="57"/>
  <c r="B21" i="57"/>
  <c r="C21" i="57"/>
  <c r="D21" i="57"/>
  <c r="E21" i="57"/>
  <c r="A22" i="57"/>
  <c r="B22" i="57"/>
  <c r="C22" i="57"/>
  <c r="D22" i="57"/>
  <c r="E22" i="57"/>
  <c r="A23" i="57"/>
  <c r="B23" i="57"/>
  <c r="C23" i="57"/>
  <c r="D23" i="57"/>
  <c r="E23" i="57"/>
  <c r="A24" i="57"/>
  <c r="B24" i="57"/>
  <c r="C24" i="57"/>
  <c r="D24" i="57"/>
  <c r="E24" i="57"/>
  <c r="A25" i="57"/>
  <c r="B25" i="57"/>
  <c r="C25" i="57"/>
  <c r="D25" i="57"/>
  <c r="E25" i="57"/>
  <c r="A26" i="57"/>
  <c r="B26" i="57"/>
  <c r="C26" i="57"/>
  <c r="D26" i="57"/>
  <c r="E26" i="57"/>
  <c r="A27" i="57"/>
  <c r="B27" i="57"/>
  <c r="C27" i="57"/>
  <c r="D27" i="57"/>
  <c r="E27" i="57"/>
  <c r="A28" i="57"/>
  <c r="B28" i="57"/>
  <c r="C28" i="57"/>
  <c r="D28" i="57"/>
  <c r="E28" i="57"/>
  <c r="A29" i="57"/>
  <c r="B29" i="57"/>
  <c r="C29" i="57"/>
  <c r="D29" i="57"/>
  <c r="E29" i="57"/>
  <c r="A30" i="57"/>
  <c r="B30" i="57"/>
  <c r="C30" i="57"/>
  <c r="D30" i="57"/>
  <c r="E30" i="57"/>
  <c r="A31" i="57"/>
  <c r="B31" i="57"/>
  <c r="C31" i="57"/>
  <c r="D31" i="57"/>
  <c r="E31" i="57"/>
  <c r="A32" i="57"/>
  <c r="B32" i="57"/>
  <c r="C32" i="57"/>
  <c r="D32" i="57"/>
  <c r="E32" i="57"/>
  <c r="A33" i="57"/>
  <c r="B33" i="57"/>
  <c r="C33" i="57"/>
  <c r="D33" i="57"/>
  <c r="E33" i="57"/>
  <c r="A34" i="57"/>
  <c r="B34" i="57"/>
  <c r="C34" i="57"/>
  <c r="D34" i="57"/>
  <c r="E34" i="57"/>
  <c r="A35" i="57"/>
  <c r="B35" i="57"/>
  <c r="C35" i="57"/>
  <c r="D35" i="57"/>
  <c r="E35" i="57"/>
  <c r="A36" i="57"/>
  <c r="B36" i="57"/>
  <c r="C36" i="57"/>
  <c r="D36" i="57"/>
  <c r="E36" i="57"/>
  <c r="A37" i="57"/>
  <c r="B37" i="57"/>
  <c r="C37" i="57"/>
  <c r="D37" i="57"/>
  <c r="E37" i="57"/>
  <c r="A38" i="57"/>
  <c r="B38" i="57"/>
  <c r="C38" i="57"/>
  <c r="D38" i="57"/>
  <c r="E38" i="57"/>
  <c r="A39" i="57"/>
  <c r="B39" i="57"/>
  <c r="C39" i="57"/>
  <c r="D39" i="57"/>
  <c r="E39" i="57"/>
  <c r="A40" i="57"/>
  <c r="B40" i="57"/>
  <c r="C40" i="57"/>
  <c r="D40" i="57"/>
  <c r="E40" i="57"/>
  <c r="A41" i="57"/>
  <c r="B41" i="57"/>
  <c r="C41" i="57"/>
  <c r="D41" i="57"/>
  <c r="E41" i="57"/>
  <c r="A42" i="57"/>
  <c r="B42" i="57"/>
  <c r="C42" i="57"/>
  <c r="D42" i="57"/>
  <c r="E42" i="57"/>
  <c r="A43" i="57"/>
  <c r="B43" i="57"/>
  <c r="C43" i="57"/>
  <c r="D43" i="57"/>
  <c r="E43" i="57"/>
  <c r="A44" i="57"/>
  <c r="B44" i="57"/>
  <c r="C44" i="57"/>
  <c r="D44" i="57"/>
  <c r="E44" i="57"/>
  <c r="A45" i="57"/>
  <c r="B45" i="57"/>
  <c r="C45" i="57"/>
  <c r="D45" i="57"/>
  <c r="E45" i="57"/>
  <c r="A46" i="57"/>
  <c r="B46" i="57"/>
  <c r="C46" i="57"/>
  <c r="D46" i="57"/>
  <c r="E46" i="57"/>
  <c r="A47" i="57"/>
  <c r="B47" i="57"/>
  <c r="C47" i="57"/>
  <c r="D47" i="57"/>
  <c r="E47" i="57"/>
  <c r="A48" i="57"/>
  <c r="B48" i="57"/>
  <c r="C48" i="57"/>
  <c r="D48" i="57"/>
  <c r="E48" i="57"/>
  <c r="A49" i="57"/>
  <c r="B49" i="57"/>
  <c r="C49" i="57"/>
  <c r="D49" i="57"/>
  <c r="E49" i="57"/>
  <c r="A50" i="57"/>
  <c r="B50" i="57"/>
  <c r="C50" i="57"/>
  <c r="D50" i="57"/>
  <c r="E50" i="57"/>
  <c r="A51" i="57"/>
  <c r="B51" i="57"/>
  <c r="C51" i="57"/>
  <c r="D51" i="57"/>
  <c r="E51" i="57"/>
  <c r="A52" i="57"/>
  <c r="B52" i="57"/>
  <c r="C52" i="57"/>
  <c r="D52" i="57"/>
  <c r="E52" i="57"/>
  <c r="A53" i="57"/>
  <c r="B53" i="57"/>
  <c r="C53" i="57"/>
  <c r="D53" i="57"/>
  <c r="E53" i="57"/>
  <c r="A54" i="57"/>
  <c r="B54" i="57"/>
  <c r="C54" i="57"/>
  <c r="D54" i="57"/>
  <c r="E54" i="57"/>
  <c r="A55" i="57"/>
  <c r="B55" i="57"/>
  <c r="C55" i="57"/>
  <c r="D55" i="57"/>
  <c r="E55" i="57"/>
  <c r="A56" i="57"/>
  <c r="B56" i="57"/>
  <c r="C56" i="57"/>
  <c r="D56" i="57"/>
  <c r="E56" i="57"/>
  <c r="A57" i="57"/>
  <c r="B57" i="57"/>
  <c r="C57" i="57"/>
  <c r="D57" i="57"/>
  <c r="E57" i="57"/>
  <c r="A58" i="57"/>
  <c r="B58" i="57"/>
  <c r="C58" i="57"/>
  <c r="D58" i="57"/>
  <c r="E58" i="57"/>
  <c r="A59" i="57"/>
  <c r="B59" i="57"/>
  <c r="C59" i="57"/>
  <c r="D59" i="57"/>
  <c r="E59" i="57"/>
  <c r="A60" i="57"/>
  <c r="B60" i="57"/>
  <c r="C60" i="57"/>
  <c r="D60" i="57"/>
  <c r="E60" i="57"/>
  <c r="A61" i="57"/>
  <c r="B61" i="57"/>
  <c r="C61" i="57"/>
  <c r="D61" i="57"/>
  <c r="E61" i="57"/>
  <c r="A62" i="57"/>
  <c r="B62" i="57"/>
  <c r="C62" i="57"/>
  <c r="D62" i="57"/>
  <c r="E62" i="57"/>
  <c r="A63" i="57"/>
  <c r="B63" i="57"/>
  <c r="C63" i="57"/>
  <c r="D63" i="57"/>
  <c r="E63" i="57"/>
  <c r="A64" i="57"/>
  <c r="B64" i="57"/>
  <c r="C64" i="57"/>
  <c r="D64" i="57"/>
  <c r="E64" i="57"/>
  <c r="A65" i="57"/>
  <c r="B65" i="57"/>
  <c r="C65" i="57"/>
  <c r="D65" i="57"/>
  <c r="E65" i="57"/>
  <c r="A66" i="57"/>
  <c r="B66" i="57"/>
  <c r="C66" i="57"/>
  <c r="D66" i="57"/>
  <c r="E66" i="57"/>
  <c r="A67" i="57"/>
  <c r="B67" i="57"/>
  <c r="C67" i="57"/>
  <c r="D67" i="57"/>
  <c r="E67" i="57"/>
  <c r="A68" i="57"/>
  <c r="B68" i="57"/>
  <c r="C68" i="57"/>
  <c r="D68" i="57"/>
  <c r="E68" i="57"/>
  <c r="A85" i="57"/>
  <c r="B85" i="57"/>
  <c r="C85" i="57"/>
  <c r="D85" i="57"/>
  <c r="E85" i="57"/>
  <c r="A87" i="57"/>
  <c r="B87" i="57"/>
  <c r="C87" i="57"/>
  <c r="D87" i="57"/>
  <c r="E87" i="57"/>
  <c r="A88" i="57"/>
  <c r="B88" i="57"/>
  <c r="C88" i="57"/>
  <c r="D88" i="57"/>
  <c r="E88" i="57"/>
  <c r="A89" i="57"/>
  <c r="B89" i="57"/>
  <c r="C89" i="57"/>
  <c r="D89" i="57"/>
  <c r="E89" i="57"/>
  <c r="A113" i="57"/>
  <c r="B113" i="57"/>
  <c r="C113" i="57"/>
  <c r="D113" i="57"/>
  <c r="E113" i="57"/>
  <c r="A115" i="57"/>
  <c r="B115" i="57"/>
  <c r="C115" i="57"/>
  <c r="D115" i="57"/>
  <c r="E115" i="57"/>
  <c r="A116" i="57"/>
  <c r="B116" i="57"/>
  <c r="C116" i="57"/>
  <c r="D116" i="57"/>
  <c r="E116" i="57"/>
  <c r="A117" i="57"/>
  <c r="B117" i="57"/>
  <c r="C117" i="57"/>
  <c r="D117" i="57"/>
  <c r="E117" i="57"/>
  <c r="A118" i="57"/>
  <c r="B118" i="57"/>
  <c r="C118" i="57"/>
  <c r="D118" i="57"/>
  <c r="E118" i="57"/>
  <c r="A119" i="57"/>
  <c r="B119" i="57"/>
  <c r="C119" i="57"/>
  <c r="D119" i="57"/>
  <c r="E119" i="57"/>
  <c r="A120" i="57"/>
  <c r="B120" i="57"/>
  <c r="C120" i="57"/>
  <c r="D120" i="57"/>
  <c r="E120" i="57"/>
  <c r="A121" i="57"/>
  <c r="B121" i="57"/>
  <c r="C121" i="57"/>
  <c r="D121" i="57"/>
  <c r="E121" i="57"/>
  <c r="A122" i="57"/>
  <c r="B122" i="57"/>
  <c r="C122" i="57"/>
  <c r="D122" i="57"/>
  <c r="E122" i="57"/>
  <c r="A138" i="57"/>
  <c r="B138" i="57"/>
  <c r="C138" i="57"/>
  <c r="D138" i="57"/>
  <c r="E138" i="57"/>
  <c r="A140" i="57"/>
  <c r="B140" i="57"/>
  <c r="C140" i="57"/>
  <c r="D140" i="57"/>
  <c r="E140" i="57"/>
  <c r="A141" i="57"/>
  <c r="B141" i="57"/>
  <c r="C141" i="57"/>
  <c r="D141" i="57"/>
  <c r="E141" i="57"/>
  <c r="A142" i="57"/>
  <c r="B142" i="57"/>
  <c r="C142" i="57"/>
  <c r="D142" i="57"/>
  <c r="E142" i="57"/>
  <c r="A151" i="57"/>
  <c r="B151" i="57"/>
  <c r="C151" i="57"/>
  <c r="D151" i="57"/>
  <c r="E151" i="57"/>
  <c r="A153" i="57"/>
  <c r="B153" i="57"/>
  <c r="C153" i="57"/>
  <c r="D153" i="57"/>
  <c r="E153" i="57"/>
  <c r="A162" i="57"/>
  <c r="B162" i="57"/>
  <c r="C162" i="57"/>
  <c r="D162" i="57"/>
  <c r="E162" i="57"/>
  <c r="A164" i="57"/>
  <c r="B164" i="57"/>
  <c r="C164" i="57"/>
  <c r="D164" i="57"/>
  <c r="E164" i="57"/>
  <c r="A168" i="57"/>
  <c r="B168" i="57"/>
  <c r="C168" i="57"/>
  <c r="D168" i="57"/>
  <c r="E168" i="57"/>
  <c r="A172" i="57"/>
  <c r="B172" i="57"/>
  <c r="C172" i="57"/>
  <c r="D172" i="57"/>
  <c r="E172" i="57"/>
  <c r="A175" i="57"/>
  <c r="B175" i="57"/>
  <c r="C175" i="57"/>
  <c r="D175" i="57"/>
  <c r="E175" i="57"/>
  <c r="E5" i="57"/>
  <c r="D5" i="57"/>
  <c r="C5" i="57"/>
  <c r="B5" i="57"/>
  <c r="A5" i="57"/>
  <c r="A6" i="72"/>
  <c r="B6" i="72"/>
  <c r="C6" i="72"/>
  <c r="D6" i="72"/>
  <c r="Q6" i="72" s="1"/>
  <c r="E6" i="72"/>
  <c r="A7" i="72"/>
  <c r="B7" i="72"/>
  <c r="C7" i="72"/>
  <c r="D7" i="72"/>
  <c r="Q7" i="72" s="1"/>
  <c r="E7" i="72"/>
  <c r="A14" i="72"/>
  <c r="B14" i="72"/>
  <c r="C14" i="72"/>
  <c r="D14" i="72"/>
  <c r="Q14" i="72" s="1"/>
  <c r="E14" i="72"/>
  <c r="G14" i="72"/>
  <c r="A15" i="72"/>
  <c r="B15" i="72"/>
  <c r="C15" i="72"/>
  <c r="D15" i="72"/>
  <c r="Q15" i="72" s="1"/>
  <c r="E15" i="72"/>
  <c r="G15" i="72"/>
  <c r="A16" i="72"/>
  <c r="B16" i="72"/>
  <c r="C16" i="72"/>
  <c r="D16" i="72"/>
  <c r="Q16" i="72" s="1"/>
  <c r="E16" i="72"/>
  <c r="G16" i="72"/>
  <c r="A17" i="72"/>
  <c r="B17" i="72"/>
  <c r="C17" i="72"/>
  <c r="D17" i="72"/>
  <c r="Q17" i="72" s="1"/>
  <c r="E17" i="72"/>
  <c r="G17" i="72"/>
  <c r="A18" i="72"/>
  <c r="B18" i="72"/>
  <c r="C18" i="72"/>
  <c r="D18" i="72"/>
  <c r="Q18" i="72" s="1"/>
  <c r="E18" i="72"/>
  <c r="G18" i="72"/>
  <c r="A19" i="72"/>
  <c r="B19" i="72"/>
  <c r="C19" i="72"/>
  <c r="D19" i="72"/>
  <c r="Q19" i="72" s="1"/>
  <c r="E19" i="72"/>
  <c r="G19" i="72"/>
  <c r="A20" i="72"/>
  <c r="B20" i="72"/>
  <c r="C20" i="72"/>
  <c r="D20" i="72"/>
  <c r="Q20" i="72" s="1"/>
  <c r="E20" i="72"/>
  <c r="G20" i="72"/>
  <c r="A21" i="72"/>
  <c r="B21" i="72"/>
  <c r="C21" i="72"/>
  <c r="D21" i="72"/>
  <c r="Q21" i="72" s="1"/>
  <c r="E21" i="72"/>
  <c r="G21" i="72"/>
  <c r="A22" i="72"/>
  <c r="B22" i="72"/>
  <c r="C22" i="72"/>
  <c r="D22" i="72"/>
  <c r="Q22" i="72" s="1"/>
  <c r="E22" i="72"/>
  <c r="G22" i="72"/>
  <c r="A23" i="72"/>
  <c r="B23" i="72"/>
  <c r="C23" i="72"/>
  <c r="D23" i="72"/>
  <c r="Q23" i="72" s="1"/>
  <c r="E23" i="72"/>
  <c r="G23" i="72"/>
  <c r="A24" i="72"/>
  <c r="B24" i="72"/>
  <c r="C24" i="72"/>
  <c r="D24" i="72"/>
  <c r="Q24" i="72" s="1"/>
  <c r="E24" i="72"/>
  <c r="G24" i="72"/>
  <c r="A25" i="72"/>
  <c r="B25" i="72"/>
  <c r="C25" i="72"/>
  <c r="D25" i="72"/>
  <c r="Q25" i="72" s="1"/>
  <c r="E25" i="72"/>
  <c r="G25" i="72"/>
  <c r="A26" i="72"/>
  <c r="B26" i="72"/>
  <c r="C26" i="72"/>
  <c r="D26" i="72"/>
  <c r="Q26" i="72" s="1"/>
  <c r="E26" i="72"/>
  <c r="G26" i="72"/>
  <c r="A27" i="72"/>
  <c r="B27" i="72"/>
  <c r="C27" i="72"/>
  <c r="D27" i="72"/>
  <c r="Q27" i="72" s="1"/>
  <c r="E27" i="72"/>
  <c r="G27" i="72"/>
  <c r="A28" i="72"/>
  <c r="B28" i="72"/>
  <c r="C28" i="72"/>
  <c r="D28" i="72"/>
  <c r="Q28" i="72" s="1"/>
  <c r="E28" i="72"/>
  <c r="G28" i="72"/>
  <c r="A29" i="72"/>
  <c r="B29" i="72"/>
  <c r="C29" i="72"/>
  <c r="D29" i="72"/>
  <c r="Q29" i="72" s="1"/>
  <c r="E29" i="72"/>
  <c r="G29" i="72"/>
  <c r="A30" i="72"/>
  <c r="B30" i="72"/>
  <c r="C30" i="72"/>
  <c r="D30" i="72"/>
  <c r="Q30" i="72" s="1"/>
  <c r="E30" i="72"/>
  <c r="G30" i="72"/>
  <c r="A31" i="72"/>
  <c r="B31" i="72"/>
  <c r="C31" i="72"/>
  <c r="D31" i="72"/>
  <c r="Q31" i="72" s="1"/>
  <c r="E31" i="72"/>
  <c r="G31" i="72"/>
  <c r="A32" i="72"/>
  <c r="B32" i="72"/>
  <c r="C32" i="72"/>
  <c r="D32" i="72"/>
  <c r="Q32" i="72" s="1"/>
  <c r="E32" i="72"/>
  <c r="G32" i="72"/>
  <c r="A33" i="72"/>
  <c r="B33" i="72"/>
  <c r="C33" i="72"/>
  <c r="D33" i="72"/>
  <c r="Q33" i="72" s="1"/>
  <c r="E33" i="72"/>
  <c r="G33" i="72"/>
  <c r="A34" i="72"/>
  <c r="B34" i="72"/>
  <c r="C34" i="72"/>
  <c r="D34" i="72"/>
  <c r="Q34" i="72" s="1"/>
  <c r="E34" i="72"/>
  <c r="G34" i="72"/>
  <c r="A35" i="72"/>
  <c r="B35" i="72"/>
  <c r="C35" i="72"/>
  <c r="D35" i="72"/>
  <c r="Q35" i="72" s="1"/>
  <c r="E35" i="72"/>
  <c r="G35" i="72"/>
  <c r="A36" i="72"/>
  <c r="B36" i="72"/>
  <c r="C36" i="72"/>
  <c r="D36" i="72"/>
  <c r="Q36" i="72" s="1"/>
  <c r="E36" i="72"/>
  <c r="G36" i="72"/>
  <c r="A37" i="72"/>
  <c r="B37" i="72"/>
  <c r="C37" i="72"/>
  <c r="D37" i="72"/>
  <c r="Q37" i="72" s="1"/>
  <c r="E37" i="72"/>
  <c r="G37" i="72"/>
  <c r="A38" i="72"/>
  <c r="B38" i="72"/>
  <c r="C38" i="72"/>
  <c r="D38" i="72"/>
  <c r="Q38" i="72" s="1"/>
  <c r="E38" i="72"/>
  <c r="G38" i="72"/>
  <c r="A39" i="72"/>
  <c r="B39" i="72"/>
  <c r="C39" i="72"/>
  <c r="D39" i="72"/>
  <c r="Q39" i="72" s="1"/>
  <c r="E39" i="72"/>
  <c r="G39" i="72"/>
  <c r="A40" i="72"/>
  <c r="B40" i="72"/>
  <c r="C40" i="72"/>
  <c r="D40" i="72"/>
  <c r="Q40" i="72" s="1"/>
  <c r="E40" i="72"/>
  <c r="G40" i="72"/>
  <c r="A41" i="72"/>
  <c r="B41" i="72"/>
  <c r="C41" i="72"/>
  <c r="D41" i="72"/>
  <c r="Q41" i="72" s="1"/>
  <c r="E41" i="72"/>
  <c r="G41" i="72"/>
  <c r="A42" i="72"/>
  <c r="B42" i="72"/>
  <c r="C42" i="72"/>
  <c r="D42" i="72"/>
  <c r="Q42" i="72" s="1"/>
  <c r="E42" i="72"/>
  <c r="G42" i="72"/>
  <c r="A43" i="72"/>
  <c r="B43" i="72"/>
  <c r="C43" i="72"/>
  <c r="D43" i="72"/>
  <c r="Q43" i="72" s="1"/>
  <c r="E43" i="72"/>
  <c r="G43" i="72"/>
  <c r="A44" i="72"/>
  <c r="B44" i="72"/>
  <c r="C44" i="72"/>
  <c r="D44" i="72"/>
  <c r="Q44" i="72" s="1"/>
  <c r="E44" i="72"/>
  <c r="G44" i="72"/>
  <c r="A45" i="72"/>
  <c r="B45" i="72"/>
  <c r="C45" i="72"/>
  <c r="D45" i="72"/>
  <c r="Q45" i="72" s="1"/>
  <c r="E45" i="72"/>
  <c r="G45" i="72"/>
  <c r="A46" i="72"/>
  <c r="B46" i="72"/>
  <c r="C46" i="72"/>
  <c r="D46" i="72"/>
  <c r="Q46" i="72" s="1"/>
  <c r="E46" i="72"/>
  <c r="G46" i="72"/>
  <c r="A47" i="72"/>
  <c r="B47" i="72"/>
  <c r="C47" i="72"/>
  <c r="D47" i="72"/>
  <c r="Q47" i="72" s="1"/>
  <c r="E47" i="72"/>
  <c r="G47" i="72"/>
  <c r="A48" i="72"/>
  <c r="B48" i="72"/>
  <c r="C48" i="72"/>
  <c r="D48" i="72"/>
  <c r="Q48" i="72" s="1"/>
  <c r="E48" i="72"/>
  <c r="G48" i="72"/>
  <c r="A49" i="72"/>
  <c r="B49" i="72"/>
  <c r="C49" i="72"/>
  <c r="D49" i="72"/>
  <c r="Q49" i="72" s="1"/>
  <c r="E49" i="72"/>
  <c r="G49" i="72"/>
  <c r="A50" i="72"/>
  <c r="B50" i="72"/>
  <c r="C50" i="72"/>
  <c r="D50" i="72"/>
  <c r="Q50" i="72" s="1"/>
  <c r="E50" i="72"/>
  <c r="G50" i="72"/>
  <c r="A51" i="72"/>
  <c r="B51" i="72"/>
  <c r="C51" i="72"/>
  <c r="D51" i="72"/>
  <c r="Q51" i="72" s="1"/>
  <c r="E51" i="72"/>
  <c r="G51" i="72"/>
  <c r="A52" i="72"/>
  <c r="B52" i="72"/>
  <c r="C52" i="72"/>
  <c r="D52" i="72"/>
  <c r="Q52" i="72" s="1"/>
  <c r="E52" i="72"/>
  <c r="G52" i="72"/>
  <c r="A53" i="72"/>
  <c r="B53" i="72"/>
  <c r="C53" i="72"/>
  <c r="D53" i="72"/>
  <c r="Q53" i="72" s="1"/>
  <c r="E53" i="72"/>
  <c r="G53" i="72"/>
  <c r="A54" i="72"/>
  <c r="B54" i="72"/>
  <c r="C54" i="72"/>
  <c r="D54" i="72"/>
  <c r="Q54" i="72" s="1"/>
  <c r="E54" i="72"/>
  <c r="G54" i="72"/>
  <c r="A55" i="72"/>
  <c r="B55" i="72"/>
  <c r="C55" i="72"/>
  <c r="D55" i="72"/>
  <c r="Q55" i="72" s="1"/>
  <c r="E55" i="72"/>
  <c r="G55" i="72"/>
  <c r="A56" i="72"/>
  <c r="B56" i="72"/>
  <c r="C56" i="72"/>
  <c r="D56" i="72"/>
  <c r="Q56" i="72" s="1"/>
  <c r="E56" i="72"/>
  <c r="G56" i="72"/>
  <c r="A57" i="72"/>
  <c r="B57" i="72"/>
  <c r="C57" i="72"/>
  <c r="D57" i="72"/>
  <c r="Q57" i="72" s="1"/>
  <c r="E57" i="72"/>
  <c r="G57" i="72"/>
  <c r="A58" i="72"/>
  <c r="B58" i="72"/>
  <c r="C58" i="72"/>
  <c r="D58" i="72"/>
  <c r="Q58" i="72" s="1"/>
  <c r="E58" i="72"/>
  <c r="G58" i="72"/>
  <c r="A59" i="72"/>
  <c r="B59" i="72"/>
  <c r="C59" i="72"/>
  <c r="D59" i="72"/>
  <c r="Q59" i="72" s="1"/>
  <c r="E59" i="72"/>
  <c r="G59" i="72"/>
  <c r="A60" i="72"/>
  <c r="B60" i="72"/>
  <c r="C60" i="72"/>
  <c r="D60" i="72"/>
  <c r="Q60" i="72" s="1"/>
  <c r="E60" i="72"/>
  <c r="G60" i="72"/>
  <c r="A61" i="72"/>
  <c r="B61" i="72"/>
  <c r="C61" i="72"/>
  <c r="D61" i="72"/>
  <c r="Q61" i="72" s="1"/>
  <c r="E61" i="72"/>
  <c r="G61" i="72"/>
  <c r="A62" i="72"/>
  <c r="B62" i="72"/>
  <c r="C62" i="72"/>
  <c r="D62" i="72"/>
  <c r="Q62" i="72" s="1"/>
  <c r="E62" i="72"/>
  <c r="G62" i="72"/>
  <c r="A63" i="72"/>
  <c r="B63" i="72"/>
  <c r="C63" i="72"/>
  <c r="D63" i="72"/>
  <c r="Q63" i="72" s="1"/>
  <c r="E63" i="72"/>
  <c r="G63" i="72"/>
  <c r="A64" i="72"/>
  <c r="B64" i="72"/>
  <c r="C64" i="72"/>
  <c r="D64" i="72"/>
  <c r="Q64" i="72" s="1"/>
  <c r="E64" i="72"/>
  <c r="G64" i="72"/>
  <c r="A65" i="72"/>
  <c r="B65" i="72"/>
  <c r="C65" i="72"/>
  <c r="D65" i="72"/>
  <c r="Q65" i="72" s="1"/>
  <c r="E65" i="72"/>
  <c r="G65" i="72"/>
  <c r="A66" i="72"/>
  <c r="B66" i="72"/>
  <c r="C66" i="72"/>
  <c r="D66" i="72"/>
  <c r="Q66" i="72" s="1"/>
  <c r="E66" i="72"/>
  <c r="G66" i="72"/>
  <c r="A67" i="72"/>
  <c r="B67" i="72"/>
  <c r="C67" i="72"/>
  <c r="D67" i="72"/>
  <c r="Q67" i="72" s="1"/>
  <c r="E67" i="72"/>
  <c r="G67" i="72"/>
  <c r="A68" i="72"/>
  <c r="B68" i="72"/>
  <c r="C68" i="72"/>
  <c r="D68" i="72"/>
  <c r="Q68" i="72" s="1"/>
  <c r="E68" i="72"/>
  <c r="G68" i="72"/>
  <c r="A85" i="72"/>
  <c r="B85" i="72"/>
  <c r="C85" i="72"/>
  <c r="D85" i="72"/>
  <c r="Q85" i="72" s="1"/>
  <c r="E85" i="72"/>
  <c r="G85" i="72"/>
  <c r="A87" i="72"/>
  <c r="B87" i="72"/>
  <c r="C87" i="72"/>
  <c r="D87" i="72"/>
  <c r="Q87" i="72" s="1"/>
  <c r="E87" i="72"/>
  <c r="G87" i="72"/>
  <c r="A88" i="72"/>
  <c r="B88" i="72"/>
  <c r="C88" i="72"/>
  <c r="D88" i="72"/>
  <c r="Q88" i="72" s="1"/>
  <c r="E88" i="72"/>
  <c r="G88" i="72"/>
  <c r="A89" i="72"/>
  <c r="B89" i="72"/>
  <c r="C89" i="72"/>
  <c r="D89" i="72"/>
  <c r="Q89" i="72" s="1"/>
  <c r="E89" i="72"/>
  <c r="G89" i="72"/>
  <c r="A113" i="72"/>
  <c r="B113" i="72"/>
  <c r="C113" i="72"/>
  <c r="D113" i="72"/>
  <c r="Q113" i="72" s="1"/>
  <c r="E113" i="72"/>
  <c r="G113" i="72"/>
  <c r="A115" i="72"/>
  <c r="B115" i="72"/>
  <c r="C115" i="72"/>
  <c r="D115" i="72"/>
  <c r="Q115" i="72" s="1"/>
  <c r="E115" i="72"/>
  <c r="G115" i="72"/>
  <c r="A116" i="72"/>
  <c r="B116" i="72"/>
  <c r="C116" i="72"/>
  <c r="D116" i="72"/>
  <c r="Q116" i="72" s="1"/>
  <c r="E116" i="72"/>
  <c r="G116" i="72"/>
  <c r="A117" i="72"/>
  <c r="B117" i="72"/>
  <c r="C117" i="72"/>
  <c r="D117" i="72"/>
  <c r="Q117" i="72" s="1"/>
  <c r="E117" i="72"/>
  <c r="G117" i="72"/>
  <c r="A118" i="72"/>
  <c r="B118" i="72"/>
  <c r="C118" i="72"/>
  <c r="D118" i="72"/>
  <c r="Q118" i="72" s="1"/>
  <c r="E118" i="72"/>
  <c r="G118" i="72"/>
  <c r="A119" i="72"/>
  <c r="B119" i="72"/>
  <c r="C119" i="72"/>
  <c r="D119" i="72"/>
  <c r="Q119" i="72" s="1"/>
  <c r="E119" i="72"/>
  <c r="G119" i="72"/>
  <c r="A120" i="72"/>
  <c r="B120" i="72"/>
  <c r="C120" i="72"/>
  <c r="D120" i="72"/>
  <c r="Q120" i="72" s="1"/>
  <c r="E120" i="72"/>
  <c r="G120" i="72"/>
  <c r="A121" i="72"/>
  <c r="B121" i="72"/>
  <c r="C121" i="72"/>
  <c r="D121" i="72"/>
  <c r="Q121" i="72" s="1"/>
  <c r="E121" i="72"/>
  <c r="G121" i="72"/>
  <c r="A122" i="72"/>
  <c r="B122" i="72"/>
  <c r="C122" i="72"/>
  <c r="D122" i="72"/>
  <c r="Q122" i="72" s="1"/>
  <c r="E122" i="72"/>
  <c r="G122" i="72"/>
  <c r="A138" i="72"/>
  <c r="B138" i="72"/>
  <c r="C138" i="72"/>
  <c r="D138" i="72"/>
  <c r="Q138" i="72" s="1"/>
  <c r="E138" i="72"/>
  <c r="G138" i="72"/>
  <c r="A140" i="72"/>
  <c r="B140" i="72"/>
  <c r="C140" i="72"/>
  <c r="D140" i="72"/>
  <c r="Q140" i="72" s="1"/>
  <c r="E140" i="72"/>
  <c r="G140" i="72"/>
  <c r="A141" i="72"/>
  <c r="C141" i="72"/>
  <c r="D141" i="72"/>
  <c r="Q141" i="72" s="1"/>
  <c r="E141" i="72"/>
  <c r="G141" i="72"/>
  <c r="A142" i="72"/>
  <c r="C142" i="72"/>
  <c r="D142" i="72"/>
  <c r="Q142" i="72" s="1"/>
  <c r="E142" i="72"/>
  <c r="G142" i="72"/>
  <c r="A151" i="72"/>
  <c r="C151" i="72"/>
  <c r="D151" i="72"/>
  <c r="Q151" i="72" s="1"/>
  <c r="E151" i="72"/>
  <c r="G151" i="72"/>
  <c r="A153" i="72"/>
  <c r="B153" i="72"/>
  <c r="C153" i="72"/>
  <c r="D153" i="72"/>
  <c r="Q153" i="72" s="1"/>
  <c r="E153" i="72"/>
  <c r="G153" i="72"/>
  <c r="A162" i="72"/>
  <c r="B162" i="72"/>
  <c r="C162" i="72"/>
  <c r="D162" i="72"/>
  <c r="Q162" i="72" s="1"/>
  <c r="E162" i="72"/>
  <c r="G162" i="72"/>
  <c r="A164" i="72"/>
  <c r="B164" i="72"/>
  <c r="C164" i="72"/>
  <c r="D164" i="72"/>
  <c r="Q164" i="72" s="1"/>
  <c r="E164" i="72"/>
  <c r="G164" i="72"/>
  <c r="A168" i="72"/>
  <c r="B168" i="72"/>
  <c r="C168" i="72"/>
  <c r="D168" i="72"/>
  <c r="Q168" i="72" s="1"/>
  <c r="E168" i="72"/>
  <c r="G168" i="72"/>
  <c r="A172" i="72"/>
  <c r="B172" i="72"/>
  <c r="C172" i="72"/>
  <c r="D172" i="72"/>
  <c r="Q172" i="72" s="1"/>
  <c r="E172" i="72"/>
  <c r="G172" i="72"/>
  <c r="A175" i="72"/>
  <c r="B175" i="72"/>
  <c r="C175" i="72"/>
  <c r="D175" i="72"/>
  <c r="Q175" i="72" s="1"/>
  <c r="E175" i="72"/>
  <c r="G175" i="72"/>
  <c r="G5" i="72"/>
  <c r="E5" i="72"/>
  <c r="D5" i="72"/>
  <c r="Q5" i="72" s="1"/>
  <c r="C5" i="72"/>
  <c r="B5" i="72"/>
  <c r="A5" i="72"/>
  <c r="O175" i="76"/>
  <c r="O162" i="76"/>
  <c r="O153" i="76"/>
  <c r="O116" i="76"/>
  <c r="O117" i="76"/>
  <c r="O118" i="76"/>
  <c r="O119" i="76"/>
  <c r="O120" i="76"/>
  <c r="O121" i="76"/>
  <c r="O122" i="76"/>
  <c r="O138" i="76"/>
  <c r="O140" i="76"/>
  <c r="O141" i="76"/>
  <c r="O142" i="76"/>
  <c r="O151" i="76"/>
  <c r="O115" i="76"/>
  <c r="O88" i="76"/>
  <c r="O89" i="76"/>
  <c r="O113" i="76"/>
  <c r="O87" i="76"/>
  <c r="O15" i="76"/>
  <c r="O16" i="76"/>
  <c r="O17" i="76"/>
  <c r="O18" i="76"/>
  <c r="O19" i="76"/>
  <c r="O20" i="76"/>
  <c r="O21" i="76"/>
  <c r="O22" i="76"/>
  <c r="O23" i="76"/>
  <c r="O24" i="76"/>
  <c r="O25" i="76"/>
  <c r="O26" i="76"/>
  <c r="O27" i="76"/>
  <c r="O28" i="76"/>
  <c r="O29" i="76"/>
  <c r="O30" i="76"/>
  <c r="O31" i="76"/>
  <c r="O32" i="76"/>
  <c r="O33" i="76"/>
  <c r="O34" i="76"/>
  <c r="O35" i="76"/>
  <c r="O36" i="76"/>
  <c r="O37" i="76"/>
  <c r="O38" i="76"/>
  <c r="O39" i="76"/>
  <c r="O40" i="76"/>
  <c r="O41" i="76"/>
  <c r="O42" i="76"/>
  <c r="O43" i="76"/>
  <c r="O44" i="76"/>
  <c r="O45" i="76"/>
  <c r="O46" i="76"/>
  <c r="O47" i="76"/>
  <c r="O48" i="76"/>
  <c r="O49" i="76"/>
  <c r="O50" i="76"/>
  <c r="O51" i="76"/>
  <c r="O52" i="76"/>
  <c r="O53" i="76"/>
  <c r="O54" i="76"/>
  <c r="O55" i="76"/>
  <c r="O56" i="76"/>
  <c r="O57" i="76"/>
  <c r="O58" i="76"/>
  <c r="O59" i="76"/>
  <c r="O60" i="76"/>
  <c r="O61" i="76"/>
  <c r="O62" i="76"/>
  <c r="O63" i="76"/>
  <c r="O64" i="76"/>
  <c r="O65" i="76"/>
  <c r="O66" i="76"/>
  <c r="O67" i="76"/>
  <c r="O68" i="76"/>
  <c r="O85" i="76"/>
  <c r="O14" i="76"/>
  <c r="O6" i="76"/>
  <c r="O7" i="76"/>
  <c r="O5" i="76"/>
  <c r="O175" i="75"/>
  <c r="O162" i="75"/>
  <c r="O153" i="75"/>
  <c r="O116" i="75"/>
  <c r="O117" i="75"/>
  <c r="O118" i="75"/>
  <c r="O119" i="75"/>
  <c r="O120" i="75"/>
  <c r="O121" i="75"/>
  <c r="O122" i="75"/>
  <c r="O138" i="75"/>
  <c r="O140" i="75"/>
  <c r="O141" i="75"/>
  <c r="O142" i="75"/>
  <c r="O151" i="75"/>
  <c r="O115" i="75"/>
  <c r="O88" i="75"/>
  <c r="O89" i="75"/>
  <c r="O113" i="75"/>
  <c r="O87" i="75"/>
  <c r="O15" i="75"/>
  <c r="O16" i="75"/>
  <c r="O17" i="75"/>
  <c r="O18" i="75"/>
  <c r="O19" i="75"/>
  <c r="O20" i="75"/>
  <c r="O21" i="75"/>
  <c r="O22" i="75"/>
  <c r="O23" i="75"/>
  <c r="O24" i="75"/>
  <c r="O25" i="75"/>
  <c r="O26" i="75"/>
  <c r="O27" i="75"/>
  <c r="O28" i="75"/>
  <c r="O29" i="75"/>
  <c r="O30" i="75"/>
  <c r="O31" i="75"/>
  <c r="O32" i="75"/>
  <c r="O33" i="75"/>
  <c r="O34" i="75"/>
  <c r="O35" i="75"/>
  <c r="O36" i="75"/>
  <c r="O37" i="75"/>
  <c r="O38" i="75"/>
  <c r="O39" i="75"/>
  <c r="O40" i="75"/>
  <c r="O41" i="75"/>
  <c r="O42" i="75"/>
  <c r="O43" i="75"/>
  <c r="O44" i="75"/>
  <c r="O45" i="75"/>
  <c r="O46" i="75"/>
  <c r="O47" i="75"/>
  <c r="O48" i="75"/>
  <c r="O49" i="75"/>
  <c r="O50" i="75"/>
  <c r="O51" i="75"/>
  <c r="O52" i="75"/>
  <c r="O53" i="75"/>
  <c r="O54" i="75"/>
  <c r="O55" i="75"/>
  <c r="O56" i="75"/>
  <c r="O57" i="75"/>
  <c r="O58" i="75"/>
  <c r="O59" i="75"/>
  <c r="O60" i="75"/>
  <c r="O61" i="75"/>
  <c r="O62" i="75"/>
  <c r="O63" i="75"/>
  <c r="O64" i="75"/>
  <c r="O65" i="75"/>
  <c r="O66" i="75"/>
  <c r="O67" i="75"/>
  <c r="O68" i="75"/>
  <c r="O85" i="75"/>
  <c r="O14" i="75"/>
  <c r="O6" i="75"/>
  <c r="O7" i="75"/>
  <c r="O5" i="75"/>
  <c r="O141" i="74"/>
  <c r="O142" i="74"/>
  <c r="O151" i="74"/>
  <c r="O25" i="74"/>
  <c r="O26" i="74"/>
  <c r="O27" i="74"/>
  <c r="O28" i="74"/>
  <c r="O29" i="74"/>
  <c r="O30" i="74"/>
  <c r="O31" i="74"/>
  <c r="O47" i="74"/>
  <c r="O48" i="74"/>
  <c r="O49" i="74"/>
  <c r="O50" i="74"/>
  <c r="O51" i="74"/>
  <c r="O52" i="74"/>
  <c r="O53" i="74"/>
  <c r="O85" i="74"/>
  <c r="O14" i="74"/>
  <c r="O6" i="74"/>
  <c r="O7" i="74"/>
  <c r="O175" i="73"/>
  <c r="O162" i="73"/>
  <c r="O153" i="73"/>
  <c r="O116" i="73"/>
  <c r="O117" i="73"/>
  <c r="O118" i="73"/>
  <c r="O119" i="73"/>
  <c r="O120" i="73"/>
  <c r="O121" i="73"/>
  <c r="O122" i="73"/>
  <c r="O138" i="73"/>
  <c r="O140" i="73"/>
  <c r="O141" i="73"/>
  <c r="O142" i="73"/>
  <c r="O151" i="73"/>
  <c r="O115" i="73"/>
  <c r="O88" i="73"/>
  <c r="O89" i="73"/>
  <c r="O113" i="73"/>
  <c r="O87" i="73"/>
  <c r="O15" i="73"/>
  <c r="O16" i="73"/>
  <c r="O17" i="73"/>
  <c r="O18" i="73"/>
  <c r="O19" i="73"/>
  <c r="O20" i="73"/>
  <c r="O21" i="73"/>
  <c r="O22" i="73"/>
  <c r="O23" i="73"/>
  <c r="O24" i="73"/>
  <c r="O25" i="73"/>
  <c r="O26" i="73"/>
  <c r="O27" i="73"/>
  <c r="O28" i="73"/>
  <c r="O29" i="73"/>
  <c r="O30" i="73"/>
  <c r="O31" i="73"/>
  <c r="O32" i="73"/>
  <c r="O33" i="73"/>
  <c r="O34" i="73"/>
  <c r="O35" i="73"/>
  <c r="O36" i="73"/>
  <c r="O37" i="73"/>
  <c r="O38" i="73"/>
  <c r="O39" i="73"/>
  <c r="O40" i="73"/>
  <c r="O41" i="73"/>
  <c r="O42" i="73"/>
  <c r="O43" i="73"/>
  <c r="O44" i="73"/>
  <c r="O45" i="73"/>
  <c r="O46" i="73"/>
  <c r="O47" i="73"/>
  <c r="O48" i="73"/>
  <c r="O49" i="73"/>
  <c r="O50" i="73"/>
  <c r="O51" i="73"/>
  <c r="O52" i="73"/>
  <c r="O53" i="73"/>
  <c r="O54" i="73"/>
  <c r="O55" i="73"/>
  <c r="O56" i="73"/>
  <c r="O57" i="73"/>
  <c r="O58" i="73"/>
  <c r="O59" i="73"/>
  <c r="O60" i="73"/>
  <c r="O61" i="73"/>
  <c r="O62" i="73"/>
  <c r="O63" i="73"/>
  <c r="O64" i="73"/>
  <c r="O65" i="73"/>
  <c r="O66" i="73"/>
  <c r="O67" i="73"/>
  <c r="O68" i="73"/>
  <c r="O85" i="73"/>
  <c r="O14" i="73"/>
  <c r="O6" i="73"/>
  <c r="O7" i="73"/>
  <c r="O5" i="73"/>
  <c r="P4" i="53"/>
  <c r="Q4" i="53"/>
  <c r="R4" i="53"/>
  <c r="S4" i="53"/>
  <c r="T4" i="53"/>
  <c r="U4" i="53"/>
  <c r="O175" i="72"/>
  <c r="O162" i="72"/>
  <c r="O153" i="72"/>
  <c r="O116" i="72"/>
  <c r="O117" i="72"/>
  <c r="O118" i="72"/>
  <c r="O119" i="72"/>
  <c r="O120" i="72"/>
  <c r="O121" i="72"/>
  <c r="O122" i="72"/>
  <c r="O138" i="72"/>
  <c r="O140" i="72"/>
  <c r="O141" i="72"/>
  <c r="O142" i="72"/>
  <c r="O151" i="72"/>
  <c r="O115" i="72"/>
  <c r="K35" i="14"/>
  <c r="O88" i="72"/>
  <c r="O89" i="72"/>
  <c r="O113" i="72"/>
  <c r="O87" i="72"/>
  <c r="O85" i="72"/>
  <c r="O15" i="72"/>
  <c r="O16" i="72"/>
  <c r="O17" i="72"/>
  <c r="O18" i="72"/>
  <c r="O19" i="72"/>
  <c r="O20" i="72"/>
  <c r="O21" i="72"/>
  <c r="O22" i="72"/>
  <c r="O23" i="72"/>
  <c r="O24" i="72"/>
  <c r="O25" i="72"/>
  <c r="O26" i="72"/>
  <c r="O27" i="72"/>
  <c r="O28" i="72"/>
  <c r="O29" i="72"/>
  <c r="O30" i="72"/>
  <c r="O31" i="72"/>
  <c r="O32" i="72"/>
  <c r="O33" i="72"/>
  <c r="O34" i="72"/>
  <c r="O35" i="72"/>
  <c r="O36" i="72"/>
  <c r="O37" i="72"/>
  <c r="O38" i="72"/>
  <c r="O39" i="72"/>
  <c r="O40" i="72"/>
  <c r="O41" i="72"/>
  <c r="O42" i="72"/>
  <c r="O43" i="72"/>
  <c r="O44" i="72"/>
  <c r="O45" i="72"/>
  <c r="O46" i="72"/>
  <c r="O47" i="72"/>
  <c r="O48" i="72"/>
  <c r="O49" i="72"/>
  <c r="O50" i="72"/>
  <c r="O51" i="72"/>
  <c r="O52" i="72"/>
  <c r="O53" i="72"/>
  <c r="O54" i="72"/>
  <c r="O55" i="72"/>
  <c r="O56" i="72"/>
  <c r="O57" i="72"/>
  <c r="O58" i="72"/>
  <c r="O59" i="72"/>
  <c r="O60" i="72"/>
  <c r="O61" i="72"/>
  <c r="O62" i="72"/>
  <c r="O63" i="72"/>
  <c r="O64" i="72"/>
  <c r="O65" i="72"/>
  <c r="O66" i="72"/>
  <c r="O67" i="72"/>
  <c r="O68" i="72"/>
  <c r="O14" i="72"/>
  <c r="O6" i="72"/>
  <c r="O7" i="72"/>
  <c r="O5" i="72"/>
  <c r="H3" i="57"/>
  <c r="G3" i="57"/>
  <c r="H208" i="14"/>
  <c r="I208" i="14" s="1"/>
  <c r="H207" i="14"/>
  <c r="I207" i="14" s="1"/>
  <c r="H203" i="14"/>
  <c r="I203" i="14" s="1"/>
  <c r="H202" i="14"/>
  <c r="I202" i="14" s="1"/>
  <c r="H201" i="14"/>
  <c r="I201" i="14" s="1"/>
  <c r="H200" i="14"/>
  <c r="I200" i="14" s="1"/>
  <c r="H199" i="14"/>
  <c r="I199" i="14" s="1"/>
  <c r="R154" i="14"/>
  <c r="R182" i="14" s="1"/>
  <c r="Q154" i="14"/>
  <c r="Q182" i="14" s="1"/>
  <c r="P154" i="14"/>
  <c r="P182" i="14" s="1"/>
  <c r="R153" i="14"/>
  <c r="R181" i="14" s="1"/>
  <c r="Q153" i="14"/>
  <c r="Q181" i="14" s="1"/>
  <c r="P153" i="14"/>
  <c r="P181" i="14" s="1"/>
  <c r="R152" i="14"/>
  <c r="R180" i="14" s="1"/>
  <c r="Q152" i="14"/>
  <c r="Q180" i="14" s="1"/>
  <c r="P152" i="14"/>
  <c r="P180" i="14" s="1"/>
  <c r="R151" i="14"/>
  <c r="R179" i="14" s="1"/>
  <c r="Q151" i="14"/>
  <c r="Q179" i="14" s="1"/>
  <c r="P151" i="14"/>
  <c r="P179" i="14" s="1"/>
  <c r="R150" i="14"/>
  <c r="R178" i="14" s="1"/>
  <c r="Q150" i="14"/>
  <c r="Q178" i="14" s="1"/>
  <c r="P150" i="14"/>
  <c r="P178" i="14" s="1"/>
  <c r="R149" i="14"/>
  <c r="R177" i="14" s="1"/>
  <c r="Q149" i="14"/>
  <c r="Q177" i="14" s="1"/>
  <c r="P149" i="14"/>
  <c r="P177" i="14" s="1"/>
  <c r="R148" i="14"/>
  <c r="R176" i="14" s="1"/>
  <c r="Q148" i="14"/>
  <c r="Q176" i="14" s="1"/>
  <c r="P148" i="14"/>
  <c r="P176" i="14" s="1"/>
  <c r="R147" i="14"/>
  <c r="R175" i="14" s="1"/>
  <c r="Q147" i="14"/>
  <c r="Q175" i="14" s="1"/>
  <c r="P147" i="14"/>
  <c r="P175" i="14" s="1"/>
  <c r="R146" i="14"/>
  <c r="R174" i="14" s="1"/>
  <c r="Q146" i="14"/>
  <c r="Q174" i="14" s="1"/>
  <c r="P146" i="14"/>
  <c r="P174" i="14" s="1"/>
  <c r="Q145" i="14"/>
  <c r="Q173" i="14" s="1"/>
  <c r="R145" i="14"/>
  <c r="R173" i="14" s="1"/>
  <c r="P145" i="14"/>
  <c r="P173" i="14" s="1"/>
  <c r="R163" i="14"/>
  <c r="R162" i="14"/>
  <c r="R190" i="14" s="1"/>
  <c r="R159" i="14"/>
  <c r="R187" i="14" s="1"/>
  <c r="R158" i="14"/>
  <c r="R186" i="14" s="1"/>
  <c r="R157" i="14"/>
  <c r="R185" i="14" s="1"/>
  <c r="D176" i="14"/>
  <c r="F164" i="14"/>
  <c r="F192" i="14" s="1"/>
  <c r="E164" i="14"/>
  <c r="E192" i="14" s="1"/>
  <c r="F163" i="14"/>
  <c r="F191" i="14" s="1"/>
  <c r="E163" i="14"/>
  <c r="E191" i="14" s="1"/>
  <c r="F162" i="14"/>
  <c r="F190" i="14" s="1"/>
  <c r="E162" i="14"/>
  <c r="E190" i="14" s="1"/>
  <c r="F161" i="14"/>
  <c r="F189" i="14" s="1"/>
  <c r="E161" i="14"/>
  <c r="E189" i="14" s="1"/>
  <c r="F160" i="14"/>
  <c r="F188" i="14" s="1"/>
  <c r="E160" i="14"/>
  <c r="E188" i="14" s="1"/>
  <c r="F159" i="14"/>
  <c r="F187" i="14" s="1"/>
  <c r="E159" i="14"/>
  <c r="E187" i="14" s="1"/>
  <c r="F158" i="14"/>
  <c r="F186" i="14" s="1"/>
  <c r="E158" i="14"/>
  <c r="E186" i="14" s="1"/>
  <c r="F157" i="14"/>
  <c r="F185" i="14" s="1"/>
  <c r="E157" i="14"/>
  <c r="E185" i="14" s="1"/>
  <c r="F156" i="14"/>
  <c r="F184" i="14" s="1"/>
  <c r="E156" i="14"/>
  <c r="E184" i="14" s="1"/>
  <c r="F155" i="14"/>
  <c r="F183" i="14" s="1"/>
  <c r="E155" i="14"/>
  <c r="E183" i="14" s="1"/>
  <c r="F154" i="14"/>
  <c r="F182" i="14" s="1"/>
  <c r="E154" i="14"/>
  <c r="E182" i="14" s="1"/>
  <c r="F153" i="14"/>
  <c r="F181" i="14" s="1"/>
  <c r="E153" i="14"/>
  <c r="E181" i="14" s="1"/>
  <c r="F152" i="14"/>
  <c r="F180" i="14" s="1"/>
  <c r="E152" i="14"/>
  <c r="E180" i="14" s="1"/>
  <c r="F151" i="14"/>
  <c r="F179" i="14" s="1"/>
  <c r="E151" i="14"/>
  <c r="E179" i="14" s="1"/>
  <c r="F150" i="14"/>
  <c r="F178" i="14" s="1"/>
  <c r="E150" i="14"/>
  <c r="E178" i="14" s="1"/>
  <c r="F149" i="14"/>
  <c r="F177" i="14" s="1"/>
  <c r="E149" i="14"/>
  <c r="E177" i="14" s="1"/>
  <c r="F148" i="14"/>
  <c r="F176" i="14" s="1"/>
  <c r="E148" i="14"/>
  <c r="E176" i="14" s="1"/>
  <c r="F147" i="14"/>
  <c r="F175" i="14" s="1"/>
  <c r="E147" i="14"/>
  <c r="E175" i="14" s="1"/>
  <c r="F146" i="14"/>
  <c r="F174" i="14" s="1"/>
  <c r="E146" i="14"/>
  <c r="E174" i="14" s="1"/>
  <c r="F145" i="14"/>
  <c r="F173" i="14" s="1"/>
  <c r="E145" i="14"/>
  <c r="E173" i="14" s="1"/>
  <c r="F144" i="14"/>
  <c r="F172" i="14" s="1"/>
  <c r="E144" i="14"/>
  <c r="E172" i="14" s="1"/>
  <c r="D164" i="14"/>
  <c r="D192" i="14" s="1"/>
  <c r="I192" i="14" s="1"/>
  <c r="D163" i="14"/>
  <c r="D191" i="14" s="1"/>
  <c r="D162" i="14"/>
  <c r="D190" i="14" s="1"/>
  <c r="H190" i="14" s="1"/>
  <c r="D161" i="14"/>
  <c r="G161" i="14" s="1"/>
  <c r="D160" i="14"/>
  <c r="D188" i="14" s="1"/>
  <c r="I188" i="14" s="1"/>
  <c r="D159" i="14"/>
  <c r="H159" i="14" s="1"/>
  <c r="D158" i="14"/>
  <c r="G158" i="14" s="1"/>
  <c r="D157" i="14"/>
  <c r="D156" i="14"/>
  <c r="D184" i="14" s="1"/>
  <c r="I184" i="14" s="1"/>
  <c r="D155" i="14"/>
  <c r="G155" i="14" s="1"/>
  <c r="D154" i="14"/>
  <c r="D153" i="14"/>
  <c r="I153" i="14" s="1"/>
  <c r="D152" i="14"/>
  <c r="I152" i="14" s="1"/>
  <c r="D151" i="14"/>
  <c r="I151" i="14" s="1"/>
  <c r="D150" i="14"/>
  <c r="G150" i="14" s="1"/>
  <c r="D149" i="14"/>
  <c r="I149" i="14" s="1"/>
  <c r="D148" i="14"/>
  <c r="I148" i="14" s="1"/>
  <c r="D147" i="14"/>
  <c r="G147" i="14" s="1"/>
  <c r="D146" i="14"/>
  <c r="D145" i="14"/>
  <c r="I145" i="14" s="1"/>
  <c r="D144" i="14"/>
  <c r="D172" i="14" s="1"/>
  <c r="G172" i="14" s="1"/>
  <c r="I144" i="14"/>
  <c r="K136" i="14"/>
  <c r="K135" i="14"/>
  <c r="K134" i="14"/>
  <c r="K133" i="14"/>
  <c r="K132" i="14"/>
  <c r="K131" i="14"/>
  <c r="K130" i="14"/>
  <c r="K129" i="14"/>
  <c r="K128" i="14"/>
  <c r="K127" i="14"/>
  <c r="K126" i="14"/>
  <c r="K125" i="14"/>
  <c r="K124" i="14"/>
  <c r="K123" i="14"/>
  <c r="K122" i="14"/>
  <c r="K121" i="14"/>
  <c r="K120" i="14"/>
  <c r="K119" i="14"/>
  <c r="K118" i="14"/>
  <c r="K117" i="14"/>
  <c r="K116" i="14"/>
  <c r="K109" i="14"/>
  <c r="K108" i="14"/>
  <c r="K107" i="14"/>
  <c r="K106" i="14"/>
  <c r="K105" i="14"/>
  <c r="K104" i="14"/>
  <c r="K103" i="14"/>
  <c r="K102" i="14"/>
  <c r="K101" i="14"/>
  <c r="K100" i="14"/>
  <c r="K99" i="14"/>
  <c r="K98" i="14"/>
  <c r="K97" i="14"/>
  <c r="K96" i="14"/>
  <c r="K95" i="14"/>
  <c r="K94" i="14"/>
  <c r="K93" i="14"/>
  <c r="K92" i="14"/>
  <c r="K91" i="14"/>
  <c r="K90" i="14"/>
  <c r="K89" i="14"/>
  <c r="K62" i="14"/>
  <c r="K63" i="14"/>
  <c r="O5" i="84" s="1"/>
  <c r="K64" i="14"/>
  <c r="O32" i="74" s="1"/>
  <c r="K65" i="14"/>
  <c r="O30" i="84" s="1"/>
  <c r="K66" i="14"/>
  <c r="O29" i="84" s="1"/>
  <c r="K67" i="14"/>
  <c r="O88" i="74" s="1"/>
  <c r="K68" i="14"/>
  <c r="O115" i="74" s="1"/>
  <c r="K69" i="14"/>
  <c r="O12" i="84" s="1"/>
  <c r="K70" i="14"/>
  <c r="O15" i="84" s="1"/>
  <c r="K71" i="14"/>
  <c r="O162" i="74" s="1"/>
  <c r="K72" i="14"/>
  <c r="K73" i="14"/>
  <c r="K74" i="14"/>
  <c r="O24" i="84" s="1"/>
  <c r="K75" i="14"/>
  <c r="O175" i="74" s="1"/>
  <c r="K76" i="14"/>
  <c r="K77" i="14"/>
  <c r="K78" i="14"/>
  <c r="K79" i="14"/>
  <c r="K80" i="14"/>
  <c r="K81" i="14"/>
  <c r="K82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I109" i="14"/>
  <c r="H109" i="14"/>
  <c r="G109" i="14"/>
  <c r="I136" i="14"/>
  <c r="H136" i="14"/>
  <c r="G136" i="14"/>
  <c r="I135" i="14"/>
  <c r="H135" i="14"/>
  <c r="G135" i="14"/>
  <c r="I134" i="14"/>
  <c r="H134" i="14"/>
  <c r="G134" i="14"/>
  <c r="I133" i="14"/>
  <c r="H133" i="14"/>
  <c r="G133" i="14"/>
  <c r="I132" i="14"/>
  <c r="H132" i="14"/>
  <c r="G132" i="14"/>
  <c r="I131" i="14"/>
  <c r="H131" i="14"/>
  <c r="G131" i="14"/>
  <c r="I130" i="14"/>
  <c r="H130" i="14"/>
  <c r="G130" i="14"/>
  <c r="I129" i="14"/>
  <c r="H129" i="14"/>
  <c r="G129" i="14"/>
  <c r="I128" i="14"/>
  <c r="H128" i="14"/>
  <c r="G128" i="14"/>
  <c r="I127" i="14"/>
  <c r="H127" i="14"/>
  <c r="G127" i="14"/>
  <c r="I126" i="14"/>
  <c r="H126" i="14"/>
  <c r="G126" i="14"/>
  <c r="I125" i="14"/>
  <c r="H125" i="14"/>
  <c r="G125" i="14"/>
  <c r="I124" i="14"/>
  <c r="H124" i="14"/>
  <c r="G124" i="14"/>
  <c r="I123" i="14"/>
  <c r="H123" i="14"/>
  <c r="G123" i="14"/>
  <c r="I122" i="14"/>
  <c r="H122" i="14"/>
  <c r="G122" i="14"/>
  <c r="I121" i="14"/>
  <c r="H121" i="14"/>
  <c r="G121" i="14"/>
  <c r="I120" i="14"/>
  <c r="H120" i="14"/>
  <c r="G120" i="14"/>
  <c r="I119" i="14"/>
  <c r="H119" i="14"/>
  <c r="G119" i="14"/>
  <c r="I118" i="14"/>
  <c r="H118" i="14"/>
  <c r="G118" i="14"/>
  <c r="I117" i="14"/>
  <c r="H117" i="14"/>
  <c r="G117" i="14"/>
  <c r="I116" i="14"/>
  <c r="H116" i="14"/>
  <c r="G116" i="14"/>
  <c r="I108" i="14"/>
  <c r="H108" i="14"/>
  <c r="G108" i="14"/>
  <c r="I107" i="14"/>
  <c r="H107" i="14"/>
  <c r="G107" i="14"/>
  <c r="I106" i="14"/>
  <c r="H106" i="14"/>
  <c r="G106" i="14"/>
  <c r="I105" i="14"/>
  <c r="H105" i="14"/>
  <c r="G105" i="14"/>
  <c r="I104" i="14"/>
  <c r="H104" i="14"/>
  <c r="G104" i="14"/>
  <c r="I103" i="14"/>
  <c r="H103" i="14"/>
  <c r="G103" i="14"/>
  <c r="I102" i="14"/>
  <c r="H102" i="14"/>
  <c r="G102" i="14"/>
  <c r="I101" i="14"/>
  <c r="H101" i="14"/>
  <c r="G101" i="14"/>
  <c r="I100" i="14"/>
  <c r="H100" i="14"/>
  <c r="G100" i="14"/>
  <c r="I99" i="14"/>
  <c r="H99" i="14"/>
  <c r="G99" i="14"/>
  <c r="I98" i="14"/>
  <c r="H98" i="14"/>
  <c r="G98" i="14"/>
  <c r="I97" i="14"/>
  <c r="H97" i="14"/>
  <c r="G97" i="14"/>
  <c r="I96" i="14"/>
  <c r="H96" i="14"/>
  <c r="G96" i="14"/>
  <c r="I95" i="14"/>
  <c r="H95" i="14"/>
  <c r="G95" i="14"/>
  <c r="I94" i="14"/>
  <c r="H94" i="14"/>
  <c r="G94" i="14"/>
  <c r="I93" i="14"/>
  <c r="H93" i="14"/>
  <c r="G93" i="14"/>
  <c r="I92" i="14"/>
  <c r="H92" i="14"/>
  <c r="G92" i="14"/>
  <c r="I91" i="14"/>
  <c r="H91" i="14"/>
  <c r="G91" i="14"/>
  <c r="I90" i="14"/>
  <c r="H90" i="14"/>
  <c r="G90" i="14"/>
  <c r="I89" i="14"/>
  <c r="H89" i="14"/>
  <c r="G89" i="14"/>
  <c r="I82" i="14"/>
  <c r="H82" i="14"/>
  <c r="G82" i="14"/>
  <c r="I81" i="14"/>
  <c r="H81" i="14"/>
  <c r="G81" i="14"/>
  <c r="I80" i="14"/>
  <c r="H80" i="14"/>
  <c r="G80" i="14"/>
  <c r="I79" i="14"/>
  <c r="H79" i="14"/>
  <c r="G79" i="14"/>
  <c r="I78" i="14"/>
  <c r="H78" i="14"/>
  <c r="G78" i="14"/>
  <c r="I77" i="14"/>
  <c r="H77" i="14"/>
  <c r="G77" i="14"/>
  <c r="I76" i="14"/>
  <c r="H76" i="14"/>
  <c r="G76" i="14"/>
  <c r="I75" i="14"/>
  <c r="H75" i="14"/>
  <c r="G75" i="14"/>
  <c r="I74" i="14"/>
  <c r="H74" i="14"/>
  <c r="G74" i="14"/>
  <c r="I73" i="14"/>
  <c r="H73" i="14"/>
  <c r="G73" i="14"/>
  <c r="I72" i="14"/>
  <c r="H72" i="14"/>
  <c r="G72" i="14"/>
  <c r="I71" i="14"/>
  <c r="H71" i="14"/>
  <c r="G71" i="14"/>
  <c r="I70" i="14"/>
  <c r="H70" i="14"/>
  <c r="G70" i="14"/>
  <c r="I69" i="14"/>
  <c r="H69" i="14"/>
  <c r="G69" i="14"/>
  <c r="I68" i="14"/>
  <c r="H68" i="14"/>
  <c r="G68" i="14"/>
  <c r="I67" i="14"/>
  <c r="H67" i="14"/>
  <c r="G67" i="14"/>
  <c r="I66" i="14"/>
  <c r="H66" i="14"/>
  <c r="G66" i="14"/>
  <c r="I65" i="14"/>
  <c r="H65" i="14"/>
  <c r="G65" i="14"/>
  <c r="I64" i="14"/>
  <c r="H64" i="14"/>
  <c r="G64" i="14"/>
  <c r="I63" i="14"/>
  <c r="H63" i="14"/>
  <c r="G63" i="14"/>
  <c r="I62" i="14"/>
  <c r="H62" i="14"/>
  <c r="G62" i="14"/>
  <c r="I55" i="14"/>
  <c r="H55" i="14"/>
  <c r="G55" i="14"/>
  <c r="I54" i="14"/>
  <c r="H54" i="14"/>
  <c r="G54" i="14"/>
  <c r="I53" i="14"/>
  <c r="H53" i="14"/>
  <c r="G53" i="14"/>
  <c r="I52" i="14"/>
  <c r="H52" i="14"/>
  <c r="G52" i="14"/>
  <c r="I51" i="14"/>
  <c r="H51" i="14"/>
  <c r="G51" i="14"/>
  <c r="I50" i="14"/>
  <c r="H50" i="14"/>
  <c r="G50" i="14"/>
  <c r="I49" i="14"/>
  <c r="H49" i="14"/>
  <c r="G49" i="14"/>
  <c r="I48" i="14"/>
  <c r="H48" i="14"/>
  <c r="G48" i="14"/>
  <c r="I47" i="14"/>
  <c r="H47" i="14"/>
  <c r="G47" i="14"/>
  <c r="I46" i="14"/>
  <c r="H46" i="14"/>
  <c r="G46" i="14"/>
  <c r="I45" i="14"/>
  <c r="H45" i="14"/>
  <c r="G45" i="14"/>
  <c r="I44" i="14"/>
  <c r="H44" i="14"/>
  <c r="G44" i="14"/>
  <c r="I43" i="14"/>
  <c r="H43" i="14"/>
  <c r="G43" i="14"/>
  <c r="I42" i="14"/>
  <c r="H42" i="14"/>
  <c r="G42" i="14"/>
  <c r="I41" i="14"/>
  <c r="H41" i="14"/>
  <c r="G41" i="14"/>
  <c r="I40" i="14"/>
  <c r="H40" i="14"/>
  <c r="G40" i="14"/>
  <c r="I39" i="14"/>
  <c r="H39" i="14"/>
  <c r="G39" i="14"/>
  <c r="I38" i="14"/>
  <c r="H38" i="14"/>
  <c r="G38" i="14"/>
  <c r="I37" i="14"/>
  <c r="H37" i="14"/>
  <c r="G37" i="14"/>
  <c r="I36" i="14"/>
  <c r="H36" i="14"/>
  <c r="G36" i="14"/>
  <c r="I35" i="14"/>
  <c r="H35" i="14"/>
  <c r="G35" i="14"/>
  <c r="I28" i="14"/>
  <c r="H28" i="14"/>
  <c r="I27" i="14"/>
  <c r="H27" i="14"/>
  <c r="I26" i="14"/>
  <c r="H26" i="14"/>
  <c r="I25" i="14"/>
  <c r="H25" i="14"/>
  <c r="I24" i="14"/>
  <c r="H24" i="14"/>
  <c r="I23" i="14"/>
  <c r="H23" i="14"/>
  <c r="I22" i="14"/>
  <c r="H22" i="14"/>
  <c r="I21" i="14"/>
  <c r="H21" i="14"/>
  <c r="I20" i="14"/>
  <c r="H20" i="14"/>
  <c r="I19" i="14"/>
  <c r="H19" i="14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P7" i="81" l="1"/>
  <c r="R7" i="81" s="1"/>
  <c r="S7" i="81" s="1"/>
  <c r="T8" i="81" s="1"/>
  <c r="P23" i="81"/>
  <c r="G179" i="57"/>
  <c r="G178" i="57"/>
  <c r="G176" i="57"/>
  <c r="G174" i="57"/>
  <c r="H176" i="57"/>
  <c r="H174" i="57"/>
  <c r="P30" i="81"/>
  <c r="R30" i="81" s="1"/>
  <c r="S30" i="81" s="1"/>
  <c r="P29" i="81"/>
  <c r="R29" i="81" s="1"/>
  <c r="S29" i="81" s="1"/>
  <c r="P17" i="81"/>
  <c r="R17" i="81" s="1"/>
  <c r="S17" i="81" s="1"/>
  <c r="P20" i="81"/>
  <c r="R20" i="81" s="1"/>
  <c r="S20" i="81" s="1"/>
  <c r="P5" i="81"/>
  <c r="R5" i="81" s="1"/>
  <c r="S5" i="81" s="1"/>
  <c r="T6" i="81" s="1"/>
  <c r="P18" i="81"/>
  <c r="R18" i="81" s="1"/>
  <c r="S18" i="81" s="1"/>
  <c r="P11" i="81"/>
  <c r="R11" i="81" s="1"/>
  <c r="S11" i="81" s="1"/>
  <c r="P27" i="81"/>
  <c r="R27" i="81" s="1"/>
  <c r="S27" i="81" s="1"/>
  <c r="P26" i="81"/>
  <c r="R26" i="81" s="1"/>
  <c r="S26" i="81" s="1"/>
  <c r="P25" i="81"/>
  <c r="R25" i="81" s="1"/>
  <c r="S25" i="81" s="1"/>
  <c r="G170" i="57"/>
  <c r="G169" i="57"/>
  <c r="G166" i="57"/>
  <c r="G171" i="57"/>
  <c r="G165" i="57"/>
  <c r="G167" i="57"/>
  <c r="H170" i="57"/>
  <c r="H169" i="57"/>
  <c r="H166" i="57"/>
  <c r="H171" i="57"/>
  <c r="H165" i="57"/>
  <c r="H167" i="57"/>
  <c r="H155" i="57"/>
  <c r="H161" i="57"/>
  <c r="H154" i="57"/>
  <c r="H160" i="57"/>
  <c r="H157" i="57"/>
  <c r="H158" i="57"/>
  <c r="H156" i="57"/>
  <c r="H159" i="57"/>
  <c r="G155" i="57"/>
  <c r="G161" i="57"/>
  <c r="G158" i="57"/>
  <c r="G154" i="57"/>
  <c r="G160" i="57"/>
  <c r="G157" i="57"/>
  <c r="G156" i="57"/>
  <c r="G159" i="57"/>
  <c r="G150" i="57"/>
  <c r="G145" i="57"/>
  <c r="G148" i="57"/>
  <c r="G144" i="57"/>
  <c r="G147" i="57"/>
  <c r="G143" i="57"/>
  <c r="G146" i="57"/>
  <c r="G149" i="57"/>
  <c r="H150" i="57"/>
  <c r="H145" i="57"/>
  <c r="H148" i="57"/>
  <c r="H144" i="57"/>
  <c r="H147" i="57"/>
  <c r="H143" i="57"/>
  <c r="H146" i="57"/>
  <c r="H149" i="57"/>
  <c r="G135" i="57"/>
  <c r="G128" i="57"/>
  <c r="G124" i="57"/>
  <c r="G132" i="57"/>
  <c r="G123" i="57"/>
  <c r="G126" i="57"/>
  <c r="G133" i="57"/>
  <c r="G136" i="57"/>
  <c r="G127" i="57"/>
  <c r="G130" i="57"/>
  <c r="G129" i="57"/>
  <c r="G131" i="57"/>
  <c r="G137" i="57"/>
  <c r="G134" i="57"/>
  <c r="G125" i="57"/>
  <c r="H135" i="57"/>
  <c r="H124" i="57"/>
  <c r="H128" i="57"/>
  <c r="H132" i="57"/>
  <c r="H123" i="57"/>
  <c r="H126" i="57"/>
  <c r="H133" i="57"/>
  <c r="H136" i="57"/>
  <c r="H127" i="57"/>
  <c r="H130" i="57"/>
  <c r="H129" i="57"/>
  <c r="H131" i="57"/>
  <c r="H125" i="57"/>
  <c r="H134" i="57"/>
  <c r="H137" i="57"/>
  <c r="G90" i="57"/>
  <c r="G94" i="57"/>
  <c r="G110" i="57"/>
  <c r="G103" i="57"/>
  <c r="G108" i="57"/>
  <c r="G92" i="57"/>
  <c r="G101" i="57"/>
  <c r="G98" i="57"/>
  <c r="G95" i="57"/>
  <c r="G111" i="57"/>
  <c r="G100" i="57"/>
  <c r="G106" i="57"/>
  <c r="G102" i="57"/>
  <c r="G105" i="57"/>
  <c r="G96" i="57"/>
  <c r="G109" i="57"/>
  <c r="G93" i="57"/>
  <c r="G91" i="57"/>
  <c r="G112" i="57"/>
  <c r="G99" i="57"/>
  <c r="G107" i="57"/>
  <c r="G97" i="57"/>
  <c r="G104" i="57"/>
  <c r="H105" i="57"/>
  <c r="H90" i="57"/>
  <c r="H94" i="57"/>
  <c r="H110" i="57"/>
  <c r="H103" i="57"/>
  <c r="H108" i="57"/>
  <c r="H92" i="57"/>
  <c r="H101" i="57"/>
  <c r="H98" i="57"/>
  <c r="H95" i="57"/>
  <c r="H111" i="57"/>
  <c r="H100" i="57"/>
  <c r="H106" i="57"/>
  <c r="H102" i="57"/>
  <c r="H96" i="57"/>
  <c r="H109" i="57"/>
  <c r="H93" i="57"/>
  <c r="H91" i="57"/>
  <c r="H112" i="57"/>
  <c r="H99" i="57"/>
  <c r="H107" i="57"/>
  <c r="H97" i="57"/>
  <c r="H104" i="57"/>
  <c r="G75" i="57"/>
  <c r="G81" i="57"/>
  <c r="G70" i="57"/>
  <c r="G78" i="57"/>
  <c r="G83" i="57"/>
  <c r="G79" i="57"/>
  <c r="G80" i="57"/>
  <c r="G84" i="57"/>
  <c r="G76" i="57"/>
  <c r="G82" i="57"/>
  <c r="G71" i="57"/>
  <c r="G74" i="57"/>
  <c r="G69" i="57"/>
  <c r="G77" i="57"/>
  <c r="G72" i="57"/>
  <c r="G73" i="57"/>
  <c r="H75" i="57"/>
  <c r="H81" i="57"/>
  <c r="H70" i="57"/>
  <c r="H78" i="57"/>
  <c r="H73" i="57"/>
  <c r="H83" i="57"/>
  <c r="H76" i="57"/>
  <c r="H71" i="57"/>
  <c r="H80" i="57"/>
  <c r="H77" i="57"/>
  <c r="H79" i="57"/>
  <c r="H82" i="57"/>
  <c r="H74" i="57"/>
  <c r="H69" i="57"/>
  <c r="H84" i="57"/>
  <c r="H72" i="57"/>
  <c r="G10" i="57"/>
  <c r="G8" i="57"/>
  <c r="G11" i="57"/>
  <c r="G9" i="57"/>
  <c r="G12" i="57"/>
  <c r="H10" i="57"/>
  <c r="H8" i="57"/>
  <c r="H11" i="57"/>
  <c r="H9" i="57"/>
  <c r="H12" i="57"/>
  <c r="O4" i="57"/>
  <c r="I4" i="57"/>
  <c r="K4" i="57"/>
  <c r="L4" i="57"/>
  <c r="M4" i="57"/>
  <c r="N4" i="57"/>
  <c r="J4" i="57"/>
  <c r="G28" i="82"/>
  <c r="I5" i="82"/>
  <c r="I15" i="82" s="1"/>
  <c r="P15" i="82" s="1"/>
  <c r="W15" i="82" s="1"/>
  <c r="L5" i="82"/>
  <c r="M5" i="82"/>
  <c r="M16" i="82" s="1"/>
  <c r="J5" i="82"/>
  <c r="J6" i="82" s="1"/>
  <c r="K5" i="82"/>
  <c r="K10" i="82" s="1"/>
  <c r="N5" i="82"/>
  <c r="N30" i="82" s="1"/>
  <c r="O5" i="82"/>
  <c r="O8" i="82" s="1"/>
  <c r="O140" i="74"/>
  <c r="O138" i="74"/>
  <c r="O14" i="84"/>
  <c r="O122" i="74"/>
  <c r="O121" i="74"/>
  <c r="O68" i="74"/>
  <c r="O46" i="74"/>
  <c r="O24" i="74"/>
  <c r="O120" i="74"/>
  <c r="O67" i="74"/>
  <c r="O45" i="74"/>
  <c r="O23" i="74"/>
  <c r="O119" i="74"/>
  <c r="O66" i="74"/>
  <c r="O44" i="74"/>
  <c r="O118" i="74"/>
  <c r="O65" i="74"/>
  <c r="O43" i="74"/>
  <c r="O21" i="74"/>
  <c r="O117" i="74"/>
  <c r="O64" i="74"/>
  <c r="O42" i="74"/>
  <c r="O20" i="74"/>
  <c r="O116" i="74"/>
  <c r="O63" i="74"/>
  <c r="O41" i="74"/>
  <c r="O19" i="74"/>
  <c r="O153" i="74"/>
  <c r="O62" i="74"/>
  <c r="O40" i="74"/>
  <c r="O18" i="74"/>
  <c r="O25" i="84"/>
  <c r="O61" i="74"/>
  <c r="O39" i="74"/>
  <c r="O17" i="74"/>
  <c r="O59" i="74"/>
  <c r="O37" i="74"/>
  <c r="O15" i="74"/>
  <c r="O22" i="74"/>
  <c r="O58" i="74"/>
  <c r="O36" i="74"/>
  <c r="O87" i="74"/>
  <c r="O57" i="74"/>
  <c r="O35" i="74"/>
  <c r="O113" i="74"/>
  <c r="O56" i="74"/>
  <c r="O60" i="74"/>
  <c r="O38" i="74"/>
  <c r="O16" i="74"/>
  <c r="O89" i="74"/>
  <c r="O55" i="74"/>
  <c r="O33" i="74"/>
  <c r="O34" i="74"/>
  <c r="O54" i="74"/>
  <c r="P19" i="81"/>
  <c r="R19" i="81" s="1"/>
  <c r="S19" i="81" s="1"/>
  <c r="T4" i="52"/>
  <c r="S4" i="52"/>
  <c r="R4" i="52"/>
  <c r="Q4" i="52"/>
  <c r="P4" i="52"/>
  <c r="O4" i="52"/>
  <c r="G160" i="14"/>
  <c r="D183" i="14"/>
  <c r="G183" i="14" s="1"/>
  <c r="D186" i="14"/>
  <c r="I186" i="14" s="1"/>
  <c r="H147" i="14"/>
  <c r="I147" i="14"/>
  <c r="G148" i="14"/>
  <c r="H148" i="14"/>
  <c r="G149" i="14"/>
  <c r="H149" i="14"/>
  <c r="H155" i="14"/>
  <c r="I155" i="14"/>
  <c r="G156" i="14"/>
  <c r="H156" i="14"/>
  <c r="I158" i="14"/>
  <c r="D173" i="14"/>
  <c r="I173" i="14" s="1"/>
  <c r="I156" i="14"/>
  <c r="H158" i="14"/>
  <c r="K158" i="14" s="1"/>
  <c r="O26" i="87" s="1"/>
  <c r="I159" i="14"/>
  <c r="G12" i="82"/>
  <c r="H31" i="82"/>
  <c r="H8" i="82"/>
  <c r="O4" i="53"/>
  <c r="G8" i="82"/>
  <c r="G18" i="82"/>
  <c r="G24" i="82"/>
  <c r="H26" i="82"/>
  <c r="H28" i="82"/>
  <c r="H15" i="82"/>
  <c r="H20" i="82"/>
  <c r="H30" i="82"/>
  <c r="H13" i="82"/>
  <c r="H19" i="82"/>
  <c r="H24" i="82"/>
  <c r="H12" i="82"/>
  <c r="H18" i="82"/>
  <c r="H22" i="82"/>
  <c r="H27" i="82"/>
  <c r="H25" i="82"/>
  <c r="H10" i="82"/>
  <c r="H16" i="82"/>
  <c r="G13" i="82"/>
  <c r="G27" i="82"/>
  <c r="G19" i="82"/>
  <c r="G22" i="82"/>
  <c r="G31" i="82"/>
  <c r="G26" i="82"/>
  <c r="G21" i="82"/>
  <c r="G16" i="82"/>
  <c r="G10" i="82"/>
  <c r="G30" i="82"/>
  <c r="G25" i="82"/>
  <c r="G20" i="82"/>
  <c r="G15" i="82"/>
  <c r="R23" i="81"/>
  <c r="S23" i="81" s="1"/>
  <c r="G6" i="82"/>
  <c r="H6" i="82"/>
  <c r="P15" i="81"/>
  <c r="R15" i="81" s="1"/>
  <c r="S15" i="81" s="1"/>
  <c r="H160" i="14"/>
  <c r="I160" i="14"/>
  <c r="D187" i="14"/>
  <c r="I187" i="14" s="1"/>
  <c r="I162" i="14"/>
  <c r="G163" i="14"/>
  <c r="H163" i="14"/>
  <c r="I163" i="14"/>
  <c r="D178" i="14"/>
  <c r="H178" i="14" s="1"/>
  <c r="G159" i="14"/>
  <c r="H154" i="14"/>
  <c r="D182" i="14"/>
  <c r="H182" i="14" s="1"/>
  <c r="I154" i="14"/>
  <c r="G154" i="14"/>
  <c r="D179" i="14"/>
  <c r="I179" i="14" s="1"/>
  <c r="D185" i="14"/>
  <c r="I185" i="14" s="1"/>
  <c r="I157" i="14"/>
  <c r="G157" i="14"/>
  <c r="D180" i="14"/>
  <c r="I180" i="14" s="1"/>
  <c r="I164" i="14"/>
  <c r="D189" i="14"/>
  <c r="I161" i="14"/>
  <c r="H161" i="14"/>
  <c r="D181" i="14"/>
  <c r="H181" i="14" s="1"/>
  <c r="H162" i="14"/>
  <c r="G162" i="14"/>
  <c r="H164" i="14"/>
  <c r="G164" i="14"/>
  <c r="I146" i="14"/>
  <c r="D174" i="14"/>
  <c r="I174" i="14" s="1"/>
  <c r="H157" i="14"/>
  <c r="D175" i="14"/>
  <c r="D177" i="14"/>
  <c r="G177" i="14" s="1"/>
  <c r="H188" i="14"/>
  <c r="G188" i="14"/>
  <c r="H172" i="14"/>
  <c r="I172" i="14"/>
  <c r="H164" i="57"/>
  <c r="H37" i="57"/>
  <c r="H36" i="57"/>
  <c r="H68" i="57"/>
  <c r="H59" i="57"/>
  <c r="H38" i="57"/>
  <c r="H87" i="57"/>
  <c r="H89" i="57"/>
  <c r="H88" i="57"/>
  <c r="H35" i="57"/>
  <c r="H34" i="57"/>
  <c r="G62" i="57"/>
  <c r="G37" i="57"/>
  <c r="G88" i="57"/>
  <c r="G87" i="57"/>
  <c r="G89" i="57"/>
  <c r="G35" i="57"/>
  <c r="G38" i="57"/>
  <c r="G36" i="57"/>
  <c r="G39" i="57"/>
  <c r="H49" i="57"/>
  <c r="G50" i="57"/>
  <c r="H18" i="57"/>
  <c r="H50" i="57"/>
  <c r="H142" i="57"/>
  <c r="G19" i="57"/>
  <c r="G51" i="57"/>
  <c r="G151" i="57"/>
  <c r="H20" i="57"/>
  <c r="H51" i="57"/>
  <c r="G153" i="57"/>
  <c r="G17" i="57"/>
  <c r="G21" i="57"/>
  <c r="H55" i="57"/>
  <c r="H153" i="57"/>
  <c r="G22" i="57"/>
  <c r="G56" i="57"/>
  <c r="G162" i="57"/>
  <c r="G113" i="57"/>
  <c r="H113" i="57"/>
  <c r="G14" i="57"/>
  <c r="H42" i="57"/>
  <c r="G115" i="57"/>
  <c r="H16" i="57"/>
  <c r="H116" i="57"/>
  <c r="G141" i="57"/>
  <c r="H22" i="57"/>
  <c r="H57" i="57"/>
  <c r="H162" i="57"/>
  <c r="G23" i="57"/>
  <c r="G58" i="57"/>
  <c r="G164" i="57"/>
  <c r="H23" i="57"/>
  <c r="H58" i="57"/>
  <c r="G34" i="57"/>
  <c r="G59" i="57"/>
  <c r="G175" i="57"/>
  <c r="G24" i="57"/>
  <c r="H151" i="57"/>
  <c r="H117" i="57"/>
  <c r="H65" i="57"/>
  <c r="H54" i="57"/>
  <c r="H43" i="57"/>
  <c r="H32" i="57"/>
  <c r="H21" i="57"/>
  <c r="H141" i="57"/>
  <c r="H115" i="57"/>
  <c r="H63" i="57"/>
  <c r="H52" i="57"/>
  <c r="H41" i="57"/>
  <c r="H30" i="57"/>
  <c r="H19" i="57"/>
  <c r="H85" i="57"/>
  <c r="H44" i="57"/>
  <c r="H31" i="57"/>
  <c r="H122" i="57"/>
  <c r="H56" i="57"/>
  <c r="H17" i="57"/>
  <c r="H175" i="57"/>
  <c r="H172" i="57"/>
  <c r="H67" i="57"/>
  <c r="H28" i="57"/>
  <c r="H120" i="57"/>
  <c r="H40" i="57"/>
  <c r="H15" i="57"/>
  <c r="H168" i="57"/>
  <c r="H66" i="57"/>
  <c r="H14" i="57"/>
  <c r="H53" i="57"/>
  <c r="H27" i="57"/>
  <c r="H119" i="57"/>
  <c r="H39" i="57"/>
  <c r="H24" i="57"/>
  <c r="G60" i="57"/>
  <c r="G118" i="57"/>
  <c r="H60" i="57"/>
  <c r="H25" i="57"/>
  <c r="H45" i="57"/>
  <c r="G61" i="57"/>
  <c r="G46" i="57"/>
  <c r="H121" i="57"/>
  <c r="G5" i="57"/>
  <c r="H62" i="57"/>
  <c r="G142" i="57"/>
  <c r="G116" i="57"/>
  <c r="G64" i="57"/>
  <c r="G53" i="57"/>
  <c r="G42" i="57"/>
  <c r="G31" i="57"/>
  <c r="G20" i="57"/>
  <c r="G138" i="57"/>
  <c r="G57" i="57"/>
  <c r="G18" i="57"/>
  <c r="G44" i="57"/>
  <c r="G30" i="57"/>
  <c r="G85" i="57"/>
  <c r="G121" i="57"/>
  <c r="G55" i="57"/>
  <c r="G41" i="57"/>
  <c r="G16" i="57"/>
  <c r="G172" i="57"/>
  <c r="G67" i="57"/>
  <c r="G54" i="57"/>
  <c r="G28" i="57"/>
  <c r="G40" i="57"/>
  <c r="G15" i="57"/>
  <c r="G168" i="57"/>
  <c r="G66" i="57"/>
  <c r="G52" i="57"/>
  <c r="G27" i="57"/>
  <c r="G120" i="57"/>
  <c r="G117" i="57"/>
  <c r="G43" i="57"/>
  <c r="G25" i="57"/>
  <c r="G45" i="57"/>
  <c r="H118" i="57"/>
  <c r="G119" i="57"/>
  <c r="G26" i="57"/>
  <c r="H61" i="57"/>
  <c r="H26" i="57"/>
  <c r="H46" i="57"/>
  <c r="G122" i="57"/>
  <c r="H5" i="57"/>
  <c r="G29" i="57"/>
  <c r="G47" i="57"/>
  <c r="H138" i="57"/>
  <c r="G6" i="57"/>
  <c r="H29" i="57"/>
  <c r="H47" i="57"/>
  <c r="G63" i="57"/>
  <c r="G33" i="57"/>
  <c r="G65" i="57"/>
  <c r="G140" i="57"/>
  <c r="H6" i="57"/>
  <c r="G32" i="57"/>
  <c r="G48" i="57"/>
  <c r="H64" i="57"/>
  <c r="G7" i="57"/>
  <c r="H48" i="57"/>
  <c r="H7" i="57"/>
  <c r="H33" i="57"/>
  <c r="G49" i="57"/>
  <c r="G68" i="57"/>
  <c r="H140" i="57"/>
  <c r="G176" i="14"/>
  <c r="H183" i="14"/>
  <c r="I190" i="14"/>
  <c r="H176" i="14"/>
  <c r="I183" i="14"/>
  <c r="G191" i="14"/>
  <c r="I176" i="14"/>
  <c r="G184" i="14"/>
  <c r="H191" i="14"/>
  <c r="H184" i="14"/>
  <c r="I191" i="14"/>
  <c r="G192" i="14"/>
  <c r="H192" i="14"/>
  <c r="G186" i="14"/>
  <c r="H186" i="14"/>
  <c r="G190" i="14"/>
  <c r="K160" i="14"/>
  <c r="O17" i="87" s="1"/>
  <c r="H150" i="14"/>
  <c r="I150" i="14"/>
  <c r="G151" i="14"/>
  <c r="H151" i="14"/>
  <c r="G152" i="14"/>
  <c r="G145" i="14"/>
  <c r="H152" i="14"/>
  <c r="H145" i="14"/>
  <c r="G153" i="14"/>
  <c r="G146" i="14"/>
  <c r="H153" i="14"/>
  <c r="H146" i="14"/>
  <c r="G144" i="14"/>
  <c r="H144" i="14"/>
  <c r="F125" i="70"/>
  <c r="F124" i="70"/>
  <c r="F123" i="70"/>
  <c r="F122" i="70"/>
  <c r="F121" i="70"/>
  <c r="F120" i="70"/>
  <c r="F118" i="70"/>
  <c r="F117" i="70"/>
  <c r="F116" i="70"/>
  <c r="F115" i="70"/>
  <c r="F114" i="70"/>
  <c r="F113" i="70"/>
  <c r="F91" i="70"/>
  <c r="Q18" i="52" l="1"/>
  <c r="Q19" i="52" s="1"/>
  <c r="R18" i="52"/>
  <c r="R19" i="52" s="1"/>
  <c r="R14" i="52"/>
  <c r="L178" i="57"/>
  <c r="L179" i="57"/>
  <c r="P18" i="52"/>
  <c r="P19" i="52" s="1"/>
  <c r="S18" i="52"/>
  <c r="S19" i="52" s="1"/>
  <c r="J178" i="57"/>
  <c r="J179" i="57"/>
  <c r="T18" i="52"/>
  <c r="T19" i="52" s="1"/>
  <c r="N178" i="57"/>
  <c r="N179" i="57"/>
  <c r="M179" i="57"/>
  <c r="M178" i="57"/>
  <c r="K178" i="57"/>
  <c r="K179" i="57"/>
  <c r="I178" i="57"/>
  <c r="I179" i="57"/>
  <c r="O18" i="52"/>
  <c r="O19" i="52" s="1"/>
  <c r="O179" i="57"/>
  <c r="O178" i="57"/>
  <c r="J176" i="57"/>
  <c r="J174" i="57"/>
  <c r="K176" i="57"/>
  <c r="K174" i="57"/>
  <c r="I174" i="57"/>
  <c r="I176" i="57"/>
  <c r="O176" i="57"/>
  <c r="O174" i="57"/>
  <c r="L174" i="57"/>
  <c r="L176" i="57"/>
  <c r="N174" i="57"/>
  <c r="N176" i="57"/>
  <c r="M176" i="57"/>
  <c r="M174" i="57"/>
  <c r="M167" i="57"/>
  <c r="M169" i="57"/>
  <c r="M166" i="57"/>
  <c r="M170" i="57"/>
  <c r="M171" i="57"/>
  <c r="M165" i="57"/>
  <c r="K165" i="57"/>
  <c r="K167" i="57"/>
  <c r="K169" i="57"/>
  <c r="K170" i="57"/>
  <c r="K166" i="57"/>
  <c r="K171" i="57"/>
  <c r="I171" i="57"/>
  <c r="I166" i="57"/>
  <c r="I165" i="57"/>
  <c r="I169" i="57"/>
  <c r="I170" i="57"/>
  <c r="I167" i="57"/>
  <c r="J165" i="57"/>
  <c r="J167" i="57"/>
  <c r="J169" i="57"/>
  <c r="J170" i="57"/>
  <c r="J166" i="57"/>
  <c r="J171" i="57"/>
  <c r="N169" i="57"/>
  <c r="N167" i="57"/>
  <c r="N165" i="57"/>
  <c r="N170" i="57"/>
  <c r="N166" i="57"/>
  <c r="N171" i="57"/>
  <c r="L165" i="57"/>
  <c r="L167" i="57"/>
  <c r="L169" i="57"/>
  <c r="L166" i="57"/>
  <c r="L170" i="57"/>
  <c r="L171" i="57"/>
  <c r="O169" i="57"/>
  <c r="O165" i="57"/>
  <c r="O167" i="57"/>
  <c r="O166" i="57"/>
  <c r="O170" i="57"/>
  <c r="O171" i="57"/>
  <c r="O161" i="57"/>
  <c r="O156" i="57"/>
  <c r="O159" i="57"/>
  <c r="O155" i="57"/>
  <c r="O157" i="57"/>
  <c r="O154" i="57"/>
  <c r="O160" i="57"/>
  <c r="O158" i="57"/>
  <c r="L158" i="57"/>
  <c r="L154" i="57"/>
  <c r="L155" i="57"/>
  <c r="L157" i="57"/>
  <c r="L161" i="57"/>
  <c r="L156" i="57"/>
  <c r="L159" i="57"/>
  <c r="L160" i="57"/>
  <c r="K158" i="57"/>
  <c r="K155" i="57"/>
  <c r="K156" i="57"/>
  <c r="K154" i="57"/>
  <c r="K157" i="57"/>
  <c r="K161" i="57"/>
  <c r="K160" i="57"/>
  <c r="K159" i="57"/>
  <c r="I156" i="57"/>
  <c r="I154" i="57"/>
  <c r="I158" i="57"/>
  <c r="I159" i="57"/>
  <c r="I155" i="57"/>
  <c r="I157" i="57"/>
  <c r="I161" i="57"/>
  <c r="I160" i="57"/>
  <c r="J161" i="57"/>
  <c r="J158" i="57"/>
  <c r="J159" i="57"/>
  <c r="J155" i="57"/>
  <c r="J157" i="57"/>
  <c r="J156" i="57"/>
  <c r="J160" i="57"/>
  <c r="J154" i="57"/>
  <c r="N161" i="57"/>
  <c r="N158" i="57"/>
  <c r="N155" i="57"/>
  <c r="N156" i="57"/>
  <c r="N154" i="57"/>
  <c r="N160" i="57"/>
  <c r="N157" i="57"/>
  <c r="N159" i="57"/>
  <c r="M158" i="57"/>
  <c r="M155" i="57"/>
  <c r="M156" i="57"/>
  <c r="M160" i="57"/>
  <c r="M154" i="57"/>
  <c r="M161" i="57"/>
  <c r="M157" i="57"/>
  <c r="M159" i="57"/>
  <c r="J144" i="57"/>
  <c r="J147" i="57"/>
  <c r="J143" i="57"/>
  <c r="J146" i="57"/>
  <c r="J150" i="57"/>
  <c r="J145" i="57"/>
  <c r="J149" i="57"/>
  <c r="J148" i="57"/>
  <c r="N144" i="57"/>
  <c r="N143" i="57"/>
  <c r="N147" i="57"/>
  <c r="N146" i="57"/>
  <c r="N149" i="57"/>
  <c r="N148" i="57"/>
  <c r="N150" i="57"/>
  <c r="N145" i="57"/>
  <c r="M147" i="57"/>
  <c r="M144" i="57"/>
  <c r="M143" i="57"/>
  <c r="M146" i="57"/>
  <c r="M145" i="57"/>
  <c r="M150" i="57"/>
  <c r="M148" i="57"/>
  <c r="M149" i="57"/>
  <c r="L144" i="57"/>
  <c r="L147" i="57"/>
  <c r="L143" i="57"/>
  <c r="L146" i="57"/>
  <c r="L149" i="57"/>
  <c r="L150" i="57"/>
  <c r="L145" i="57"/>
  <c r="L148" i="57"/>
  <c r="K147" i="57"/>
  <c r="K143" i="57"/>
  <c r="K144" i="57"/>
  <c r="K146" i="57"/>
  <c r="K148" i="57"/>
  <c r="K150" i="57"/>
  <c r="K149" i="57"/>
  <c r="K145" i="57"/>
  <c r="I144" i="57"/>
  <c r="I147" i="57"/>
  <c r="I146" i="57"/>
  <c r="I143" i="57"/>
  <c r="I148" i="57"/>
  <c r="I150" i="57"/>
  <c r="I149" i="57"/>
  <c r="I145" i="57"/>
  <c r="O144" i="57"/>
  <c r="O147" i="57"/>
  <c r="O143" i="57"/>
  <c r="O148" i="57"/>
  <c r="O146" i="57"/>
  <c r="O150" i="57"/>
  <c r="O149" i="57"/>
  <c r="O145" i="57"/>
  <c r="L127" i="57"/>
  <c r="L126" i="57"/>
  <c r="L129" i="57"/>
  <c r="L132" i="57"/>
  <c r="L133" i="57"/>
  <c r="L135" i="57"/>
  <c r="L130" i="57"/>
  <c r="L136" i="57"/>
  <c r="L128" i="57"/>
  <c r="L137" i="57"/>
  <c r="L123" i="57"/>
  <c r="L131" i="57"/>
  <c r="L124" i="57"/>
  <c r="L125" i="57"/>
  <c r="L134" i="57"/>
  <c r="K127" i="57"/>
  <c r="K126" i="57"/>
  <c r="K129" i="57"/>
  <c r="K135" i="57"/>
  <c r="K130" i="57"/>
  <c r="K133" i="57"/>
  <c r="K134" i="57"/>
  <c r="K137" i="57"/>
  <c r="K128" i="57"/>
  <c r="K132" i="57"/>
  <c r="K124" i="57"/>
  <c r="K131" i="57"/>
  <c r="K123" i="57"/>
  <c r="K125" i="57"/>
  <c r="K136" i="57"/>
  <c r="I123" i="57"/>
  <c r="I126" i="57"/>
  <c r="I136" i="57"/>
  <c r="I127" i="57"/>
  <c r="I129" i="57"/>
  <c r="I137" i="57"/>
  <c r="I130" i="57"/>
  <c r="I135" i="57"/>
  <c r="I125" i="57"/>
  <c r="I124" i="57"/>
  <c r="I132" i="57"/>
  <c r="I134" i="57"/>
  <c r="I133" i="57"/>
  <c r="I128" i="57"/>
  <c r="I131" i="57"/>
  <c r="J127" i="57"/>
  <c r="J126" i="57"/>
  <c r="J129" i="57"/>
  <c r="J137" i="57"/>
  <c r="J130" i="57"/>
  <c r="J135" i="57"/>
  <c r="J128" i="57"/>
  <c r="J134" i="57"/>
  <c r="J124" i="57"/>
  <c r="J133" i="57"/>
  <c r="J131" i="57"/>
  <c r="J136" i="57"/>
  <c r="J123" i="57"/>
  <c r="J125" i="57"/>
  <c r="J132" i="57"/>
  <c r="N127" i="57"/>
  <c r="N126" i="57"/>
  <c r="N129" i="57"/>
  <c r="N123" i="57"/>
  <c r="N132" i="57"/>
  <c r="N134" i="57"/>
  <c r="N137" i="57"/>
  <c r="N133" i="57"/>
  <c r="N130" i="57"/>
  <c r="N136" i="57"/>
  <c r="N128" i="57"/>
  <c r="N135" i="57"/>
  <c r="N125" i="57"/>
  <c r="N124" i="57"/>
  <c r="N131" i="57"/>
  <c r="M123" i="57"/>
  <c r="M135" i="57"/>
  <c r="M127" i="57"/>
  <c r="M126" i="57"/>
  <c r="M129" i="57"/>
  <c r="M132" i="57"/>
  <c r="M130" i="57"/>
  <c r="M136" i="57"/>
  <c r="M133" i="57"/>
  <c r="M128" i="57"/>
  <c r="M124" i="57"/>
  <c r="M134" i="57"/>
  <c r="M125" i="57"/>
  <c r="M131" i="57"/>
  <c r="M137" i="57"/>
  <c r="O127" i="57"/>
  <c r="O126" i="57"/>
  <c r="O129" i="57"/>
  <c r="O123" i="57"/>
  <c r="O132" i="57"/>
  <c r="O137" i="57"/>
  <c r="O130" i="57"/>
  <c r="O133" i="57"/>
  <c r="O136" i="57"/>
  <c r="O128" i="57"/>
  <c r="O125" i="57"/>
  <c r="O131" i="57"/>
  <c r="O134" i="57"/>
  <c r="O124" i="57"/>
  <c r="O135" i="57"/>
  <c r="N102" i="57"/>
  <c r="N100" i="57"/>
  <c r="N109" i="57"/>
  <c r="N91" i="57"/>
  <c r="N99" i="57"/>
  <c r="N97" i="57"/>
  <c r="N93" i="57"/>
  <c r="N110" i="57"/>
  <c r="N101" i="57"/>
  <c r="N107" i="57"/>
  <c r="N104" i="57"/>
  <c r="N98" i="57"/>
  <c r="N106" i="57"/>
  <c r="N112" i="57"/>
  <c r="N105" i="57"/>
  <c r="N96" i="57"/>
  <c r="N108" i="57"/>
  <c r="N92" i="57"/>
  <c r="N95" i="57"/>
  <c r="N103" i="57"/>
  <c r="N94" i="57"/>
  <c r="N90" i="57"/>
  <c r="N111" i="57"/>
  <c r="L100" i="57"/>
  <c r="L112" i="57"/>
  <c r="L91" i="57"/>
  <c r="L99" i="57"/>
  <c r="L93" i="57"/>
  <c r="L105" i="57"/>
  <c r="L106" i="57"/>
  <c r="L102" i="57"/>
  <c r="L101" i="57"/>
  <c r="L104" i="57"/>
  <c r="L109" i="57"/>
  <c r="L96" i="57"/>
  <c r="L107" i="57"/>
  <c r="L111" i="57"/>
  <c r="L110" i="57"/>
  <c r="L98" i="57"/>
  <c r="L92" i="57"/>
  <c r="L108" i="57"/>
  <c r="L95" i="57"/>
  <c r="L103" i="57"/>
  <c r="L94" i="57"/>
  <c r="L97" i="57"/>
  <c r="L90" i="57"/>
  <c r="J90" i="57"/>
  <c r="J101" i="57"/>
  <c r="J100" i="57"/>
  <c r="J96" i="57"/>
  <c r="J99" i="57"/>
  <c r="J97" i="57"/>
  <c r="J94" i="57"/>
  <c r="J91" i="57"/>
  <c r="J106" i="57"/>
  <c r="J102" i="57"/>
  <c r="J107" i="57"/>
  <c r="J109" i="57"/>
  <c r="J108" i="57"/>
  <c r="J95" i="57"/>
  <c r="J93" i="57"/>
  <c r="J104" i="57"/>
  <c r="J112" i="57"/>
  <c r="J110" i="57"/>
  <c r="J98" i="57"/>
  <c r="J92" i="57"/>
  <c r="J103" i="57"/>
  <c r="J111" i="57"/>
  <c r="J105" i="57"/>
  <c r="M103" i="57"/>
  <c r="M100" i="57"/>
  <c r="M93" i="57"/>
  <c r="M109" i="57"/>
  <c r="M107" i="57"/>
  <c r="M99" i="57"/>
  <c r="M105" i="57"/>
  <c r="M110" i="57"/>
  <c r="M112" i="57"/>
  <c r="M102" i="57"/>
  <c r="M104" i="57"/>
  <c r="M98" i="57"/>
  <c r="M96" i="57"/>
  <c r="M108" i="57"/>
  <c r="M92" i="57"/>
  <c r="M106" i="57"/>
  <c r="M101" i="57"/>
  <c r="M91" i="57"/>
  <c r="M95" i="57"/>
  <c r="M90" i="57"/>
  <c r="M94" i="57"/>
  <c r="M97" i="57"/>
  <c r="M111" i="57"/>
  <c r="K90" i="57"/>
  <c r="K100" i="57"/>
  <c r="K109" i="57"/>
  <c r="K112" i="57"/>
  <c r="K91" i="57"/>
  <c r="K99" i="57"/>
  <c r="K97" i="57"/>
  <c r="K111" i="57"/>
  <c r="K106" i="57"/>
  <c r="K104" i="57"/>
  <c r="K102" i="57"/>
  <c r="K110" i="57"/>
  <c r="K96" i="57"/>
  <c r="K107" i="57"/>
  <c r="K98" i="57"/>
  <c r="K108" i="57"/>
  <c r="K93" i="57"/>
  <c r="K92" i="57"/>
  <c r="K103" i="57"/>
  <c r="K101" i="57"/>
  <c r="K95" i="57"/>
  <c r="K94" i="57"/>
  <c r="K105" i="57"/>
  <c r="I101" i="57"/>
  <c r="I98" i="57"/>
  <c r="I95" i="57"/>
  <c r="I100" i="57"/>
  <c r="I96" i="57"/>
  <c r="I91" i="57"/>
  <c r="I97" i="57"/>
  <c r="I106" i="57"/>
  <c r="I111" i="57"/>
  <c r="I99" i="57"/>
  <c r="I104" i="57"/>
  <c r="I102" i="57"/>
  <c r="I112" i="57"/>
  <c r="I107" i="57"/>
  <c r="I109" i="57"/>
  <c r="I108" i="57"/>
  <c r="I92" i="57"/>
  <c r="I103" i="57"/>
  <c r="I90" i="57"/>
  <c r="I110" i="57"/>
  <c r="I93" i="57"/>
  <c r="I105" i="57"/>
  <c r="I94" i="57"/>
  <c r="O103" i="57"/>
  <c r="O93" i="57"/>
  <c r="O100" i="57"/>
  <c r="O109" i="57"/>
  <c r="O91" i="57"/>
  <c r="O94" i="57"/>
  <c r="O111" i="57"/>
  <c r="O99" i="57"/>
  <c r="O101" i="57"/>
  <c r="O106" i="57"/>
  <c r="O112" i="57"/>
  <c r="O107" i="57"/>
  <c r="O104" i="57"/>
  <c r="O96" i="57"/>
  <c r="O98" i="57"/>
  <c r="O92" i="57"/>
  <c r="O95" i="57"/>
  <c r="O102" i="57"/>
  <c r="O105" i="57"/>
  <c r="O97" i="57"/>
  <c r="O110" i="57"/>
  <c r="O108" i="57"/>
  <c r="O90" i="57"/>
  <c r="J82" i="57"/>
  <c r="J74" i="57"/>
  <c r="J81" i="57"/>
  <c r="J84" i="57"/>
  <c r="J72" i="57"/>
  <c r="J80" i="57"/>
  <c r="J71" i="57"/>
  <c r="J73" i="57"/>
  <c r="J76" i="57"/>
  <c r="J70" i="57"/>
  <c r="J77" i="57"/>
  <c r="J78" i="57"/>
  <c r="J69" i="57"/>
  <c r="J79" i="57"/>
  <c r="J83" i="57"/>
  <c r="J75" i="57"/>
  <c r="O82" i="57"/>
  <c r="O84" i="57"/>
  <c r="O72" i="57"/>
  <c r="O79" i="57"/>
  <c r="O74" i="57"/>
  <c r="O80" i="57"/>
  <c r="O73" i="57"/>
  <c r="O70" i="57"/>
  <c r="O81" i="57"/>
  <c r="O76" i="57"/>
  <c r="O77" i="57"/>
  <c r="O78" i="57"/>
  <c r="O83" i="57"/>
  <c r="O71" i="57"/>
  <c r="O75" i="57"/>
  <c r="O69" i="57"/>
  <c r="I82" i="57"/>
  <c r="I71" i="57"/>
  <c r="I74" i="57"/>
  <c r="I73" i="57"/>
  <c r="I83" i="57"/>
  <c r="I84" i="57"/>
  <c r="I80" i="57"/>
  <c r="I76" i="57"/>
  <c r="I78" i="57"/>
  <c r="I70" i="57"/>
  <c r="I69" i="57"/>
  <c r="I77" i="57"/>
  <c r="I81" i="57"/>
  <c r="I79" i="57"/>
  <c r="I72" i="57"/>
  <c r="I75" i="57"/>
  <c r="N83" i="57"/>
  <c r="N69" i="57"/>
  <c r="N82" i="57"/>
  <c r="N74" i="57"/>
  <c r="N84" i="57"/>
  <c r="N78" i="57"/>
  <c r="N79" i="57"/>
  <c r="N75" i="57"/>
  <c r="N81" i="57"/>
  <c r="N76" i="57"/>
  <c r="N72" i="57"/>
  <c r="N77" i="57"/>
  <c r="N71" i="57"/>
  <c r="N80" i="57"/>
  <c r="N70" i="57"/>
  <c r="N73" i="57"/>
  <c r="M83" i="57"/>
  <c r="M82" i="57"/>
  <c r="M81" i="57"/>
  <c r="M71" i="57"/>
  <c r="M84" i="57"/>
  <c r="M70" i="57"/>
  <c r="M69" i="57"/>
  <c r="M76" i="57"/>
  <c r="M78" i="57"/>
  <c r="M75" i="57"/>
  <c r="M80" i="57"/>
  <c r="M79" i="57"/>
  <c r="M73" i="57"/>
  <c r="M77" i="57"/>
  <c r="M72" i="57"/>
  <c r="M74" i="57"/>
  <c r="L83" i="57"/>
  <c r="L82" i="57"/>
  <c r="L69" i="57"/>
  <c r="L77" i="57"/>
  <c r="L73" i="57"/>
  <c r="L75" i="57"/>
  <c r="L84" i="57"/>
  <c r="L76" i="57"/>
  <c r="L70" i="57"/>
  <c r="L79" i="57"/>
  <c r="L72" i="57"/>
  <c r="L74" i="57"/>
  <c r="L71" i="57"/>
  <c r="L80" i="57"/>
  <c r="L78" i="57"/>
  <c r="L81" i="57"/>
  <c r="K82" i="57"/>
  <c r="K69" i="57"/>
  <c r="K74" i="57"/>
  <c r="K73" i="57"/>
  <c r="K71" i="57"/>
  <c r="K77" i="57"/>
  <c r="K75" i="57"/>
  <c r="K70" i="57"/>
  <c r="K80" i="57"/>
  <c r="K79" i="57"/>
  <c r="K84" i="57"/>
  <c r="K76" i="57"/>
  <c r="K78" i="57"/>
  <c r="K72" i="57"/>
  <c r="K81" i="57"/>
  <c r="K83" i="57"/>
  <c r="Q4" i="57"/>
  <c r="X4" i="57" s="1"/>
  <c r="J8" i="57"/>
  <c r="J12" i="57"/>
  <c r="J11" i="57"/>
  <c r="J9" i="57"/>
  <c r="J10" i="57"/>
  <c r="U4" i="57"/>
  <c r="AB4" i="57" s="1"/>
  <c r="N9" i="57"/>
  <c r="N8" i="57"/>
  <c r="N11" i="57"/>
  <c r="N12" i="57"/>
  <c r="N10" i="57"/>
  <c r="T4" i="57"/>
  <c r="AA4" i="57" s="1"/>
  <c r="M8" i="57"/>
  <c r="M11" i="57"/>
  <c r="M12" i="57"/>
  <c r="M10" i="57"/>
  <c r="M9" i="57"/>
  <c r="S4" i="57"/>
  <c r="Z4" i="57" s="1"/>
  <c r="L8" i="57"/>
  <c r="L12" i="57"/>
  <c r="L11" i="57"/>
  <c r="L10" i="57"/>
  <c r="L9" i="57"/>
  <c r="R4" i="57"/>
  <c r="Y4" i="57" s="1"/>
  <c r="K8" i="57"/>
  <c r="K12" i="57"/>
  <c r="K11" i="57"/>
  <c r="K9" i="57"/>
  <c r="K10" i="57"/>
  <c r="P4" i="57"/>
  <c r="W4" i="57" s="1"/>
  <c r="I10" i="57"/>
  <c r="I11" i="57"/>
  <c r="I8" i="57"/>
  <c r="I12" i="57"/>
  <c r="I9" i="57"/>
  <c r="V4" i="57"/>
  <c r="AC4" i="57" s="1"/>
  <c r="O8" i="57"/>
  <c r="O11" i="57"/>
  <c r="O12" i="57"/>
  <c r="O10" i="57"/>
  <c r="O9" i="57"/>
  <c r="P9" i="81"/>
  <c r="R9" i="81" s="1"/>
  <c r="S9" i="81" s="1"/>
  <c r="T10" i="81" s="1"/>
  <c r="P14" i="81"/>
  <c r="R14" i="81" s="1"/>
  <c r="S14" i="81" s="1"/>
  <c r="T16" i="81" s="1"/>
  <c r="P21" i="81"/>
  <c r="R21" i="81" s="1"/>
  <c r="S21" i="81" s="1"/>
  <c r="T22" i="81" s="1"/>
  <c r="P24" i="81"/>
  <c r="R24" i="81" s="1"/>
  <c r="S24" i="81" s="1"/>
  <c r="T28" i="81" s="1"/>
  <c r="P12" i="81"/>
  <c r="R12" i="81" s="1"/>
  <c r="S12" i="81" s="1"/>
  <c r="T13" i="81" s="1"/>
  <c r="N4" i="52"/>
  <c r="N14" i="52" s="1"/>
  <c r="T31" i="81"/>
  <c r="K155" i="14"/>
  <c r="K145" i="14"/>
  <c r="O5" i="87" s="1"/>
  <c r="K149" i="14"/>
  <c r="O9" i="87" s="1"/>
  <c r="K147" i="14"/>
  <c r="O30" i="87" s="1"/>
  <c r="K156" i="14"/>
  <c r="O24" i="87" s="1"/>
  <c r="K148" i="14"/>
  <c r="O29" i="87" s="1"/>
  <c r="K153" i="14"/>
  <c r="O14" i="87" s="1"/>
  <c r="K154" i="14"/>
  <c r="O23" i="87" s="1"/>
  <c r="K161" i="14"/>
  <c r="O18" i="87" s="1"/>
  <c r="K159" i="14"/>
  <c r="O27" i="87" s="1"/>
  <c r="H185" i="14"/>
  <c r="I177" i="14"/>
  <c r="H177" i="14"/>
  <c r="K177" i="14" s="1"/>
  <c r="O9" i="88" s="1"/>
  <c r="G173" i="14"/>
  <c r="K173" i="14" s="1"/>
  <c r="O5" i="88" s="1"/>
  <c r="K190" i="14"/>
  <c r="O19" i="88" s="1"/>
  <c r="H173" i="14"/>
  <c r="G187" i="14"/>
  <c r="G181" i="14"/>
  <c r="I181" i="14"/>
  <c r="G185" i="14"/>
  <c r="K185" i="14" s="1"/>
  <c r="H187" i="14"/>
  <c r="K163" i="14"/>
  <c r="O20" i="87" s="1"/>
  <c r="K164" i="14"/>
  <c r="K157" i="14"/>
  <c r="G178" i="14"/>
  <c r="K152" i="14"/>
  <c r="O15" i="87" s="1"/>
  <c r="M10" i="82"/>
  <c r="T10" i="82" s="1"/>
  <c r="AA10" i="82" s="1"/>
  <c r="I9" i="86" s="1"/>
  <c r="N9" i="86" s="1"/>
  <c r="J10" i="82"/>
  <c r="Q10" i="82" s="1"/>
  <c r="X10" i="82" s="1"/>
  <c r="I9" i="83" s="1"/>
  <c r="N9" i="83" s="1"/>
  <c r="U30" i="82"/>
  <c r="AB30" i="82" s="1"/>
  <c r="I29" i="87" s="1"/>
  <c r="N29" i="87" s="1"/>
  <c r="H29" i="87"/>
  <c r="V8" i="82"/>
  <c r="AC8" i="82" s="1"/>
  <c r="I7" i="88" s="1"/>
  <c r="N7" i="88" s="1"/>
  <c r="H7" i="88"/>
  <c r="P5" i="82"/>
  <c r="W5" i="82" s="1"/>
  <c r="M30" i="82"/>
  <c r="T30" i="82" s="1"/>
  <c r="AA30" i="82" s="1"/>
  <c r="I29" i="86" s="1"/>
  <c r="N29" i="86" s="1"/>
  <c r="I8" i="82"/>
  <c r="P8" i="82" s="1"/>
  <c r="W8" i="82" s="1"/>
  <c r="J18" i="82"/>
  <c r="Q18" i="82" s="1"/>
  <c r="X18" i="82" s="1"/>
  <c r="I17" i="83" s="1"/>
  <c r="N17" i="83" s="1"/>
  <c r="N18" i="82"/>
  <c r="M18" i="82"/>
  <c r="T18" i="82" s="1"/>
  <c r="AA18" i="82" s="1"/>
  <c r="I17" i="86" s="1"/>
  <c r="N17" i="86" s="1"/>
  <c r="T16" i="82"/>
  <c r="AA16" i="82" s="1"/>
  <c r="I15" i="86" s="1"/>
  <c r="N15" i="86" s="1"/>
  <c r="H15" i="86"/>
  <c r="R10" i="82"/>
  <c r="H9" i="84"/>
  <c r="L31" i="82"/>
  <c r="L21" i="82"/>
  <c r="L25" i="82"/>
  <c r="L28" i="82"/>
  <c r="L22" i="82"/>
  <c r="L27" i="82"/>
  <c r="L26" i="82"/>
  <c r="L20" i="82"/>
  <c r="K24" i="82"/>
  <c r="K25" i="82"/>
  <c r="K21" i="82"/>
  <c r="K22" i="82"/>
  <c r="K28" i="82"/>
  <c r="K26" i="82"/>
  <c r="K20" i="82"/>
  <c r="K27" i="82"/>
  <c r="K16" i="82"/>
  <c r="J19" i="82"/>
  <c r="J21" i="82"/>
  <c r="J25" i="82"/>
  <c r="J28" i="82"/>
  <c r="J27" i="82"/>
  <c r="J26" i="82"/>
  <c r="J20" i="82"/>
  <c r="J22" i="82"/>
  <c r="I16" i="82"/>
  <c r="P16" i="82" s="1"/>
  <c r="W16" i="82" s="1"/>
  <c r="I25" i="82"/>
  <c r="P25" i="82" s="1"/>
  <c r="W25" i="82" s="1"/>
  <c r="I27" i="82"/>
  <c r="P27" i="82" s="1"/>
  <c r="W27" i="82" s="1"/>
  <c r="I20" i="82"/>
  <c r="P20" i="82" s="1"/>
  <c r="W20" i="82" s="1"/>
  <c r="I21" i="82"/>
  <c r="P21" i="82" s="1"/>
  <c r="W21" i="82" s="1"/>
  <c r="I28" i="82"/>
  <c r="P28" i="82" s="1"/>
  <c r="W28" i="82" s="1"/>
  <c r="I26" i="82"/>
  <c r="P26" i="82" s="1"/>
  <c r="W26" i="82" s="1"/>
  <c r="I22" i="82"/>
  <c r="P22" i="82" s="1"/>
  <c r="W22" i="82" s="1"/>
  <c r="J16" i="82"/>
  <c r="I6" i="82"/>
  <c r="P6" i="82" s="1"/>
  <c r="W6" i="82" s="1"/>
  <c r="K6" i="82"/>
  <c r="V5" i="82"/>
  <c r="AC5" i="82" s="1"/>
  <c r="O21" i="82"/>
  <c r="O28" i="82"/>
  <c r="O26" i="82"/>
  <c r="O20" i="82"/>
  <c r="O22" i="82"/>
  <c r="O27" i="82"/>
  <c r="O25" i="82"/>
  <c r="N13" i="82"/>
  <c r="N28" i="82"/>
  <c r="N21" i="82"/>
  <c r="N25" i="82"/>
  <c r="N26" i="82"/>
  <c r="N20" i="82"/>
  <c r="N22" i="82"/>
  <c r="N27" i="82"/>
  <c r="T5" i="82"/>
  <c r="AA5" i="82" s="1"/>
  <c r="M21" i="82"/>
  <c r="M25" i="82"/>
  <c r="M20" i="82"/>
  <c r="M22" i="82"/>
  <c r="M28" i="82"/>
  <c r="M26" i="82"/>
  <c r="M27" i="82"/>
  <c r="Q6" i="82"/>
  <c r="X6" i="82" s="1"/>
  <c r="I5" i="83" s="1"/>
  <c r="N5" i="83" s="1"/>
  <c r="H5" i="83"/>
  <c r="M6" i="82"/>
  <c r="I24" i="82"/>
  <c r="P24" i="82" s="1"/>
  <c r="W24" i="82" s="1"/>
  <c r="O12" i="82"/>
  <c r="N8" i="82"/>
  <c r="N6" i="82"/>
  <c r="M8" i="82"/>
  <c r="O6" i="82"/>
  <c r="O13" i="82"/>
  <c r="L19" i="82"/>
  <c r="M15" i="82"/>
  <c r="N31" i="82"/>
  <c r="N19" i="82"/>
  <c r="N15" i="82"/>
  <c r="M24" i="82"/>
  <c r="O19" i="82"/>
  <c r="L13" i="82"/>
  <c r="N24" i="82"/>
  <c r="K19" i="82"/>
  <c r="O24" i="82"/>
  <c r="M19" i="82"/>
  <c r="J24" i="82"/>
  <c r="M31" i="82"/>
  <c r="O31" i="82"/>
  <c r="M13" i="82"/>
  <c r="J31" i="82"/>
  <c r="M12" i="82"/>
  <c r="I18" i="82"/>
  <c r="P18" i="82" s="1"/>
  <c r="W18" i="82" s="1"/>
  <c r="N12" i="82"/>
  <c r="S5" i="82"/>
  <c r="Z5" i="82" s="1"/>
  <c r="L24" i="82"/>
  <c r="L6" i="82"/>
  <c r="L12" i="82"/>
  <c r="K18" i="82"/>
  <c r="R5" i="82"/>
  <c r="Y5" i="82" s="1"/>
  <c r="J8" i="82"/>
  <c r="K15" i="82"/>
  <c r="L8" i="82"/>
  <c r="L10" i="82"/>
  <c r="L16" i="82"/>
  <c r="K31" i="82"/>
  <c r="K8" i="82"/>
  <c r="L18" i="82"/>
  <c r="J15" i="82"/>
  <c r="J13" i="82"/>
  <c r="L30" i="82"/>
  <c r="I10" i="82"/>
  <c r="P10" i="82" s="1"/>
  <c r="W10" i="82" s="1"/>
  <c r="O18" i="82"/>
  <c r="Q5" i="82"/>
  <c r="X5" i="82" s="1"/>
  <c r="L15" i="82"/>
  <c r="O30" i="82"/>
  <c r="I30" i="82"/>
  <c r="P30" i="82" s="1"/>
  <c r="W30" i="82" s="1"/>
  <c r="I31" i="82"/>
  <c r="P31" i="82" s="1"/>
  <c r="W31" i="82" s="1"/>
  <c r="J30" i="82"/>
  <c r="O15" i="82"/>
  <c r="K13" i="82"/>
  <c r="K30" i="82"/>
  <c r="I12" i="82"/>
  <c r="P12" i="82" s="1"/>
  <c r="W12" i="82" s="1"/>
  <c r="N16" i="82"/>
  <c r="I13" i="82"/>
  <c r="P13" i="82" s="1"/>
  <c r="W13" i="82" s="1"/>
  <c r="J12" i="82"/>
  <c r="I19" i="82"/>
  <c r="P19" i="82" s="1"/>
  <c r="W19" i="82" s="1"/>
  <c r="O16" i="82"/>
  <c r="N10" i="82"/>
  <c r="U5" i="82"/>
  <c r="AB5" i="82" s="1"/>
  <c r="K12" i="82"/>
  <c r="O10" i="82"/>
  <c r="G180" i="14"/>
  <c r="K162" i="14"/>
  <c r="O19" i="87" s="1"/>
  <c r="I178" i="14"/>
  <c r="G179" i="14"/>
  <c r="K172" i="14"/>
  <c r="H174" i="14"/>
  <c r="O162" i="77"/>
  <c r="O153" i="77"/>
  <c r="G174" i="14"/>
  <c r="K151" i="14"/>
  <c r="O12" i="87" s="1"/>
  <c r="K150" i="14"/>
  <c r="O11" i="87" s="1"/>
  <c r="O6" i="77"/>
  <c r="O7" i="77"/>
  <c r="O5" i="77"/>
  <c r="H180" i="14"/>
  <c r="H189" i="14"/>
  <c r="I189" i="14"/>
  <c r="G189" i="14"/>
  <c r="H179" i="14"/>
  <c r="H175" i="14"/>
  <c r="G175" i="14"/>
  <c r="I175" i="14"/>
  <c r="O89" i="77"/>
  <c r="O113" i="77"/>
  <c r="O87" i="77"/>
  <c r="O88" i="77"/>
  <c r="I182" i="14"/>
  <c r="G182" i="14"/>
  <c r="K182" i="14" s="1"/>
  <c r="O23" i="88" s="1"/>
  <c r="K192" i="14"/>
  <c r="K188" i="14"/>
  <c r="O17" i="88" s="1"/>
  <c r="K184" i="14"/>
  <c r="O24" i="88" s="1"/>
  <c r="K183" i="14"/>
  <c r="K186" i="14"/>
  <c r="O26" i="88" s="1"/>
  <c r="K176" i="14"/>
  <c r="O29" i="88" s="1"/>
  <c r="K191" i="14"/>
  <c r="O20" i="88" s="1"/>
  <c r="K146" i="14"/>
  <c r="O7" i="87" s="1"/>
  <c r="K144" i="14"/>
  <c r="N13" i="45"/>
  <c r="T178" i="57" l="1"/>
  <c r="AA178" i="57" s="1"/>
  <c r="I178" i="76" s="1"/>
  <c r="P178" i="76" s="1"/>
  <c r="R178" i="76" s="1"/>
  <c r="S178" i="76" s="1"/>
  <c r="H178" i="76"/>
  <c r="Q179" i="57"/>
  <c r="X179" i="57" s="1"/>
  <c r="I179" i="73" s="1"/>
  <c r="P179" i="73" s="1"/>
  <c r="R179" i="73" s="1"/>
  <c r="S179" i="73" s="1"/>
  <c r="H179" i="73"/>
  <c r="Q178" i="57"/>
  <c r="X178" i="57" s="1"/>
  <c r="I178" i="73" s="1"/>
  <c r="P178" i="73" s="1"/>
  <c r="R178" i="73" s="1"/>
  <c r="S178" i="73" s="1"/>
  <c r="H178" i="73"/>
  <c r="R178" i="57"/>
  <c r="Y178" i="57" s="1"/>
  <c r="I178" i="74" s="1"/>
  <c r="P178" i="74" s="1"/>
  <c r="R178" i="74" s="1"/>
  <c r="S178" i="74" s="1"/>
  <c r="H178" i="74"/>
  <c r="P15" i="52"/>
  <c r="P16" i="52"/>
  <c r="T179" i="57"/>
  <c r="AA179" i="57" s="1"/>
  <c r="I179" i="76" s="1"/>
  <c r="P179" i="76" s="1"/>
  <c r="R179" i="76" s="1"/>
  <c r="S179" i="76" s="1"/>
  <c r="H179" i="76"/>
  <c r="S16" i="52"/>
  <c r="S15" i="52"/>
  <c r="N15" i="52"/>
  <c r="N16" i="52"/>
  <c r="V178" i="57"/>
  <c r="AC178" i="57" s="1"/>
  <c r="I178" i="78" s="1"/>
  <c r="P178" i="78" s="1"/>
  <c r="R178" i="78" s="1"/>
  <c r="S178" i="78" s="1"/>
  <c r="H178" i="78"/>
  <c r="V179" i="57"/>
  <c r="AC179" i="57" s="1"/>
  <c r="I179" i="78" s="1"/>
  <c r="P179" i="78" s="1"/>
  <c r="R179" i="78" s="1"/>
  <c r="S179" i="78" s="1"/>
  <c r="H179" i="78"/>
  <c r="S179" i="57"/>
  <c r="Z179" i="57" s="1"/>
  <c r="I179" i="75" s="1"/>
  <c r="P179" i="75" s="1"/>
  <c r="R179" i="75" s="1"/>
  <c r="S179" i="75" s="1"/>
  <c r="H179" i="75"/>
  <c r="R179" i="57"/>
  <c r="Y179" i="57" s="1"/>
  <c r="I179" i="74" s="1"/>
  <c r="P179" i="74" s="1"/>
  <c r="R179" i="74" s="1"/>
  <c r="S179" i="74" s="1"/>
  <c r="H179" i="74"/>
  <c r="U179" i="57"/>
  <c r="AB179" i="57" s="1"/>
  <c r="I179" i="77" s="1"/>
  <c r="P179" i="77" s="1"/>
  <c r="R179" i="77" s="1"/>
  <c r="S179" i="77" s="1"/>
  <c r="H179" i="77"/>
  <c r="T16" i="52"/>
  <c r="T15" i="52"/>
  <c r="S178" i="57"/>
  <c r="Z178" i="57" s="1"/>
  <c r="I178" i="75" s="1"/>
  <c r="P178" i="75" s="1"/>
  <c r="R178" i="75" s="1"/>
  <c r="S178" i="75" s="1"/>
  <c r="H178" i="75"/>
  <c r="O16" i="52"/>
  <c r="O15" i="52"/>
  <c r="R15" i="52"/>
  <c r="R16" i="52"/>
  <c r="U178" i="57"/>
  <c r="AB178" i="57" s="1"/>
  <c r="I178" i="77" s="1"/>
  <c r="P178" i="77" s="1"/>
  <c r="R178" i="77" s="1"/>
  <c r="S178" i="77" s="1"/>
  <c r="T180" i="77" s="1"/>
  <c r="H178" i="77"/>
  <c r="P179" i="57"/>
  <c r="W179" i="57" s="1"/>
  <c r="I179" i="72" s="1"/>
  <c r="P179" i="72" s="1"/>
  <c r="R179" i="72" s="1"/>
  <c r="S179" i="72" s="1"/>
  <c r="H179" i="72"/>
  <c r="Q15" i="52"/>
  <c r="Q16" i="52"/>
  <c r="P178" i="57"/>
  <c r="W178" i="57" s="1"/>
  <c r="I178" i="72" s="1"/>
  <c r="P178" i="72" s="1"/>
  <c r="R178" i="72" s="1"/>
  <c r="S178" i="72" s="1"/>
  <c r="H178" i="72"/>
  <c r="S174" i="57"/>
  <c r="Z174" i="57" s="1"/>
  <c r="I174" i="75" s="1"/>
  <c r="H174" i="75"/>
  <c r="V174" i="57"/>
  <c r="AC174" i="57" s="1"/>
  <c r="I174" i="78" s="1"/>
  <c r="H174" i="78"/>
  <c r="V176" i="57"/>
  <c r="AC176" i="57" s="1"/>
  <c r="I176" i="78" s="1"/>
  <c r="H176" i="78"/>
  <c r="T176" i="57"/>
  <c r="AA176" i="57" s="1"/>
  <c r="I176" i="76" s="1"/>
  <c r="H176" i="76"/>
  <c r="U174" i="57"/>
  <c r="AB174" i="57" s="1"/>
  <c r="I174" i="77" s="1"/>
  <c r="H174" i="77"/>
  <c r="S176" i="57"/>
  <c r="Z176" i="57" s="1"/>
  <c r="I176" i="75" s="1"/>
  <c r="H176" i="75"/>
  <c r="H176" i="72"/>
  <c r="P176" i="57"/>
  <c r="W176" i="57" s="1"/>
  <c r="I176" i="72" s="1"/>
  <c r="P174" i="57"/>
  <c r="W174" i="57" s="1"/>
  <c r="I174" i="72" s="1"/>
  <c r="H174" i="72"/>
  <c r="T174" i="57"/>
  <c r="AA174" i="57" s="1"/>
  <c r="I174" i="76" s="1"/>
  <c r="H174" i="76"/>
  <c r="U176" i="57"/>
  <c r="AB176" i="57" s="1"/>
  <c r="I176" i="77" s="1"/>
  <c r="H176" i="77"/>
  <c r="R174" i="57"/>
  <c r="Y174" i="57" s="1"/>
  <c r="I174" i="74" s="1"/>
  <c r="H174" i="74"/>
  <c r="R176" i="57"/>
  <c r="Y176" i="57" s="1"/>
  <c r="I176" i="74" s="1"/>
  <c r="H176" i="74"/>
  <c r="Q174" i="57"/>
  <c r="X174" i="57" s="1"/>
  <c r="I174" i="73" s="1"/>
  <c r="H174" i="73"/>
  <c r="Q176" i="57"/>
  <c r="X176" i="57" s="1"/>
  <c r="I176" i="73" s="1"/>
  <c r="H176" i="73"/>
  <c r="N18" i="52"/>
  <c r="N19" i="52" s="1"/>
  <c r="R171" i="57"/>
  <c r="Y171" i="57" s="1"/>
  <c r="I171" i="74" s="1"/>
  <c r="H171" i="74"/>
  <c r="R170" i="57"/>
  <c r="Y170" i="57" s="1"/>
  <c r="I170" i="74" s="1"/>
  <c r="H170" i="74"/>
  <c r="S165" i="57"/>
  <c r="Z165" i="57" s="1"/>
  <c r="I165" i="75" s="1"/>
  <c r="H165" i="75"/>
  <c r="H169" i="74"/>
  <c r="R169" i="57"/>
  <c r="Y169" i="57" s="1"/>
  <c r="I169" i="74" s="1"/>
  <c r="U171" i="57"/>
  <c r="AB171" i="57" s="1"/>
  <c r="I171" i="77" s="1"/>
  <c r="H171" i="77"/>
  <c r="H167" i="74"/>
  <c r="R167" i="57"/>
  <c r="Y167" i="57" s="1"/>
  <c r="I167" i="74" s="1"/>
  <c r="U166" i="57"/>
  <c r="AB166" i="57" s="1"/>
  <c r="I166" i="77" s="1"/>
  <c r="H166" i="77"/>
  <c r="R165" i="57"/>
  <c r="Y165" i="57" s="1"/>
  <c r="I165" i="74" s="1"/>
  <c r="H165" i="74"/>
  <c r="U170" i="57"/>
  <c r="AB170" i="57" s="1"/>
  <c r="I170" i="77" s="1"/>
  <c r="H170" i="77"/>
  <c r="T165" i="57"/>
  <c r="AA165" i="57" s="1"/>
  <c r="I165" i="76" s="1"/>
  <c r="H165" i="76"/>
  <c r="H165" i="77"/>
  <c r="U165" i="57"/>
  <c r="AB165" i="57" s="1"/>
  <c r="I165" i="77" s="1"/>
  <c r="T171" i="57"/>
  <c r="AA171" i="57" s="1"/>
  <c r="I171" i="76" s="1"/>
  <c r="H171" i="76"/>
  <c r="Q169" i="57"/>
  <c r="X169" i="57" s="1"/>
  <c r="I169" i="73" s="1"/>
  <c r="H169" i="73"/>
  <c r="V171" i="57"/>
  <c r="AC171" i="57" s="1"/>
  <c r="I171" i="78" s="1"/>
  <c r="H171" i="78"/>
  <c r="Q165" i="57"/>
  <c r="X165" i="57" s="1"/>
  <c r="I165" i="73" s="1"/>
  <c r="H165" i="73"/>
  <c r="V166" i="57"/>
  <c r="AC166" i="57" s="1"/>
  <c r="I166" i="78" s="1"/>
  <c r="H166" i="78"/>
  <c r="P170" i="57"/>
  <c r="W170" i="57" s="1"/>
  <c r="I170" i="72" s="1"/>
  <c r="H170" i="72"/>
  <c r="V165" i="57"/>
  <c r="AC165" i="57" s="1"/>
  <c r="I165" i="78" s="1"/>
  <c r="H165" i="78"/>
  <c r="V169" i="57"/>
  <c r="AC169" i="57" s="1"/>
  <c r="I169" i="78" s="1"/>
  <c r="H169" i="78"/>
  <c r="S171" i="57"/>
  <c r="Z171" i="57" s="1"/>
  <c r="I171" i="75" s="1"/>
  <c r="H171" i="75"/>
  <c r="Q170" i="57"/>
  <c r="X170" i="57" s="1"/>
  <c r="I170" i="73" s="1"/>
  <c r="H170" i="73"/>
  <c r="Q167" i="57"/>
  <c r="X167" i="57" s="1"/>
  <c r="I167" i="73" s="1"/>
  <c r="H167" i="73"/>
  <c r="H170" i="78"/>
  <c r="V170" i="57"/>
  <c r="AC170" i="57" s="1"/>
  <c r="I170" i="78" s="1"/>
  <c r="P167" i="57"/>
  <c r="W167" i="57" s="1"/>
  <c r="I167" i="72" s="1"/>
  <c r="H167" i="72"/>
  <c r="V167" i="57"/>
  <c r="AC167" i="57" s="1"/>
  <c r="I167" i="78" s="1"/>
  <c r="H167" i="78"/>
  <c r="P169" i="57"/>
  <c r="W169" i="57" s="1"/>
  <c r="I169" i="72" s="1"/>
  <c r="H169" i="72"/>
  <c r="P165" i="57"/>
  <c r="W165" i="57" s="1"/>
  <c r="I165" i="72" s="1"/>
  <c r="H165" i="72"/>
  <c r="P166" i="57"/>
  <c r="W166" i="57" s="1"/>
  <c r="I166" i="72" s="1"/>
  <c r="H166" i="72"/>
  <c r="S170" i="57"/>
  <c r="Z170" i="57" s="1"/>
  <c r="I170" i="75" s="1"/>
  <c r="H170" i="75"/>
  <c r="H171" i="72"/>
  <c r="P171" i="57"/>
  <c r="W171" i="57" s="1"/>
  <c r="I171" i="72" s="1"/>
  <c r="S166" i="57"/>
  <c r="Z166" i="57" s="1"/>
  <c r="I166" i="75" s="1"/>
  <c r="H166" i="75"/>
  <c r="S169" i="57"/>
  <c r="Z169" i="57" s="1"/>
  <c r="I169" i="75" s="1"/>
  <c r="H169" i="75"/>
  <c r="R166" i="57"/>
  <c r="Y166" i="57" s="1"/>
  <c r="I166" i="74" s="1"/>
  <c r="H166" i="74"/>
  <c r="S167" i="57"/>
  <c r="Z167" i="57" s="1"/>
  <c r="I167" i="75" s="1"/>
  <c r="H167" i="75"/>
  <c r="U167" i="57"/>
  <c r="AB167" i="57" s="1"/>
  <c r="I167" i="77" s="1"/>
  <c r="H167" i="77"/>
  <c r="T170" i="57"/>
  <c r="AA170" i="57" s="1"/>
  <c r="I170" i="76" s="1"/>
  <c r="H170" i="76"/>
  <c r="U169" i="57"/>
  <c r="AB169" i="57" s="1"/>
  <c r="I169" i="77" s="1"/>
  <c r="H169" i="77"/>
  <c r="T166" i="57"/>
  <c r="AA166" i="57" s="1"/>
  <c r="I166" i="76" s="1"/>
  <c r="H166" i="76"/>
  <c r="Q171" i="57"/>
  <c r="X171" i="57" s="1"/>
  <c r="I171" i="73" s="1"/>
  <c r="H171" i="73"/>
  <c r="T169" i="57"/>
  <c r="AA169" i="57" s="1"/>
  <c r="I169" i="76" s="1"/>
  <c r="H169" i="76"/>
  <c r="Q166" i="57"/>
  <c r="X166" i="57" s="1"/>
  <c r="I166" i="73" s="1"/>
  <c r="H166" i="73"/>
  <c r="T167" i="57"/>
  <c r="AA167" i="57" s="1"/>
  <c r="I167" i="76" s="1"/>
  <c r="H167" i="76"/>
  <c r="Q159" i="57"/>
  <c r="X159" i="57" s="1"/>
  <c r="I159" i="73" s="1"/>
  <c r="H159" i="73"/>
  <c r="H161" i="73"/>
  <c r="Q161" i="57"/>
  <c r="X161" i="57" s="1"/>
  <c r="I161" i="73" s="1"/>
  <c r="H158" i="73"/>
  <c r="Q158" i="57"/>
  <c r="X158" i="57" s="1"/>
  <c r="I158" i="73" s="1"/>
  <c r="H157" i="76"/>
  <c r="T157" i="57"/>
  <c r="AA157" i="57" s="1"/>
  <c r="I157" i="76" s="1"/>
  <c r="H155" i="75"/>
  <c r="S155" i="57"/>
  <c r="Z155" i="57" s="1"/>
  <c r="I155" i="75" s="1"/>
  <c r="H161" i="76"/>
  <c r="T161" i="57"/>
  <c r="AA161" i="57" s="1"/>
  <c r="I161" i="76" s="1"/>
  <c r="P160" i="57"/>
  <c r="W160" i="57" s="1"/>
  <c r="I160" i="72" s="1"/>
  <c r="H160" i="72"/>
  <c r="S154" i="57"/>
  <c r="Z154" i="57" s="1"/>
  <c r="I154" i="75" s="1"/>
  <c r="H154" i="75"/>
  <c r="T154" i="57"/>
  <c r="AA154" i="57" s="1"/>
  <c r="I154" i="76" s="1"/>
  <c r="H154" i="76"/>
  <c r="P161" i="57"/>
  <c r="W161" i="57" s="1"/>
  <c r="I161" i="72" s="1"/>
  <c r="H161" i="72"/>
  <c r="S158" i="57"/>
  <c r="Z158" i="57" s="1"/>
  <c r="I158" i="75" s="1"/>
  <c r="H158" i="75"/>
  <c r="H160" i="76"/>
  <c r="T160" i="57"/>
  <c r="AA160" i="57" s="1"/>
  <c r="I160" i="76" s="1"/>
  <c r="P157" i="57"/>
  <c r="W157" i="57" s="1"/>
  <c r="I157" i="72" s="1"/>
  <c r="H157" i="72"/>
  <c r="V158" i="57"/>
  <c r="AC158" i="57" s="1"/>
  <c r="I158" i="78" s="1"/>
  <c r="H158" i="78"/>
  <c r="T156" i="57"/>
  <c r="AA156" i="57" s="1"/>
  <c r="I156" i="76" s="1"/>
  <c r="H156" i="76"/>
  <c r="P155" i="57"/>
  <c r="W155" i="57" s="1"/>
  <c r="I155" i="72" s="1"/>
  <c r="H155" i="72"/>
  <c r="H160" i="78"/>
  <c r="V160" i="57"/>
  <c r="AC160" i="57" s="1"/>
  <c r="I160" i="78" s="1"/>
  <c r="T155" i="57"/>
  <c r="AA155" i="57" s="1"/>
  <c r="I155" i="76" s="1"/>
  <c r="H155" i="76"/>
  <c r="P159" i="57"/>
  <c r="W159" i="57" s="1"/>
  <c r="I159" i="72" s="1"/>
  <c r="H159" i="72"/>
  <c r="V154" i="57"/>
  <c r="AC154" i="57" s="1"/>
  <c r="I154" i="78" s="1"/>
  <c r="H154" i="78"/>
  <c r="T158" i="57"/>
  <c r="AA158" i="57" s="1"/>
  <c r="I158" i="76" s="1"/>
  <c r="H158" i="76"/>
  <c r="P158" i="57"/>
  <c r="W158" i="57" s="1"/>
  <c r="I158" i="72" s="1"/>
  <c r="H158" i="72"/>
  <c r="V157" i="57"/>
  <c r="AC157" i="57" s="1"/>
  <c r="I157" i="78" s="1"/>
  <c r="H157" i="78"/>
  <c r="R161" i="57"/>
  <c r="Y161" i="57" s="1"/>
  <c r="I161" i="74" s="1"/>
  <c r="H161" i="74"/>
  <c r="U155" i="57"/>
  <c r="AB155" i="57" s="1"/>
  <c r="I155" i="77" s="1"/>
  <c r="H155" i="77"/>
  <c r="R154" i="57"/>
  <c r="Y154" i="57" s="1"/>
  <c r="I154" i="74" s="1"/>
  <c r="H154" i="74"/>
  <c r="U161" i="57"/>
  <c r="AB161" i="57" s="1"/>
  <c r="I161" i="77" s="1"/>
  <c r="H161" i="77"/>
  <c r="R155" i="57"/>
  <c r="Y155" i="57" s="1"/>
  <c r="I155" i="74" s="1"/>
  <c r="H155" i="74"/>
  <c r="H160" i="73"/>
  <c r="Q160" i="57"/>
  <c r="X160" i="57" s="1"/>
  <c r="I160" i="73" s="1"/>
  <c r="Q156" i="57"/>
  <c r="X156" i="57" s="1"/>
  <c r="I156" i="73" s="1"/>
  <c r="H156" i="73"/>
  <c r="S159" i="57"/>
  <c r="Z159" i="57" s="1"/>
  <c r="I159" i="75" s="1"/>
  <c r="H159" i="75"/>
  <c r="S156" i="57"/>
  <c r="Z156" i="57" s="1"/>
  <c r="I156" i="75" s="1"/>
  <c r="H156" i="75"/>
  <c r="H159" i="76"/>
  <c r="T159" i="57"/>
  <c r="AA159" i="57" s="1"/>
  <c r="I159" i="76" s="1"/>
  <c r="U159" i="57"/>
  <c r="AB159" i="57" s="1"/>
  <c r="I159" i="77" s="1"/>
  <c r="H159" i="77"/>
  <c r="V155" i="57"/>
  <c r="AC155" i="57" s="1"/>
  <c r="I155" i="78" s="1"/>
  <c r="H155" i="78"/>
  <c r="U156" i="57"/>
  <c r="AB156" i="57" s="1"/>
  <c r="I156" i="77" s="1"/>
  <c r="H156" i="77"/>
  <c r="R157" i="57"/>
  <c r="Y157" i="57" s="1"/>
  <c r="I157" i="74" s="1"/>
  <c r="H157" i="74"/>
  <c r="H158" i="77"/>
  <c r="U158" i="57"/>
  <c r="AB158" i="57" s="1"/>
  <c r="I158" i="77" s="1"/>
  <c r="R156" i="57"/>
  <c r="Y156" i="57" s="1"/>
  <c r="I156" i="74" s="1"/>
  <c r="H156" i="74"/>
  <c r="Q154" i="57"/>
  <c r="X154" i="57" s="1"/>
  <c r="I154" i="73" s="1"/>
  <c r="H154" i="73"/>
  <c r="R158" i="57"/>
  <c r="Y158" i="57" s="1"/>
  <c r="I158" i="74" s="1"/>
  <c r="H158" i="74"/>
  <c r="H160" i="75"/>
  <c r="S160" i="57"/>
  <c r="Z160" i="57" s="1"/>
  <c r="I160" i="75" s="1"/>
  <c r="Q157" i="57"/>
  <c r="X157" i="57" s="1"/>
  <c r="I157" i="73" s="1"/>
  <c r="H157" i="73"/>
  <c r="Q155" i="57"/>
  <c r="X155" i="57" s="1"/>
  <c r="I155" i="73" s="1"/>
  <c r="H155" i="73"/>
  <c r="S161" i="57"/>
  <c r="Z161" i="57" s="1"/>
  <c r="I161" i="75" s="1"/>
  <c r="H161" i="75"/>
  <c r="S157" i="57"/>
  <c r="Z157" i="57" s="1"/>
  <c r="I157" i="75" s="1"/>
  <c r="H157" i="75"/>
  <c r="H154" i="72"/>
  <c r="P154" i="57"/>
  <c r="W154" i="57" s="1"/>
  <c r="I154" i="72" s="1"/>
  <c r="U157" i="57"/>
  <c r="AB157" i="57" s="1"/>
  <c r="I157" i="77" s="1"/>
  <c r="H157" i="77"/>
  <c r="P156" i="57"/>
  <c r="W156" i="57" s="1"/>
  <c r="I156" i="72" s="1"/>
  <c r="H156" i="72"/>
  <c r="V159" i="57"/>
  <c r="AC159" i="57" s="1"/>
  <c r="I159" i="78" s="1"/>
  <c r="H159" i="78"/>
  <c r="U160" i="57"/>
  <c r="AB160" i="57" s="1"/>
  <c r="I160" i="77" s="1"/>
  <c r="H160" i="77"/>
  <c r="H159" i="74"/>
  <c r="R159" i="57"/>
  <c r="Y159" i="57" s="1"/>
  <c r="I159" i="74" s="1"/>
  <c r="H156" i="78"/>
  <c r="V156" i="57"/>
  <c r="AC156" i="57" s="1"/>
  <c r="I156" i="78" s="1"/>
  <c r="U154" i="57"/>
  <c r="AB154" i="57" s="1"/>
  <c r="I154" i="77" s="1"/>
  <c r="H154" i="77"/>
  <c r="R160" i="57"/>
  <c r="Y160" i="57" s="1"/>
  <c r="I160" i="74" s="1"/>
  <c r="H160" i="74"/>
  <c r="V161" i="57"/>
  <c r="AC161" i="57" s="1"/>
  <c r="I161" i="78" s="1"/>
  <c r="H161" i="78"/>
  <c r="T150" i="57"/>
  <c r="AA150" i="57" s="1"/>
  <c r="I150" i="76" s="1"/>
  <c r="H150" i="76"/>
  <c r="T145" i="57"/>
  <c r="AA145" i="57" s="1"/>
  <c r="I145" i="76" s="1"/>
  <c r="H145" i="76"/>
  <c r="P147" i="57"/>
  <c r="W147" i="57" s="1"/>
  <c r="I147" i="72" s="1"/>
  <c r="H147" i="72"/>
  <c r="H143" i="76"/>
  <c r="T143" i="57"/>
  <c r="AA143" i="57" s="1"/>
  <c r="I143" i="76" s="1"/>
  <c r="R145" i="57"/>
  <c r="Y145" i="57" s="1"/>
  <c r="I145" i="74" s="1"/>
  <c r="H145" i="74"/>
  <c r="H149" i="74"/>
  <c r="R149" i="57"/>
  <c r="Y149" i="57" s="1"/>
  <c r="I149" i="74" s="1"/>
  <c r="R150" i="57"/>
  <c r="Y150" i="57" s="1"/>
  <c r="I150" i="74" s="1"/>
  <c r="H150" i="74"/>
  <c r="R148" i="57"/>
  <c r="Y148" i="57" s="1"/>
  <c r="I148" i="74" s="1"/>
  <c r="H148" i="74"/>
  <c r="H146" i="74"/>
  <c r="R146" i="57"/>
  <c r="Y146" i="57" s="1"/>
  <c r="I146" i="74" s="1"/>
  <c r="R144" i="57"/>
  <c r="Y144" i="57" s="1"/>
  <c r="I144" i="74" s="1"/>
  <c r="H144" i="74"/>
  <c r="V145" i="57"/>
  <c r="AC145" i="57" s="1"/>
  <c r="I145" i="78" s="1"/>
  <c r="H145" i="78"/>
  <c r="U146" i="57"/>
  <c r="AB146" i="57" s="1"/>
  <c r="I146" i="77" s="1"/>
  <c r="H146" i="77"/>
  <c r="V149" i="57"/>
  <c r="AC149" i="57" s="1"/>
  <c r="I149" i="78" s="1"/>
  <c r="H149" i="78"/>
  <c r="R147" i="57"/>
  <c r="Y147" i="57" s="1"/>
  <c r="I147" i="74" s="1"/>
  <c r="H147" i="74"/>
  <c r="H143" i="77"/>
  <c r="U143" i="57"/>
  <c r="AB143" i="57" s="1"/>
  <c r="I143" i="77" s="1"/>
  <c r="S145" i="57"/>
  <c r="Z145" i="57" s="1"/>
  <c r="I145" i="75" s="1"/>
  <c r="H145" i="75"/>
  <c r="Q148" i="57"/>
  <c r="X148" i="57" s="1"/>
  <c r="I148" i="73" s="1"/>
  <c r="H148" i="73"/>
  <c r="H149" i="75"/>
  <c r="S149" i="57"/>
  <c r="Z149" i="57" s="1"/>
  <c r="I149" i="75" s="1"/>
  <c r="H147" i="78"/>
  <c r="V147" i="57"/>
  <c r="AC147" i="57" s="1"/>
  <c r="I147" i="78" s="1"/>
  <c r="H146" i="75"/>
  <c r="S146" i="57"/>
  <c r="Z146" i="57" s="1"/>
  <c r="I146" i="75" s="1"/>
  <c r="P145" i="57"/>
  <c r="W145" i="57" s="1"/>
  <c r="I145" i="72" s="1"/>
  <c r="H145" i="72"/>
  <c r="H143" i="72"/>
  <c r="P143" i="57"/>
  <c r="W143" i="57" s="1"/>
  <c r="I143" i="72" s="1"/>
  <c r="H146" i="72"/>
  <c r="P146" i="57"/>
  <c r="W146" i="57" s="1"/>
  <c r="I146" i="72" s="1"/>
  <c r="T146" i="57"/>
  <c r="AA146" i="57" s="1"/>
  <c r="I146" i="76" s="1"/>
  <c r="H146" i="76"/>
  <c r="P144" i="57"/>
  <c r="W144" i="57" s="1"/>
  <c r="I144" i="72" s="1"/>
  <c r="H144" i="72"/>
  <c r="T144" i="57"/>
  <c r="AA144" i="57" s="1"/>
  <c r="I144" i="76" s="1"/>
  <c r="H144" i="76"/>
  <c r="T147" i="57"/>
  <c r="AA147" i="57" s="1"/>
  <c r="I147" i="76" s="1"/>
  <c r="H147" i="76"/>
  <c r="U145" i="57"/>
  <c r="AB145" i="57" s="1"/>
  <c r="I145" i="77" s="1"/>
  <c r="H145" i="77"/>
  <c r="U150" i="57"/>
  <c r="AB150" i="57" s="1"/>
  <c r="I150" i="77" s="1"/>
  <c r="H150" i="77"/>
  <c r="U148" i="57"/>
  <c r="AB148" i="57" s="1"/>
  <c r="I148" i="77" s="1"/>
  <c r="H148" i="77"/>
  <c r="H149" i="77"/>
  <c r="U149" i="57"/>
  <c r="AB149" i="57" s="1"/>
  <c r="I149" i="77" s="1"/>
  <c r="H143" i="74"/>
  <c r="R143" i="57"/>
  <c r="Y143" i="57" s="1"/>
  <c r="I143" i="74" s="1"/>
  <c r="U147" i="57"/>
  <c r="AB147" i="57" s="1"/>
  <c r="I147" i="77" s="1"/>
  <c r="H147" i="77"/>
  <c r="V150" i="57"/>
  <c r="AC150" i="57" s="1"/>
  <c r="I150" i="78" s="1"/>
  <c r="H150" i="78"/>
  <c r="S148" i="57"/>
  <c r="Z148" i="57" s="1"/>
  <c r="I148" i="75" s="1"/>
  <c r="H148" i="75"/>
  <c r="V146" i="57"/>
  <c r="AC146" i="57" s="1"/>
  <c r="I146" i="78" s="1"/>
  <c r="H146" i="78"/>
  <c r="H144" i="77"/>
  <c r="U144" i="57"/>
  <c r="AB144" i="57" s="1"/>
  <c r="I144" i="77" s="1"/>
  <c r="V148" i="57"/>
  <c r="AC148" i="57" s="1"/>
  <c r="I148" i="78" s="1"/>
  <c r="H148" i="78"/>
  <c r="S150" i="57"/>
  <c r="Z150" i="57" s="1"/>
  <c r="I150" i="75" s="1"/>
  <c r="H150" i="75"/>
  <c r="H143" i="78"/>
  <c r="V143" i="57"/>
  <c r="AC143" i="57" s="1"/>
  <c r="I143" i="78" s="1"/>
  <c r="H149" i="73"/>
  <c r="Q149" i="57"/>
  <c r="X149" i="57" s="1"/>
  <c r="I149" i="73" s="1"/>
  <c r="Q145" i="57"/>
  <c r="X145" i="57" s="1"/>
  <c r="I145" i="73" s="1"/>
  <c r="H145" i="73"/>
  <c r="V144" i="57"/>
  <c r="AC144" i="57" s="1"/>
  <c r="I144" i="78" s="1"/>
  <c r="H144" i="78"/>
  <c r="H143" i="75"/>
  <c r="S143" i="57"/>
  <c r="Z143" i="57" s="1"/>
  <c r="I143" i="75" s="1"/>
  <c r="Q150" i="57"/>
  <c r="X150" i="57" s="1"/>
  <c r="I150" i="73" s="1"/>
  <c r="H150" i="73"/>
  <c r="S147" i="57"/>
  <c r="Z147" i="57" s="1"/>
  <c r="I147" i="75" s="1"/>
  <c r="H147" i="75"/>
  <c r="H146" i="73"/>
  <c r="Q146" i="57"/>
  <c r="X146" i="57" s="1"/>
  <c r="I146" i="73" s="1"/>
  <c r="H149" i="72"/>
  <c r="P149" i="57"/>
  <c r="W149" i="57" s="1"/>
  <c r="I149" i="72" s="1"/>
  <c r="S144" i="57"/>
  <c r="Z144" i="57" s="1"/>
  <c r="I144" i="75" s="1"/>
  <c r="H144" i="75"/>
  <c r="H143" i="73"/>
  <c r="Q143" i="57"/>
  <c r="X143" i="57" s="1"/>
  <c r="I143" i="73" s="1"/>
  <c r="P150" i="57"/>
  <c r="W150" i="57" s="1"/>
  <c r="I150" i="72" s="1"/>
  <c r="H150" i="72"/>
  <c r="T149" i="57"/>
  <c r="AA149" i="57" s="1"/>
  <c r="I149" i="76" s="1"/>
  <c r="H149" i="76"/>
  <c r="Q147" i="57"/>
  <c r="X147" i="57" s="1"/>
  <c r="I147" i="73" s="1"/>
  <c r="H147" i="73"/>
  <c r="P148" i="57"/>
  <c r="W148" i="57" s="1"/>
  <c r="I148" i="72" s="1"/>
  <c r="H148" i="72"/>
  <c r="T148" i="57"/>
  <c r="AA148" i="57" s="1"/>
  <c r="I148" i="76" s="1"/>
  <c r="H148" i="76"/>
  <c r="Q144" i="57"/>
  <c r="X144" i="57" s="1"/>
  <c r="I144" i="73" s="1"/>
  <c r="H144" i="73"/>
  <c r="T125" i="57"/>
  <c r="AA125" i="57" s="1"/>
  <c r="I125" i="76" s="1"/>
  <c r="H125" i="76"/>
  <c r="U134" i="57"/>
  <c r="AB134" i="57" s="1"/>
  <c r="I134" i="77" s="1"/>
  <c r="H134" i="77"/>
  <c r="R134" i="57"/>
  <c r="Y134" i="57" s="1"/>
  <c r="I134" i="74" s="1"/>
  <c r="H134" i="74"/>
  <c r="T134" i="57"/>
  <c r="AA134" i="57" s="1"/>
  <c r="I134" i="76" s="1"/>
  <c r="H134" i="76"/>
  <c r="U132" i="57"/>
  <c r="AB132" i="57" s="1"/>
  <c r="I132" i="77" s="1"/>
  <c r="H132" i="77"/>
  <c r="P133" i="57"/>
  <c r="W133" i="57" s="1"/>
  <c r="I133" i="72" s="1"/>
  <c r="H133" i="72"/>
  <c r="P134" i="57"/>
  <c r="W134" i="57" s="1"/>
  <c r="I134" i="72" s="1"/>
  <c r="H134" i="72"/>
  <c r="T128" i="57"/>
  <c r="AA128" i="57" s="1"/>
  <c r="I128" i="76" s="1"/>
  <c r="H128" i="76"/>
  <c r="U129" i="57"/>
  <c r="AB129" i="57" s="1"/>
  <c r="I129" i="77" s="1"/>
  <c r="H129" i="77"/>
  <c r="R135" i="57"/>
  <c r="Y135" i="57" s="1"/>
  <c r="I135" i="74" s="1"/>
  <c r="H135" i="74"/>
  <c r="T133" i="57"/>
  <c r="AA133" i="57" s="1"/>
  <c r="I133" i="76" s="1"/>
  <c r="H133" i="76"/>
  <c r="H126" i="77"/>
  <c r="U126" i="57"/>
  <c r="AB126" i="57" s="1"/>
  <c r="I126" i="77" s="1"/>
  <c r="P124" i="57"/>
  <c r="W124" i="57" s="1"/>
  <c r="I124" i="72" s="1"/>
  <c r="H124" i="72"/>
  <c r="V135" i="57"/>
  <c r="AC135" i="57" s="1"/>
  <c r="I135" i="78" s="1"/>
  <c r="H135" i="78"/>
  <c r="R126" i="57"/>
  <c r="Y126" i="57" s="1"/>
  <c r="I126" i="74" s="1"/>
  <c r="H126" i="74"/>
  <c r="V124" i="57"/>
  <c r="AC124" i="57" s="1"/>
  <c r="I124" i="78" s="1"/>
  <c r="H124" i="78"/>
  <c r="T130" i="57"/>
  <c r="AA130" i="57" s="1"/>
  <c r="I130" i="76" s="1"/>
  <c r="H130" i="76"/>
  <c r="H132" i="73"/>
  <c r="Q132" i="57"/>
  <c r="X132" i="57" s="1"/>
  <c r="I132" i="73" s="1"/>
  <c r="P135" i="57"/>
  <c r="W135" i="57" s="1"/>
  <c r="I135" i="72" s="1"/>
  <c r="H135" i="72"/>
  <c r="S134" i="57"/>
  <c r="Z134" i="57" s="1"/>
  <c r="I134" i="75" s="1"/>
  <c r="H134" i="75"/>
  <c r="V131" i="57"/>
  <c r="AC131" i="57" s="1"/>
  <c r="I131" i="78" s="1"/>
  <c r="H131" i="78"/>
  <c r="T129" i="57"/>
  <c r="AA129" i="57" s="1"/>
  <c r="I129" i="76" s="1"/>
  <c r="H129" i="76"/>
  <c r="H123" i="73"/>
  <c r="Q123" i="57"/>
  <c r="X123" i="57" s="1"/>
  <c r="I123" i="73" s="1"/>
  <c r="S125" i="57"/>
  <c r="Z125" i="57" s="1"/>
  <c r="I125" i="75" s="1"/>
  <c r="H125" i="75"/>
  <c r="V125" i="57"/>
  <c r="AC125" i="57" s="1"/>
  <c r="I125" i="78" s="1"/>
  <c r="H125" i="78"/>
  <c r="H126" i="76"/>
  <c r="T126" i="57"/>
  <c r="AA126" i="57" s="1"/>
  <c r="I126" i="76" s="1"/>
  <c r="Q136" i="57"/>
  <c r="X136" i="57" s="1"/>
  <c r="I136" i="73" s="1"/>
  <c r="H136" i="73"/>
  <c r="H129" i="72"/>
  <c r="P129" i="57"/>
  <c r="W129" i="57" s="1"/>
  <c r="I129" i="72" s="1"/>
  <c r="V128" i="57"/>
  <c r="AC128" i="57" s="1"/>
  <c r="I128" i="78" s="1"/>
  <c r="H128" i="78"/>
  <c r="T127" i="57"/>
  <c r="AA127" i="57" s="1"/>
  <c r="I127" i="76" s="1"/>
  <c r="H127" i="76"/>
  <c r="Q131" i="57"/>
  <c r="X131" i="57" s="1"/>
  <c r="I131" i="73" s="1"/>
  <c r="H131" i="73"/>
  <c r="H127" i="72"/>
  <c r="P127" i="57"/>
  <c r="W127" i="57" s="1"/>
  <c r="I127" i="72" s="1"/>
  <c r="P136" i="57"/>
  <c r="W136" i="57" s="1"/>
  <c r="I136" i="72" s="1"/>
  <c r="H136" i="72"/>
  <c r="P128" i="57"/>
  <c r="W128" i="57" s="1"/>
  <c r="I128" i="72" s="1"/>
  <c r="H128" i="72"/>
  <c r="R133" i="57"/>
  <c r="Y133" i="57" s="1"/>
  <c r="I133" i="74" s="1"/>
  <c r="H133" i="74"/>
  <c r="T124" i="57"/>
  <c r="AA124" i="57" s="1"/>
  <c r="I124" i="76" s="1"/>
  <c r="H124" i="76"/>
  <c r="U123" i="57"/>
  <c r="AB123" i="57" s="1"/>
  <c r="I123" i="77" s="1"/>
  <c r="H123" i="77"/>
  <c r="R130" i="57"/>
  <c r="Y130" i="57" s="1"/>
  <c r="I130" i="74" s="1"/>
  <c r="H130" i="74"/>
  <c r="H132" i="72"/>
  <c r="P132" i="57"/>
  <c r="W132" i="57" s="1"/>
  <c r="I132" i="72" s="1"/>
  <c r="H129" i="74"/>
  <c r="R129" i="57"/>
  <c r="Y129" i="57" s="1"/>
  <c r="I129" i="74" s="1"/>
  <c r="T136" i="57"/>
  <c r="AA136" i="57" s="1"/>
  <c r="I136" i="76" s="1"/>
  <c r="H136" i="76"/>
  <c r="U127" i="57"/>
  <c r="AB127" i="57" s="1"/>
  <c r="I127" i="77" s="1"/>
  <c r="H127" i="77"/>
  <c r="P125" i="57"/>
  <c r="W125" i="57" s="1"/>
  <c r="I125" i="72" s="1"/>
  <c r="H125" i="72"/>
  <c r="R127" i="57"/>
  <c r="Y127" i="57" s="1"/>
  <c r="I127" i="74" s="1"/>
  <c r="H127" i="74"/>
  <c r="V134" i="57"/>
  <c r="AC134" i="57" s="1"/>
  <c r="I134" i="78" s="1"/>
  <c r="H134" i="78"/>
  <c r="H132" i="76"/>
  <c r="T132" i="57"/>
  <c r="AA132" i="57" s="1"/>
  <c r="I132" i="76" s="1"/>
  <c r="Q125" i="57"/>
  <c r="X125" i="57" s="1"/>
  <c r="I125" i="73" s="1"/>
  <c r="H125" i="73"/>
  <c r="P130" i="57"/>
  <c r="W130" i="57" s="1"/>
  <c r="I130" i="72" s="1"/>
  <c r="H130" i="72"/>
  <c r="P137" i="57"/>
  <c r="W137" i="57" s="1"/>
  <c r="I137" i="72" s="1"/>
  <c r="H137" i="72"/>
  <c r="S124" i="57"/>
  <c r="Z124" i="57" s="1"/>
  <c r="I124" i="75" s="1"/>
  <c r="H124" i="75"/>
  <c r="S131" i="57"/>
  <c r="Z131" i="57" s="1"/>
  <c r="I131" i="75" s="1"/>
  <c r="H131" i="75"/>
  <c r="V136" i="57"/>
  <c r="AC136" i="57" s="1"/>
  <c r="I136" i="78" s="1"/>
  <c r="H136" i="78"/>
  <c r="T135" i="57"/>
  <c r="AA135" i="57" s="1"/>
  <c r="I135" i="76" s="1"/>
  <c r="H135" i="76"/>
  <c r="Q133" i="57"/>
  <c r="X133" i="57" s="1"/>
  <c r="I133" i="73" s="1"/>
  <c r="H133" i="73"/>
  <c r="H123" i="75"/>
  <c r="S123" i="57"/>
  <c r="Z123" i="57" s="1"/>
  <c r="I123" i="75" s="1"/>
  <c r="V133" i="57"/>
  <c r="AC133" i="57" s="1"/>
  <c r="I133" i="78" s="1"/>
  <c r="H133" i="78"/>
  <c r="H123" i="76"/>
  <c r="T123" i="57"/>
  <c r="AA123" i="57" s="1"/>
  <c r="I123" i="76" s="1"/>
  <c r="Q124" i="57"/>
  <c r="X124" i="57" s="1"/>
  <c r="I124" i="73" s="1"/>
  <c r="H124" i="73"/>
  <c r="P126" i="57"/>
  <c r="W126" i="57" s="1"/>
  <c r="I126" i="72" s="1"/>
  <c r="H126" i="72"/>
  <c r="S137" i="57"/>
  <c r="Z137" i="57" s="1"/>
  <c r="I137" i="75" s="1"/>
  <c r="H137" i="75"/>
  <c r="V130" i="57"/>
  <c r="AC130" i="57" s="1"/>
  <c r="I130" i="78" s="1"/>
  <c r="H130" i="78"/>
  <c r="U131" i="57"/>
  <c r="AB131" i="57" s="1"/>
  <c r="I131" i="77" s="1"/>
  <c r="H131" i="77"/>
  <c r="Q134" i="57"/>
  <c r="X134" i="57" s="1"/>
  <c r="I134" i="73" s="1"/>
  <c r="H134" i="73"/>
  <c r="H123" i="72"/>
  <c r="P123" i="57"/>
  <c r="W123" i="57" s="1"/>
  <c r="I123" i="72" s="1"/>
  <c r="S128" i="57"/>
  <c r="Z128" i="57" s="1"/>
  <c r="I128" i="75" s="1"/>
  <c r="H128" i="75"/>
  <c r="V137" i="57"/>
  <c r="AC137" i="57" s="1"/>
  <c r="I137" i="78" s="1"/>
  <c r="H137" i="78"/>
  <c r="U124" i="57"/>
  <c r="AB124" i="57" s="1"/>
  <c r="I124" i="77" s="1"/>
  <c r="H124" i="77"/>
  <c r="Q128" i="57"/>
  <c r="X128" i="57" s="1"/>
  <c r="I128" i="73" s="1"/>
  <c r="H128" i="73"/>
  <c r="R136" i="57"/>
  <c r="Y136" i="57" s="1"/>
  <c r="I136" i="74" s="1"/>
  <c r="H136" i="74"/>
  <c r="S136" i="57"/>
  <c r="Z136" i="57" s="1"/>
  <c r="I136" i="75" s="1"/>
  <c r="H136" i="75"/>
  <c r="V132" i="57"/>
  <c r="AC132" i="57" s="1"/>
  <c r="I132" i="78" s="1"/>
  <c r="H132" i="78"/>
  <c r="U125" i="57"/>
  <c r="AB125" i="57" s="1"/>
  <c r="I125" i="77" s="1"/>
  <c r="H125" i="77"/>
  <c r="Q135" i="57"/>
  <c r="X135" i="57" s="1"/>
  <c r="I135" i="73" s="1"/>
  <c r="H135" i="73"/>
  <c r="R125" i="57"/>
  <c r="Y125" i="57" s="1"/>
  <c r="I125" i="74" s="1"/>
  <c r="H125" i="74"/>
  <c r="S130" i="57"/>
  <c r="Z130" i="57" s="1"/>
  <c r="I130" i="75" s="1"/>
  <c r="H130" i="75"/>
  <c r="H123" i="78"/>
  <c r="V123" i="57"/>
  <c r="AC123" i="57" s="1"/>
  <c r="I123" i="78" s="1"/>
  <c r="U135" i="57"/>
  <c r="AB135" i="57" s="1"/>
  <c r="I135" i="77" s="1"/>
  <c r="H135" i="77"/>
  <c r="Q130" i="57"/>
  <c r="X130" i="57" s="1"/>
  <c r="I130" i="73" s="1"/>
  <c r="H130" i="73"/>
  <c r="H123" i="74"/>
  <c r="R123" i="57"/>
  <c r="Y123" i="57" s="1"/>
  <c r="I123" i="74" s="1"/>
  <c r="S135" i="57"/>
  <c r="Z135" i="57" s="1"/>
  <c r="I135" i="75" s="1"/>
  <c r="H135" i="75"/>
  <c r="H129" i="78"/>
  <c r="V129" i="57"/>
  <c r="AC129" i="57" s="1"/>
  <c r="I129" i="78" s="1"/>
  <c r="U128" i="57"/>
  <c r="AB128" i="57" s="1"/>
  <c r="I128" i="77" s="1"/>
  <c r="H128" i="77"/>
  <c r="Q137" i="57"/>
  <c r="X137" i="57" s="1"/>
  <c r="I137" i="73" s="1"/>
  <c r="H137" i="73"/>
  <c r="R131" i="57"/>
  <c r="Y131" i="57" s="1"/>
  <c r="I131" i="74" s="1"/>
  <c r="H131" i="74"/>
  <c r="S133" i="57"/>
  <c r="Z133" i="57" s="1"/>
  <c r="I133" i="75" s="1"/>
  <c r="H133" i="75"/>
  <c r="H126" i="78"/>
  <c r="V126" i="57"/>
  <c r="AC126" i="57" s="1"/>
  <c r="I126" i="78" s="1"/>
  <c r="U136" i="57"/>
  <c r="AB136" i="57" s="1"/>
  <c r="I136" i="77" s="1"/>
  <c r="H136" i="77"/>
  <c r="Q129" i="57"/>
  <c r="X129" i="57" s="1"/>
  <c r="I129" i="73" s="1"/>
  <c r="H129" i="73"/>
  <c r="R124" i="57"/>
  <c r="Y124" i="57" s="1"/>
  <c r="I124" i="74" s="1"/>
  <c r="H124" i="74"/>
  <c r="S132" i="57"/>
  <c r="Z132" i="57" s="1"/>
  <c r="I132" i="75" s="1"/>
  <c r="H132" i="75"/>
  <c r="V127" i="57"/>
  <c r="AC127" i="57" s="1"/>
  <c r="I127" i="78" s="1"/>
  <c r="H127" i="78"/>
  <c r="U130" i="57"/>
  <c r="AB130" i="57" s="1"/>
  <c r="I130" i="77" s="1"/>
  <c r="H130" i="77"/>
  <c r="H126" i="73"/>
  <c r="Q126" i="57"/>
  <c r="X126" i="57" s="1"/>
  <c r="I126" i="73" s="1"/>
  <c r="H132" i="74"/>
  <c r="R132" i="57"/>
  <c r="Y132" i="57" s="1"/>
  <c r="I132" i="74" s="1"/>
  <c r="H129" i="75"/>
  <c r="S129" i="57"/>
  <c r="Z129" i="57" s="1"/>
  <c r="I129" i="75" s="1"/>
  <c r="T137" i="57"/>
  <c r="AA137" i="57" s="1"/>
  <c r="I137" i="76" s="1"/>
  <c r="H137" i="76"/>
  <c r="U133" i="57"/>
  <c r="AB133" i="57" s="1"/>
  <c r="I133" i="77" s="1"/>
  <c r="H133" i="77"/>
  <c r="Q127" i="57"/>
  <c r="X127" i="57" s="1"/>
  <c r="I127" i="73" s="1"/>
  <c r="H127" i="73"/>
  <c r="R128" i="57"/>
  <c r="Y128" i="57" s="1"/>
  <c r="I128" i="74" s="1"/>
  <c r="H128" i="74"/>
  <c r="H126" i="75"/>
  <c r="S126" i="57"/>
  <c r="Z126" i="57" s="1"/>
  <c r="I126" i="75" s="1"/>
  <c r="T131" i="57"/>
  <c r="AA131" i="57" s="1"/>
  <c r="I131" i="76" s="1"/>
  <c r="H131" i="76"/>
  <c r="U137" i="57"/>
  <c r="AB137" i="57" s="1"/>
  <c r="I137" i="77" s="1"/>
  <c r="H137" i="77"/>
  <c r="P131" i="57"/>
  <c r="W131" i="57" s="1"/>
  <c r="I131" i="72" s="1"/>
  <c r="H131" i="72"/>
  <c r="R137" i="57"/>
  <c r="Y137" i="57" s="1"/>
  <c r="I137" i="74" s="1"/>
  <c r="H137" i="74"/>
  <c r="S127" i="57"/>
  <c r="Z127" i="57" s="1"/>
  <c r="I127" i="75" s="1"/>
  <c r="H127" i="75"/>
  <c r="V92" i="57"/>
  <c r="AC92" i="57" s="1"/>
  <c r="I92" i="78" s="1"/>
  <c r="H92" i="78"/>
  <c r="P92" i="57"/>
  <c r="W92" i="57" s="1"/>
  <c r="I92" i="72" s="1"/>
  <c r="H92" i="72"/>
  <c r="R92" i="57"/>
  <c r="Y92" i="57" s="1"/>
  <c r="I92" i="74" s="1"/>
  <c r="H92" i="74"/>
  <c r="H95" i="76"/>
  <c r="T95" i="57"/>
  <c r="AA95" i="57" s="1"/>
  <c r="I95" i="76" s="1"/>
  <c r="Q92" i="57"/>
  <c r="X92" i="57" s="1"/>
  <c r="I92" i="73" s="1"/>
  <c r="H92" i="73"/>
  <c r="S94" i="57"/>
  <c r="Z94" i="57" s="1"/>
  <c r="I94" i="75" s="1"/>
  <c r="H94" i="75"/>
  <c r="V98" i="57"/>
  <c r="AC98" i="57" s="1"/>
  <c r="I98" i="78" s="1"/>
  <c r="H98" i="78"/>
  <c r="H93" i="74"/>
  <c r="R93" i="57"/>
  <c r="Y93" i="57" s="1"/>
  <c r="I93" i="74" s="1"/>
  <c r="H103" i="75"/>
  <c r="S103" i="57"/>
  <c r="Z103" i="57" s="1"/>
  <c r="I103" i="75" s="1"/>
  <c r="H96" i="78"/>
  <c r="V96" i="57"/>
  <c r="AC96" i="57" s="1"/>
  <c r="I96" i="78" s="1"/>
  <c r="U103" i="57"/>
  <c r="AB103" i="57" s="1"/>
  <c r="I103" i="77" s="1"/>
  <c r="H103" i="77"/>
  <c r="H90" i="77"/>
  <c r="U90" i="57"/>
  <c r="AB90" i="57" s="1"/>
  <c r="I90" i="77" s="1"/>
  <c r="P108" i="57"/>
  <c r="W108" i="57" s="1"/>
  <c r="I108" i="72" s="1"/>
  <c r="H108" i="72"/>
  <c r="T91" i="57"/>
  <c r="AA91" i="57" s="1"/>
  <c r="I91" i="76" s="1"/>
  <c r="H91" i="76"/>
  <c r="Q98" i="57"/>
  <c r="X98" i="57" s="1"/>
  <c r="I98" i="73" s="1"/>
  <c r="H98" i="73"/>
  <c r="U94" i="57"/>
  <c r="AB94" i="57" s="1"/>
  <c r="I94" i="77" s="1"/>
  <c r="H94" i="77"/>
  <c r="H109" i="72"/>
  <c r="P109" i="57"/>
  <c r="W109" i="57" s="1"/>
  <c r="I109" i="72" s="1"/>
  <c r="R108" i="57"/>
  <c r="Y108" i="57" s="1"/>
  <c r="I108" i="74" s="1"/>
  <c r="H108" i="74"/>
  <c r="T101" i="57"/>
  <c r="AA101" i="57" s="1"/>
  <c r="I101" i="76" s="1"/>
  <c r="H101" i="76"/>
  <c r="Q110" i="57"/>
  <c r="X110" i="57" s="1"/>
  <c r="I110" i="73" s="1"/>
  <c r="H110" i="73"/>
  <c r="S95" i="57"/>
  <c r="Z95" i="57" s="1"/>
  <c r="I95" i="75" s="1"/>
  <c r="H95" i="75"/>
  <c r="V104" i="57"/>
  <c r="AC104" i="57" s="1"/>
  <c r="I104" i="78" s="1"/>
  <c r="H104" i="78"/>
  <c r="P107" i="57"/>
  <c r="W107" i="57" s="1"/>
  <c r="I107" i="72" s="1"/>
  <c r="H107" i="72"/>
  <c r="R98" i="57"/>
  <c r="Y98" i="57" s="1"/>
  <c r="I98" i="74" s="1"/>
  <c r="H98" i="74"/>
  <c r="H106" i="76"/>
  <c r="T106" i="57"/>
  <c r="AA106" i="57" s="1"/>
  <c r="I106" i="76" s="1"/>
  <c r="Q112" i="57"/>
  <c r="X112" i="57" s="1"/>
  <c r="I112" i="73" s="1"/>
  <c r="H112" i="73"/>
  <c r="S108" i="57"/>
  <c r="Z108" i="57" s="1"/>
  <c r="I108" i="75" s="1"/>
  <c r="H108" i="75"/>
  <c r="U95" i="57"/>
  <c r="AB95" i="57" s="1"/>
  <c r="I95" i="77" s="1"/>
  <c r="H95" i="77"/>
  <c r="V107" i="57"/>
  <c r="AC107" i="57" s="1"/>
  <c r="I107" i="78" s="1"/>
  <c r="H107" i="78"/>
  <c r="P112" i="57"/>
  <c r="W112" i="57" s="1"/>
  <c r="I112" i="72" s="1"/>
  <c r="H112" i="72"/>
  <c r="R107" i="57"/>
  <c r="Y107" i="57" s="1"/>
  <c r="I107" i="74" s="1"/>
  <c r="H107" i="74"/>
  <c r="T92" i="57"/>
  <c r="AA92" i="57" s="1"/>
  <c r="I92" i="76" s="1"/>
  <c r="H92" i="76"/>
  <c r="Q104" i="57"/>
  <c r="X104" i="57" s="1"/>
  <c r="I104" i="73" s="1"/>
  <c r="H104" i="73"/>
  <c r="S92" i="57"/>
  <c r="Z92" i="57" s="1"/>
  <c r="I92" i="75" s="1"/>
  <c r="H92" i="75"/>
  <c r="U92" i="57"/>
  <c r="AB92" i="57" s="1"/>
  <c r="I92" i="77" s="1"/>
  <c r="H92" i="77"/>
  <c r="H112" i="78"/>
  <c r="V112" i="57"/>
  <c r="AC112" i="57" s="1"/>
  <c r="I112" i="78" s="1"/>
  <c r="H102" i="72"/>
  <c r="P102" i="57"/>
  <c r="W102" i="57" s="1"/>
  <c r="I102" i="72" s="1"/>
  <c r="R96" i="57"/>
  <c r="Y96" i="57" s="1"/>
  <c r="I96" i="74" s="1"/>
  <c r="H96" i="74"/>
  <c r="T108" i="57"/>
  <c r="AA108" i="57" s="1"/>
  <c r="I108" i="76" s="1"/>
  <c r="H108" i="76"/>
  <c r="H93" i="73"/>
  <c r="Q93" i="57"/>
  <c r="X93" i="57" s="1"/>
  <c r="I93" i="73" s="1"/>
  <c r="S98" i="57"/>
  <c r="Z98" i="57" s="1"/>
  <c r="I98" i="75" s="1"/>
  <c r="H98" i="75"/>
  <c r="U108" i="57"/>
  <c r="AB108" i="57" s="1"/>
  <c r="I108" i="77" s="1"/>
  <c r="H108" i="77"/>
  <c r="V106" i="57"/>
  <c r="AC106" i="57" s="1"/>
  <c r="I106" i="78" s="1"/>
  <c r="H106" i="78"/>
  <c r="P104" i="57"/>
  <c r="W104" i="57" s="1"/>
  <c r="I104" i="72" s="1"/>
  <c r="H104" i="72"/>
  <c r="R110" i="57"/>
  <c r="Y110" i="57" s="1"/>
  <c r="I110" i="74" s="1"/>
  <c r="H110" i="74"/>
  <c r="T96" i="57"/>
  <c r="AA96" i="57" s="1"/>
  <c r="I96" i="76" s="1"/>
  <c r="H96" i="76"/>
  <c r="Q95" i="57"/>
  <c r="X95" i="57" s="1"/>
  <c r="I95" i="73" s="1"/>
  <c r="H95" i="73"/>
  <c r="S110" i="57"/>
  <c r="Z110" i="57" s="1"/>
  <c r="I110" i="75" s="1"/>
  <c r="H110" i="75"/>
  <c r="H96" i="77"/>
  <c r="U96" i="57"/>
  <c r="AB96" i="57" s="1"/>
  <c r="I96" i="77" s="1"/>
  <c r="V101" i="57"/>
  <c r="AC101" i="57" s="1"/>
  <c r="I101" i="78" s="1"/>
  <c r="H101" i="78"/>
  <c r="H99" i="72"/>
  <c r="P99" i="57"/>
  <c r="W99" i="57" s="1"/>
  <c r="I99" i="72" s="1"/>
  <c r="R102" i="57"/>
  <c r="Y102" i="57" s="1"/>
  <c r="I102" i="74" s="1"/>
  <c r="H102" i="74"/>
  <c r="T98" i="57"/>
  <c r="AA98" i="57" s="1"/>
  <c r="I98" i="76" s="1"/>
  <c r="H98" i="76"/>
  <c r="Q108" i="57"/>
  <c r="X108" i="57" s="1"/>
  <c r="I108" i="73" s="1"/>
  <c r="H108" i="73"/>
  <c r="S111" i="57"/>
  <c r="Z111" i="57" s="1"/>
  <c r="I111" i="75" s="1"/>
  <c r="H111" i="75"/>
  <c r="H105" i="77"/>
  <c r="U105" i="57"/>
  <c r="AB105" i="57" s="1"/>
  <c r="I105" i="77" s="1"/>
  <c r="V99" i="57"/>
  <c r="AC99" i="57" s="1"/>
  <c r="I99" i="78" s="1"/>
  <c r="H99" i="78"/>
  <c r="P111" i="57"/>
  <c r="W111" i="57" s="1"/>
  <c r="I111" i="72" s="1"/>
  <c r="H111" i="72"/>
  <c r="R104" i="57"/>
  <c r="Y104" i="57" s="1"/>
  <c r="I104" i="74" s="1"/>
  <c r="H104" i="74"/>
  <c r="T104" i="57"/>
  <c r="AA104" i="57" s="1"/>
  <c r="I104" i="76" s="1"/>
  <c r="H104" i="76"/>
  <c r="H109" i="73"/>
  <c r="Q109" i="57"/>
  <c r="X109" i="57" s="1"/>
  <c r="I109" i="73" s="1"/>
  <c r="S107" i="57"/>
  <c r="Z107" i="57" s="1"/>
  <c r="I107" i="75" s="1"/>
  <c r="H107" i="75"/>
  <c r="U112" i="57"/>
  <c r="AB112" i="57" s="1"/>
  <c r="I112" i="77" s="1"/>
  <c r="H112" i="77"/>
  <c r="V111" i="57"/>
  <c r="AC111" i="57" s="1"/>
  <c r="I111" i="78" s="1"/>
  <c r="H111" i="78"/>
  <c r="H106" i="72"/>
  <c r="P106" i="57"/>
  <c r="W106" i="57" s="1"/>
  <c r="I106" i="72" s="1"/>
  <c r="H106" i="74"/>
  <c r="R106" i="57"/>
  <c r="Y106" i="57" s="1"/>
  <c r="I106" i="74" s="1"/>
  <c r="T102" i="57"/>
  <c r="AA102" i="57" s="1"/>
  <c r="I102" i="76" s="1"/>
  <c r="H102" i="76"/>
  <c r="Q107" i="57"/>
  <c r="X107" i="57" s="1"/>
  <c r="I107" i="73" s="1"/>
  <c r="H107" i="73"/>
  <c r="S96" i="57"/>
  <c r="Z96" i="57" s="1"/>
  <c r="I96" i="75" s="1"/>
  <c r="H96" i="75"/>
  <c r="U106" i="57"/>
  <c r="AB106" i="57" s="1"/>
  <c r="I106" i="77" s="1"/>
  <c r="H106" i="77"/>
  <c r="V94" i="57"/>
  <c r="AC94" i="57" s="1"/>
  <c r="I94" i="78" s="1"/>
  <c r="H94" i="78"/>
  <c r="P97" i="57"/>
  <c r="W97" i="57" s="1"/>
  <c r="I97" i="72" s="1"/>
  <c r="H97" i="72"/>
  <c r="R111" i="57"/>
  <c r="Y111" i="57" s="1"/>
  <c r="I111" i="74" s="1"/>
  <c r="H111" i="74"/>
  <c r="H112" i="76"/>
  <c r="T112" i="57"/>
  <c r="AA112" i="57" s="1"/>
  <c r="I112" i="76" s="1"/>
  <c r="Q102" i="57"/>
  <c r="X102" i="57" s="1"/>
  <c r="I102" i="73" s="1"/>
  <c r="H102" i="73"/>
  <c r="S109" i="57"/>
  <c r="Z109" i="57" s="1"/>
  <c r="I109" i="75" s="1"/>
  <c r="H109" i="75"/>
  <c r="U98" i="57"/>
  <c r="AB98" i="57" s="1"/>
  <c r="I98" i="77" s="1"/>
  <c r="H98" i="77"/>
  <c r="V91" i="57"/>
  <c r="AC91" i="57" s="1"/>
  <c r="I91" i="78" s="1"/>
  <c r="H91" i="78"/>
  <c r="P91" i="57"/>
  <c r="W91" i="57" s="1"/>
  <c r="I91" i="72" s="1"/>
  <c r="H91" i="72"/>
  <c r="R97" i="57"/>
  <c r="Y97" i="57" s="1"/>
  <c r="I97" i="74" s="1"/>
  <c r="H97" i="74"/>
  <c r="T110" i="57"/>
  <c r="AA110" i="57" s="1"/>
  <c r="I110" i="76" s="1"/>
  <c r="H110" i="76"/>
  <c r="Q106" i="57"/>
  <c r="X106" i="57" s="1"/>
  <c r="I106" i="73" s="1"/>
  <c r="H106" i="73"/>
  <c r="S104" i="57"/>
  <c r="Z104" i="57" s="1"/>
  <c r="I104" i="75" s="1"/>
  <c r="H104" i="75"/>
  <c r="U104" i="57"/>
  <c r="AB104" i="57" s="1"/>
  <c r="I104" i="77" s="1"/>
  <c r="H104" i="77"/>
  <c r="V109" i="57"/>
  <c r="AC109" i="57" s="1"/>
  <c r="I109" i="78" s="1"/>
  <c r="H109" i="78"/>
  <c r="H96" i="72"/>
  <c r="P96" i="57"/>
  <c r="W96" i="57" s="1"/>
  <c r="I96" i="72" s="1"/>
  <c r="R99" i="57"/>
  <c r="Y99" i="57" s="1"/>
  <c r="I99" i="74" s="1"/>
  <c r="H99" i="74"/>
  <c r="H105" i="76"/>
  <c r="T105" i="57"/>
  <c r="AA105" i="57" s="1"/>
  <c r="I105" i="76" s="1"/>
  <c r="Q91" i="57"/>
  <c r="X91" i="57" s="1"/>
  <c r="I91" i="73" s="1"/>
  <c r="H91" i="73"/>
  <c r="S101" i="57"/>
  <c r="Z101" i="57" s="1"/>
  <c r="I101" i="75" s="1"/>
  <c r="H101" i="75"/>
  <c r="U107" i="57"/>
  <c r="AB107" i="57" s="1"/>
  <c r="I107" i="77" s="1"/>
  <c r="H107" i="77"/>
  <c r="V100" i="57"/>
  <c r="AC100" i="57" s="1"/>
  <c r="I100" i="78" s="1"/>
  <c r="H100" i="78"/>
  <c r="H100" i="72"/>
  <c r="P100" i="57"/>
  <c r="W100" i="57" s="1"/>
  <c r="I100" i="72" s="1"/>
  <c r="R91" i="57"/>
  <c r="Y91" i="57" s="1"/>
  <c r="I91" i="74" s="1"/>
  <c r="H91" i="74"/>
  <c r="H99" i="76"/>
  <c r="T99" i="57"/>
  <c r="AA99" i="57" s="1"/>
  <c r="I99" i="76" s="1"/>
  <c r="Q94" i="57"/>
  <c r="X94" i="57" s="1"/>
  <c r="I94" i="73" s="1"/>
  <c r="H94" i="73"/>
  <c r="H102" i="75"/>
  <c r="S102" i="57"/>
  <c r="Z102" i="57" s="1"/>
  <c r="I102" i="75" s="1"/>
  <c r="U101" i="57"/>
  <c r="AB101" i="57" s="1"/>
  <c r="I101" i="77" s="1"/>
  <c r="H101" i="77"/>
  <c r="H93" i="78"/>
  <c r="V93" i="57"/>
  <c r="AC93" i="57" s="1"/>
  <c r="I93" i="78" s="1"/>
  <c r="P95" i="57"/>
  <c r="W95" i="57" s="1"/>
  <c r="I95" i="72" s="1"/>
  <c r="H95" i="72"/>
  <c r="R112" i="57"/>
  <c r="Y112" i="57" s="1"/>
  <c r="I112" i="74" s="1"/>
  <c r="H112" i="74"/>
  <c r="T107" i="57"/>
  <c r="AA107" i="57" s="1"/>
  <c r="I107" i="76" s="1"/>
  <c r="H107" i="76"/>
  <c r="Q97" i="57"/>
  <c r="X97" i="57" s="1"/>
  <c r="I97" i="73" s="1"/>
  <c r="H97" i="73"/>
  <c r="H106" i="75"/>
  <c r="S106" i="57"/>
  <c r="Z106" i="57" s="1"/>
  <c r="I106" i="75" s="1"/>
  <c r="U110" i="57"/>
  <c r="AB110" i="57" s="1"/>
  <c r="I110" i="77" s="1"/>
  <c r="H110" i="77"/>
  <c r="H90" i="78"/>
  <c r="V90" i="57"/>
  <c r="AC90" i="57" s="1"/>
  <c r="I90" i="78" s="1"/>
  <c r="V103" i="57"/>
  <c r="AC103" i="57" s="1"/>
  <c r="I103" i="78" s="1"/>
  <c r="H103" i="78"/>
  <c r="P98" i="57"/>
  <c r="W98" i="57" s="1"/>
  <c r="I98" i="72" s="1"/>
  <c r="H98" i="72"/>
  <c r="H109" i="74"/>
  <c r="R109" i="57"/>
  <c r="Y109" i="57" s="1"/>
  <c r="I109" i="74" s="1"/>
  <c r="H109" i="76"/>
  <c r="T109" i="57"/>
  <c r="AA109" i="57" s="1"/>
  <c r="I109" i="76" s="1"/>
  <c r="H99" i="73"/>
  <c r="Q99" i="57"/>
  <c r="X99" i="57" s="1"/>
  <c r="I99" i="73" s="1"/>
  <c r="S105" i="57"/>
  <c r="Z105" i="57" s="1"/>
  <c r="I105" i="75" s="1"/>
  <c r="H105" i="75"/>
  <c r="H93" i="77"/>
  <c r="U93" i="57"/>
  <c r="AB93" i="57" s="1"/>
  <c r="I93" i="77" s="1"/>
  <c r="V108" i="57"/>
  <c r="AC108" i="57" s="1"/>
  <c r="I108" i="78" s="1"/>
  <c r="H108" i="78"/>
  <c r="P94" i="57"/>
  <c r="W94" i="57" s="1"/>
  <c r="I94" i="72" s="1"/>
  <c r="H94" i="72"/>
  <c r="P101" i="57"/>
  <c r="W101" i="57" s="1"/>
  <c r="I101" i="72" s="1"/>
  <c r="H101" i="72"/>
  <c r="H100" i="74"/>
  <c r="R100" i="57"/>
  <c r="Y100" i="57" s="1"/>
  <c r="I100" i="74" s="1"/>
  <c r="H93" i="76"/>
  <c r="T93" i="57"/>
  <c r="AA93" i="57" s="1"/>
  <c r="I93" i="76" s="1"/>
  <c r="Q96" i="57"/>
  <c r="X96" i="57" s="1"/>
  <c r="I96" i="73" s="1"/>
  <c r="H96" i="73"/>
  <c r="H93" i="75"/>
  <c r="S93" i="57"/>
  <c r="Z93" i="57" s="1"/>
  <c r="I93" i="75" s="1"/>
  <c r="U97" i="57"/>
  <c r="AB97" i="57" s="1"/>
  <c r="I97" i="77" s="1"/>
  <c r="H97" i="77"/>
  <c r="V110" i="57"/>
  <c r="AC110" i="57" s="1"/>
  <c r="I110" i="78" s="1"/>
  <c r="H110" i="78"/>
  <c r="P105" i="57"/>
  <c r="W105" i="57" s="1"/>
  <c r="I105" i="72" s="1"/>
  <c r="H105" i="72"/>
  <c r="R105" i="57"/>
  <c r="Y105" i="57" s="1"/>
  <c r="I105" i="74" s="1"/>
  <c r="H105" i="74"/>
  <c r="H90" i="74"/>
  <c r="R90" i="57"/>
  <c r="Y90" i="57" s="1"/>
  <c r="I90" i="74" s="1"/>
  <c r="T100" i="57"/>
  <c r="AA100" i="57" s="1"/>
  <c r="I100" i="76" s="1"/>
  <c r="H100" i="76"/>
  <c r="H100" i="73"/>
  <c r="Q100" i="57"/>
  <c r="X100" i="57" s="1"/>
  <c r="I100" i="73" s="1"/>
  <c r="H99" i="75"/>
  <c r="S99" i="57"/>
  <c r="Z99" i="57" s="1"/>
  <c r="I99" i="75" s="1"/>
  <c r="U99" i="57"/>
  <c r="AB99" i="57" s="1"/>
  <c r="I99" i="77" s="1"/>
  <c r="H99" i="77"/>
  <c r="V97" i="57"/>
  <c r="AC97" i="57" s="1"/>
  <c r="I97" i="78" s="1"/>
  <c r="H97" i="78"/>
  <c r="H93" i="72"/>
  <c r="P93" i="57"/>
  <c r="W93" i="57" s="1"/>
  <c r="I93" i="72" s="1"/>
  <c r="H94" i="74"/>
  <c r="R94" i="57"/>
  <c r="Y94" i="57" s="1"/>
  <c r="I94" i="74" s="1"/>
  <c r="T111" i="57"/>
  <c r="AA111" i="57" s="1"/>
  <c r="I111" i="76" s="1"/>
  <c r="H111" i="76"/>
  <c r="T103" i="57"/>
  <c r="AA103" i="57" s="1"/>
  <c r="I103" i="76" s="1"/>
  <c r="H103" i="76"/>
  <c r="Q101" i="57"/>
  <c r="X101" i="57" s="1"/>
  <c r="I101" i="73" s="1"/>
  <c r="H101" i="73"/>
  <c r="S91" i="57"/>
  <c r="Z91" i="57" s="1"/>
  <c r="I91" i="75" s="1"/>
  <c r="H91" i="75"/>
  <c r="U91" i="57"/>
  <c r="AB91" i="57" s="1"/>
  <c r="I91" i="77" s="1"/>
  <c r="H91" i="77"/>
  <c r="H105" i="78"/>
  <c r="V105" i="57"/>
  <c r="AC105" i="57" s="1"/>
  <c r="I105" i="78" s="1"/>
  <c r="P110" i="57"/>
  <c r="W110" i="57" s="1"/>
  <c r="I110" i="72" s="1"/>
  <c r="H110" i="72"/>
  <c r="R95" i="57"/>
  <c r="Y95" i="57" s="1"/>
  <c r="I95" i="74" s="1"/>
  <c r="H95" i="74"/>
  <c r="T97" i="57"/>
  <c r="AA97" i="57" s="1"/>
  <c r="I97" i="76" s="1"/>
  <c r="H97" i="76"/>
  <c r="Q105" i="57"/>
  <c r="X105" i="57" s="1"/>
  <c r="I105" i="73" s="1"/>
  <c r="H105" i="73"/>
  <c r="H90" i="73"/>
  <c r="Q90" i="57"/>
  <c r="X90" i="57" s="1"/>
  <c r="I90" i="73" s="1"/>
  <c r="H112" i="75"/>
  <c r="S112" i="57"/>
  <c r="Z112" i="57" s="1"/>
  <c r="I112" i="75" s="1"/>
  <c r="H109" i="77"/>
  <c r="U109" i="57"/>
  <c r="AB109" i="57" s="1"/>
  <c r="I109" i="77" s="1"/>
  <c r="V102" i="57"/>
  <c r="AC102" i="57" s="1"/>
  <c r="I102" i="78" s="1"/>
  <c r="H102" i="78"/>
  <c r="P90" i="57"/>
  <c r="W90" i="57" s="1"/>
  <c r="I90" i="72" s="1"/>
  <c r="H90" i="72"/>
  <c r="R101" i="57"/>
  <c r="Y101" i="57" s="1"/>
  <c r="I101" i="74" s="1"/>
  <c r="H101" i="74"/>
  <c r="T94" i="57"/>
  <c r="AA94" i="57" s="1"/>
  <c r="I94" i="76" s="1"/>
  <c r="H94" i="76"/>
  <c r="Q111" i="57"/>
  <c r="X111" i="57" s="1"/>
  <c r="I111" i="73" s="1"/>
  <c r="H111" i="73"/>
  <c r="H90" i="75"/>
  <c r="S90" i="57"/>
  <c r="Z90" i="57" s="1"/>
  <c r="I90" i="75" s="1"/>
  <c r="S100" i="57"/>
  <c r="Z100" i="57" s="1"/>
  <c r="I100" i="75" s="1"/>
  <c r="H100" i="75"/>
  <c r="H100" i="77"/>
  <c r="U100" i="57"/>
  <c r="AB100" i="57" s="1"/>
  <c r="I100" i="77" s="1"/>
  <c r="V95" i="57"/>
  <c r="AC95" i="57" s="1"/>
  <c r="I95" i="78" s="1"/>
  <c r="H95" i="78"/>
  <c r="H103" i="72"/>
  <c r="P103" i="57"/>
  <c r="W103" i="57" s="1"/>
  <c r="I103" i="72" s="1"/>
  <c r="R103" i="57"/>
  <c r="Y103" i="57" s="1"/>
  <c r="I103" i="74" s="1"/>
  <c r="H103" i="74"/>
  <c r="H90" i="76"/>
  <c r="T90" i="57"/>
  <c r="AA90" i="57" s="1"/>
  <c r="I90" i="76" s="1"/>
  <c r="Q103" i="57"/>
  <c r="X103" i="57" s="1"/>
  <c r="I103" i="73" s="1"/>
  <c r="H103" i="73"/>
  <c r="S97" i="57"/>
  <c r="Z97" i="57" s="1"/>
  <c r="I97" i="75" s="1"/>
  <c r="H97" i="75"/>
  <c r="U111" i="57"/>
  <c r="AB111" i="57" s="1"/>
  <c r="I111" i="77" s="1"/>
  <c r="H111" i="77"/>
  <c r="H102" i="77"/>
  <c r="U102" i="57"/>
  <c r="AB102" i="57" s="1"/>
  <c r="I102" i="77" s="1"/>
  <c r="P77" i="57"/>
  <c r="W77" i="57" s="1"/>
  <c r="I77" i="72" s="1"/>
  <c r="H77" i="72"/>
  <c r="H76" i="74"/>
  <c r="R76" i="57"/>
  <c r="Y76" i="57" s="1"/>
  <c r="I76" i="74" s="1"/>
  <c r="U71" i="57"/>
  <c r="AB71" i="57" s="1"/>
  <c r="I71" i="77" s="1"/>
  <c r="H71" i="77"/>
  <c r="R84" i="57"/>
  <c r="Y84" i="57" s="1"/>
  <c r="I84" i="74" s="1"/>
  <c r="H84" i="74"/>
  <c r="V72" i="57"/>
  <c r="AC72" i="57" s="1"/>
  <c r="I72" i="78" s="1"/>
  <c r="H72" i="78"/>
  <c r="H79" i="74"/>
  <c r="R79" i="57"/>
  <c r="Y79" i="57" s="1"/>
  <c r="I79" i="74" s="1"/>
  <c r="H76" i="72"/>
  <c r="P76" i="57"/>
  <c r="W76" i="57" s="1"/>
  <c r="I76" i="72" s="1"/>
  <c r="H82" i="78"/>
  <c r="V82" i="57"/>
  <c r="AC82" i="57" s="1"/>
  <c r="I82" i="78" s="1"/>
  <c r="H82" i="75"/>
  <c r="S82" i="57"/>
  <c r="Z82" i="57" s="1"/>
  <c r="I82" i="75" s="1"/>
  <c r="P84" i="57"/>
  <c r="W84" i="57" s="1"/>
  <c r="I84" i="72" s="1"/>
  <c r="H84" i="72"/>
  <c r="H75" i="74"/>
  <c r="R75" i="57"/>
  <c r="Y75" i="57" s="1"/>
  <c r="I75" i="74" s="1"/>
  <c r="P83" i="57"/>
  <c r="W83" i="57" s="1"/>
  <c r="I83" i="72" s="1"/>
  <c r="H83" i="72"/>
  <c r="T74" i="57"/>
  <c r="AA74" i="57" s="1"/>
  <c r="I74" i="76" s="1"/>
  <c r="H74" i="76"/>
  <c r="Q79" i="57"/>
  <c r="X79" i="57" s="1"/>
  <c r="I79" i="73" s="1"/>
  <c r="H79" i="73"/>
  <c r="U81" i="57"/>
  <c r="AB81" i="57" s="1"/>
  <c r="I81" i="77" s="1"/>
  <c r="H81" i="77"/>
  <c r="H74" i="72"/>
  <c r="P74" i="57"/>
  <c r="W74" i="57" s="1"/>
  <c r="I74" i="72" s="1"/>
  <c r="R73" i="57"/>
  <c r="Y73" i="57" s="1"/>
  <c r="I73" i="74" s="1"/>
  <c r="H73" i="74"/>
  <c r="H75" i="77"/>
  <c r="U75" i="57"/>
  <c r="AB75" i="57" s="1"/>
  <c r="I75" i="77" s="1"/>
  <c r="Q78" i="57"/>
  <c r="X78" i="57" s="1"/>
  <c r="I78" i="73" s="1"/>
  <c r="H78" i="73"/>
  <c r="Q77" i="57"/>
  <c r="X77" i="57" s="1"/>
  <c r="I77" i="73" s="1"/>
  <c r="H77" i="73"/>
  <c r="H69" i="74"/>
  <c r="R69" i="57"/>
  <c r="Y69" i="57" s="1"/>
  <c r="I69" i="74" s="1"/>
  <c r="U78" i="57"/>
  <c r="AB78" i="57" s="1"/>
  <c r="I78" i="77" s="1"/>
  <c r="H78" i="77"/>
  <c r="H82" i="74"/>
  <c r="R82" i="57"/>
  <c r="Y82" i="57" s="1"/>
  <c r="I82" i="74" s="1"/>
  <c r="H72" i="74"/>
  <c r="R72" i="57"/>
  <c r="Y72" i="57" s="1"/>
  <c r="I72" i="74" s="1"/>
  <c r="H70" i="72"/>
  <c r="P70" i="57"/>
  <c r="W70" i="57" s="1"/>
  <c r="I70" i="72" s="1"/>
  <c r="U80" i="57"/>
  <c r="AB80" i="57" s="1"/>
  <c r="I80" i="77" s="1"/>
  <c r="H80" i="77"/>
  <c r="U77" i="57"/>
  <c r="AB77" i="57" s="1"/>
  <c r="I77" i="77" s="1"/>
  <c r="H77" i="77"/>
  <c r="H72" i="77"/>
  <c r="U72" i="57"/>
  <c r="AB72" i="57" s="1"/>
  <c r="I72" i="77" s="1"/>
  <c r="H72" i="76"/>
  <c r="T72" i="57"/>
  <c r="AA72" i="57" s="1"/>
  <c r="I72" i="76" s="1"/>
  <c r="P71" i="57"/>
  <c r="W71" i="57" s="1"/>
  <c r="I71" i="72" s="1"/>
  <c r="H71" i="72"/>
  <c r="H79" i="77"/>
  <c r="U79" i="57"/>
  <c r="AB79" i="57" s="1"/>
  <c r="I79" i="77" s="1"/>
  <c r="H69" i="78"/>
  <c r="V69" i="57"/>
  <c r="AC69" i="57" s="1"/>
  <c r="I69" i="78" s="1"/>
  <c r="H84" i="77"/>
  <c r="U84" i="57"/>
  <c r="AB84" i="57" s="1"/>
  <c r="I84" i="77" s="1"/>
  <c r="V75" i="57"/>
  <c r="AC75" i="57" s="1"/>
  <c r="I75" i="78" s="1"/>
  <c r="H75" i="78"/>
  <c r="Q76" i="57"/>
  <c r="X76" i="57" s="1"/>
  <c r="I76" i="73" s="1"/>
  <c r="H76" i="73"/>
  <c r="S79" i="57"/>
  <c r="Z79" i="57" s="1"/>
  <c r="I79" i="75" s="1"/>
  <c r="H79" i="75"/>
  <c r="H76" i="75"/>
  <c r="S76" i="57"/>
  <c r="Z76" i="57" s="1"/>
  <c r="I76" i="75" s="1"/>
  <c r="H82" i="76"/>
  <c r="T82" i="57"/>
  <c r="AA82" i="57" s="1"/>
  <c r="I82" i="76" s="1"/>
  <c r="V80" i="57"/>
  <c r="AC80" i="57" s="1"/>
  <c r="I80" i="78" s="1"/>
  <c r="H80" i="78"/>
  <c r="R78" i="57"/>
  <c r="Y78" i="57" s="1"/>
  <c r="I78" i="74" s="1"/>
  <c r="H78" i="74"/>
  <c r="H84" i="75"/>
  <c r="S84" i="57"/>
  <c r="Z84" i="57" s="1"/>
  <c r="I84" i="75" s="1"/>
  <c r="T83" i="57"/>
  <c r="AA83" i="57" s="1"/>
  <c r="I83" i="76" s="1"/>
  <c r="H83" i="76"/>
  <c r="P69" i="57"/>
  <c r="W69" i="57" s="1"/>
  <c r="I69" i="72" s="1"/>
  <c r="H69" i="72"/>
  <c r="V74" i="57"/>
  <c r="AC74" i="57" s="1"/>
  <c r="I74" i="78" s="1"/>
  <c r="H74" i="78"/>
  <c r="S75" i="57"/>
  <c r="Z75" i="57" s="1"/>
  <c r="I75" i="75" s="1"/>
  <c r="H75" i="75"/>
  <c r="U73" i="57"/>
  <c r="AB73" i="57" s="1"/>
  <c r="I73" i="77" s="1"/>
  <c r="H73" i="77"/>
  <c r="V79" i="57"/>
  <c r="AC79" i="57" s="1"/>
  <c r="I79" i="78" s="1"/>
  <c r="H79" i="78"/>
  <c r="H73" i="75"/>
  <c r="S73" i="57"/>
  <c r="Z73" i="57" s="1"/>
  <c r="I73" i="75" s="1"/>
  <c r="H70" i="77"/>
  <c r="U70" i="57"/>
  <c r="AB70" i="57" s="1"/>
  <c r="I70" i="77" s="1"/>
  <c r="H78" i="72"/>
  <c r="P78" i="57"/>
  <c r="W78" i="57" s="1"/>
  <c r="I78" i="72" s="1"/>
  <c r="H77" i="75"/>
  <c r="S77" i="57"/>
  <c r="Z77" i="57" s="1"/>
  <c r="I77" i="75" s="1"/>
  <c r="H84" i="78"/>
  <c r="V84" i="57"/>
  <c r="AC84" i="57" s="1"/>
  <c r="I84" i="78" s="1"/>
  <c r="R80" i="57"/>
  <c r="Y80" i="57" s="1"/>
  <c r="I80" i="74" s="1"/>
  <c r="H80" i="74"/>
  <c r="S69" i="57"/>
  <c r="Z69" i="57" s="1"/>
  <c r="I69" i="75" s="1"/>
  <c r="H69" i="75"/>
  <c r="P80" i="57"/>
  <c r="W80" i="57" s="1"/>
  <c r="I80" i="72" s="1"/>
  <c r="H80" i="72"/>
  <c r="R70" i="57"/>
  <c r="Y70" i="57" s="1"/>
  <c r="I70" i="74" s="1"/>
  <c r="H70" i="74"/>
  <c r="Q75" i="57"/>
  <c r="X75" i="57" s="1"/>
  <c r="I75" i="73" s="1"/>
  <c r="H75" i="73"/>
  <c r="S83" i="57"/>
  <c r="Z83" i="57" s="1"/>
  <c r="I83" i="75" s="1"/>
  <c r="H83" i="75"/>
  <c r="H83" i="73"/>
  <c r="Q83" i="57"/>
  <c r="X83" i="57" s="1"/>
  <c r="I83" i="73" s="1"/>
  <c r="R77" i="57"/>
  <c r="Y77" i="57" s="1"/>
  <c r="I77" i="74" s="1"/>
  <c r="H77" i="74"/>
  <c r="U76" i="57"/>
  <c r="AB76" i="57" s="1"/>
  <c r="I76" i="77" s="1"/>
  <c r="H76" i="77"/>
  <c r="P73" i="57"/>
  <c r="W73" i="57" s="1"/>
  <c r="I73" i="72" s="1"/>
  <c r="H73" i="72"/>
  <c r="R71" i="57"/>
  <c r="Y71" i="57" s="1"/>
  <c r="I71" i="74" s="1"/>
  <c r="H71" i="74"/>
  <c r="H69" i="73"/>
  <c r="Q69" i="57"/>
  <c r="X69" i="57" s="1"/>
  <c r="I69" i="73" s="1"/>
  <c r="H77" i="76"/>
  <c r="T77" i="57"/>
  <c r="AA77" i="57" s="1"/>
  <c r="I77" i="76" s="1"/>
  <c r="H74" i="74"/>
  <c r="R74" i="57"/>
  <c r="Y74" i="57" s="1"/>
  <c r="I74" i="74" s="1"/>
  <c r="H73" i="76"/>
  <c r="T73" i="57"/>
  <c r="AA73" i="57" s="1"/>
  <c r="I73" i="76" s="1"/>
  <c r="H82" i="72"/>
  <c r="P82" i="57"/>
  <c r="W82" i="57" s="1"/>
  <c r="I82" i="72" s="1"/>
  <c r="T79" i="57"/>
  <c r="AA79" i="57" s="1"/>
  <c r="I79" i="76" s="1"/>
  <c r="H79" i="76"/>
  <c r="Q70" i="57"/>
  <c r="X70" i="57" s="1"/>
  <c r="I70" i="73" s="1"/>
  <c r="H70" i="73"/>
  <c r="T80" i="57"/>
  <c r="AA80" i="57" s="1"/>
  <c r="I80" i="76" s="1"/>
  <c r="H80" i="76"/>
  <c r="H81" i="75"/>
  <c r="S81" i="57"/>
  <c r="Z81" i="57" s="1"/>
  <c r="I81" i="75" s="1"/>
  <c r="T75" i="57"/>
  <c r="AA75" i="57" s="1"/>
  <c r="I75" i="76" s="1"/>
  <c r="H75" i="76"/>
  <c r="H74" i="77"/>
  <c r="U74" i="57"/>
  <c r="AB74" i="57" s="1"/>
  <c r="I74" i="77" s="1"/>
  <c r="V71" i="57"/>
  <c r="AC71" i="57" s="1"/>
  <c r="I71" i="78" s="1"/>
  <c r="H71" i="78"/>
  <c r="H73" i="73"/>
  <c r="Q73" i="57"/>
  <c r="X73" i="57" s="1"/>
  <c r="I73" i="73" s="1"/>
  <c r="S78" i="57"/>
  <c r="Z78" i="57" s="1"/>
  <c r="I78" i="75" s="1"/>
  <c r="H78" i="75"/>
  <c r="T78" i="57"/>
  <c r="AA78" i="57" s="1"/>
  <c r="I78" i="76" s="1"/>
  <c r="H78" i="76"/>
  <c r="H82" i="77"/>
  <c r="U82" i="57"/>
  <c r="AB82" i="57" s="1"/>
  <c r="I82" i="77" s="1"/>
  <c r="V83" i="57"/>
  <c r="AC83" i="57" s="1"/>
  <c r="I83" i="78" s="1"/>
  <c r="H83" i="78"/>
  <c r="H71" i="73"/>
  <c r="Q71" i="57"/>
  <c r="X71" i="57" s="1"/>
  <c r="I71" i="73" s="1"/>
  <c r="H80" i="75"/>
  <c r="S80" i="57"/>
  <c r="Z80" i="57" s="1"/>
  <c r="I80" i="75" s="1"/>
  <c r="T76" i="57"/>
  <c r="AA76" i="57" s="1"/>
  <c r="I76" i="76" s="1"/>
  <c r="H76" i="76"/>
  <c r="H69" i="77"/>
  <c r="U69" i="57"/>
  <c r="AB69" i="57" s="1"/>
  <c r="I69" i="77" s="1"/>
  <c r="V78" i="57"/>
  <c r="AC78" i="57" s="1"/>
  <c r="I78" i="78" s="1"/>
  <c r="H78" i="78"/>
  <c r="Q80" i="57"/>
  <c r="X80" i="57" s="1"/>
  <c r="I80" i="73" s="1"/>
  <c r="H80" i="73"/>
  <c r="S71" i="57"/>
  <c r="Z71" i="57" s="1"/>
  <c r="I71" i="75" s="1"/>
  <c r="H71" i="75"/>
  <c r="H69" i="76"/>
  <c r="T69" i="57"/>
  <c r="AA69" i="57" s="1"/>
  <c r="I69" i="76" s="1"/>
  <c r="U83" i="57"/>
  <c r="AB83" i="57" s="1"/>
  <c r="I83" i="77" s="1"/>
  <c r="H83" i="77"/>
  <c r="V77" i="57"/>
  <c r="AC77" i="57" s="1"/>
  <c r="I77" i="78" s="1"/>
  <c r="H77" i="78"/>
  <c r="Q72" i="57"/>
  <c r="X72" i="57" s="1"/>
  <c r="I72" i="73" s="1"/>
  <c r="H72" i="73"/>
  <c r="S74" i="57"/>
  <c r="Z74" i="57" s="1"/>
  <c r="I74" i="75" s="1"/>
  <c r="H74" i="75"/>
  <c r="T70" i="57"/>
  <c r="AA70" i="57" s="1"/>
  <c r="I70" i="76" s="1"/>
  <c r="H70" i="76"/>
  <c r="P75" i="57"/>
  <c r="W75" i="57" s="1"/>
  <c r="I75" i="72" s="1"/>
  <c r="H75" i="72"/>
  <c r="H76" i="78"/>
  <c r="V76" i="57"/>
  <c r="AC76" i="57" s="1"/>
  <c r="I76" i="78" s="1"/>
  <c r="Q84" i="57"/>
  <c r="X84" i="57" s="1"/>
  <c r="I84" i="73" s="1"/>
  <c r="H84" i="73"/>
  <c r="H72" i="75"/>
  <c r="S72" i="57"/>
  <c r="Z72" i="57" s="1"/>
  <c r="I72" i="75" s="1"/>
  <c r="H84" i="76"/>
  <c r="T84" i="57"/>
  <c r="AA84" i="57" s="1"/>
  <c r="I84" i="76" s="1"/>
  <c r="P72" i="57"/>
  <c r="W72" i="57" s="1"/>
  <c r="I72" i="72" s="1"/>
  <c r="H72" i="72"/>
  <c r="V81" i="57"/>
  <c r="AC81" i="57" s="1"/>
  <c r="I81" i="78" s="1"/>
  <c r="H81" i="78"/>
  <c r="Q81" i="57"/>
  <c r="X81" i="57" s="1"/>
  <c r="I81" i="73" s="1"/>
  <c r="H81" i="73"/>
  <c r="R83" i="57"/>
  <c r="Y83" i="57" s="1"/>
  <c r="I83" i="74" s="1"/>
  <c r="H83" i="74"/>
  <c r="H71" i="76"/>
  <c r="T71" i="57"/>
  <c r="AA71" i="57" s="1"/>
  <c r="I71" i="76" s="1"/>
  <c r="P79" i="57"/>
  <c r="W79" i="57" s="1"/>
  <c r="I79" i="72" s="1"/>
  <c r="H79" i="72"/>
  <c r="H70" i="78"/>
  <c r="V70" i="57"/>
  <c r="AC70" i="57" s="1"/>
  <c r="I70" i="78" s="1"/>
  <c r="Q74" i="57"/>
  <c r="X74" i="57" s="1"/>
  <c r="I74" i="73" s="1"/>
  <c r="H74" i="73"/>
  <c r="H81" i="74"/>
  <c r="R81" i="57"/>
  <c r="Y81" i="57" s="1"/>
  <c r="I81" i="74" s="1"/>
  <c r="S70" i="57"/>
  <c r="Z70" i="57" s="1"/>
  <c r="I70" i="75" s="1"/>
  <c r="H70" i="75"/>
  <c r="T81" i="57"/>
  <c r="AA81" i="57" s="1"/>
  <c r="I81" i="76" s="1"/>
  <c r="H81" i="76"/>
  <c r="H81" i="72"/>
  <c r="P81" i="57"/>
  <c r="W81" i="57" s="1"/>
  <c r="I81" i="72" s="1"/>
  <c r="V73" i="57"/>
  <c r="AC73" i="57" s="1"/>
  <c r="I73" i="78" s="1"/>
  <c r="H73" i="78"/>
  <c r="H82" i="73"/>
  <c r="Q82" i="57"/>
  <c r="X82" i="57" s="1"/>
  <c r="I82" i="73" s="1"/>
  <c r="S11" i="57"/>
  <c r="Z11" i="57" s="1"/>
  <c r="I11" i="75" s="1"/>
  <c r="H11" i="75"/>
  <c r="S12" i="57"/>
  <c r="Z12" i="57" s="1"/>
  <c r="I12" i="75" s="1"/>
  <c r="H12" i="75"/>
  <c r="V9" i="57"/>
  <c r="AC9" i="57" s="1"/>
  <c r="I9" i="78" s="1"/>
  <c r="H9" i="78"/>
  <c r="H8" i="75"/>
  <c r="S8" i="57"/>
  <c r="Z8" i="57" s="1"/>
  <c r="I8" i="75" s="1"/>
  <c r="V10" i="57"/>
  <c r="AC10" i="57" s="1"/>
  <c r="I10" i="78" s="1"/>
  <c r="H10" i="78"/>
  <c r="V12" i="57"/>
  <c r="AC12" i="57" s="1"/>
  <c r="I12" i="78" s="1"/>
  <c r="H12" i="78"/>
  <c r="T9" i="57"/>
  <c r="AA9" i="57" s="1"/>
  <c r="I9" i="76" s="1"/>
  <c r="H9" i="76"/>
  <c r="V11" i="57"/>
  <c r="AC11" i="57" s="1"/>
  <c r="I11" i="78" s="1"/>
  <c r="H11" i="78"/>
  <c r="T10" i="57"/>
  <c r="AA10" i="57" s="1"/>
  <c r="I10" i="76" s="1"/>
  <c r="H10" i="76"/>
  <c r="H8" i="78"/>
  <c r="V8" i="57"/>
  <c r="AC8" i="57" s="1"/>
  <c r="I8" i="78" s="1"/>
  <c r="T12" i="57"/>
  <c r="AA12" i="57" s="1"/>
  <c r="I12" i="76" s="1"/>
  <c r="H12" i="76"/>
  <c r="T11" i="57"/>
  <c r="AA11" i="57" s="1"/>
  <c r="I11" i="76" s="1"/>
  <c r="H11" i="76"/>
  <c r="P9" i="57"/>
  <c r="W9" i="57" s="1"/>
  <c r="I9" i="72" s="1"/>
  <c r="H9" i="72"/>
  <c r="T8" i="57"/>
  <c r="AA8" i="57" s="1"/>
  <c r="I8" i="76" s="1"/>
  <c r="H8" i="76"/>
  <c r="P12" i="57"/>
  <c r="W12" i="57" s="1"/>
  <c r="I12" i="72" s="1"/>
  <c r="H12" i="72"/>
  <c r="H8" i="72"/>
  <c r="P8" i="57"/>
  <c r="W8" i="57" s="1"/>
  <c r="I8" i="72" s="1"/>
  <c r="U10" i="57"/>
  <c r="AB10" i="57" s="1"/>
  <c r="I10" i="77" s="1"/>
  <c r="H10" i="77"/>
  <c r="P11" i="57"/>
  <c r="W11" i="57" s="1"/>
  <c r="I11" i="72" s="1"/>
  <c r="H11" i="72"/>
  <c r="U12" i="57"/>
  <c r="AB12" i="57" s="1"/>
  <c r="I12" i="77" s="1"/>
  <c r="H12" i="77"/>
  <c r="H10" i="72"/>
  <c r="P10" i="57"/>
  <c r="W10" i="57" s="1"/>
  <c r="I10" i="72" s="1"/>
  <c r="U11" i="57"/>
  <c r="AB11" i="57" s="1"/>
  <c r="I11" i="77" s="1"/>
  <c r="H11" i="77"/>
  <c r="H8" i="77"/>
  <c r="U8" i="57"/>
  <c r="AB8" i="57" s="1"/>
  <c r="I8" i="77" s="1"/>
  <c r="R10" i="57"/>
  <c r="Y10" i="57" s="1"/>
  <c r="I10" i="74" s="1"/>
  <c r="H10" i="74"/>
  <c r="U9" i="57"/>
  <c r="AB9" i="57" s="1"/>
  <c r="I9" i="77" s="1"/>
  <c r="H9" i="77"/>
  <c r="R9" i="57"/>
  <c r="Y9" i="57" s="1"/>
  <c r="I9" i="74" s="1"/>
  <c r="H9" i="74"/>
  <c r="R11" i="57"/>
  <c r="Y11" i="57" s="1"/>
  <c r="I11" i="74" s="1"/>
  <c r="H11" i="74"/>
  <c r="Q10" i="57"/>
  <c r="X10" i="57" s="1"/>
  <c r="I10" i="73" s="1"/>
  <c r="H10" i="73"/>
  <c r="R12" i="57"/>
  <c r="Y12" i="57" s="1"/>
  <c r="I12" i="74" s="1"/>
  <c r="H12" i="74"/>
  <c r="Q9" i="57"/>
  <c r="X9" i="57" s="1"/>
  <c r="I9" i="73" s="1"/>
  <c r="H9" i="73"/>
  <c r="H8" i="74"/>
  <c r="R8" i="57"/>
  <c r="Y8" i="57" s="1"/>
  <c r="I8" i="74" s="1"/>
  <c r="Q11" i="57"/>
  <c r="X11" i="57" s="1"/>
  <c r="I11" i="73" s="1"/>
  <c r="H11" i="73"/>
  <c r="Q12" i="57"/>
  <c r="X12" i="57" s="1"/>
  <c r="I12" i="73" s="1"/>
  <c r="H12" i="73"/>
  <c r="S9" i="57"/>
  <c r="Z9" i="57" s="1"/>
  <c r="I9" i="75" s="1"/>
  <c r="H9" i="75"/>
  <c r="H8" i="73"/>
  <c r="Q8" i="57"/>
  <c r="X8" i="57" s="1"/>
  <c r="I8" i="73" s="1"/>
  <c r="S10" i="57"/>
  <c r="Z10" i="57" s="1"/>
  <c r="I10" i="75" s="1"/>
  <c r="H10" i="75"/>
  <c r="P9" i="83"/>
  <c r="R9" i="83" s="1"/>
  <c r="S9" i="83" s="1"/>
  <c r="T10" i="83" s="1"/>
  <c r="P9" i="86"/>
  <c r="R9" i="86" s="1"/>
  <c r="S9" i="86" s="1"/>
  <c r="T10" i="86" s="1"/>
  <c r="P29" i="86"/>
  <c r="R29" i="86" s="1"/>
  <c r="S29" i="86" s="1"/>
  <c r="P29" i="87"/>
  <c r="R29" i="87" s="1"/>
  <c r="S29" i="87" s="1"/>
  <c r="P5" i="83"/>
  <c r="R5" i="83" s="1"/>
  <c r="S5" i="83" s="1"/>
  <c r="T6" i="83" s="1"/>
  <c r="P17" i="83"/>
  <c r="R17" i="83" s="1"/>
  <c r="S17" i="83" s="1"/>
  <c r="P15" i="86"/>
  <c r="R15" i="86" s="1"/>
  <c r="S15" i="86" s="1"/>
  <c r="P17" i="86"/>
  <c r="R17" i="86" s="1"/>
  <c r="S17" i="86" s="1"/>
  <c r="K189" i="14"/>
  <c r="O18" i="88" s="1"/>
  <c r="K178" i="14"/>
  <c r="O11" i="88" s="1"/>
  <c r="H9" i="83"/>
  <c r="H9" i="86"/>
  <c r="K187" i="14"/>
  <c r="O27" i="88" s="1"/>
  <c r="O7" i="78"/>
  <c r="O6" i="78"/>
  <c r="K174" i="14"/>
  <c r="O7" i="88" s="1"/>
  <c r="P7" i="88" s="1"/>
  <c r="O21" i="88"/>
  <c r="O21" i="87"/>
  <c r="K179" i="14"/>
  <c r="O12" i="88" s="1"/>
  <c r="O175" i="77"/>
  <c r="O25" i="87"/>
  <c r="K180" i="14"/>
  <c r="O15" i="88" s="1"/>
  <c r="K181" i="14"/>
  <c r="O175" i="78"/>
  <c r="O25" i="88"/>
  <c r="H29" i="86"/>
  <c r="H17" i="83"/>
  <c r="U24" i="82"/>
  <c r="AB24" i="82" s="1"/>
  <c r="I23" i="87" s="1"/>
  <c r="N23" i="87" s="1"/>
  <c r="H23" i="87"/>
  <c r="V27" i="82"/>
  <c r="AC27" i="82" s="1"/>
  <c r="I26" i="88" s="1"/>
  <c r="N26" i="88" s="1"/>
  <c r="H26" i="88"/>
  <c r="V22" i="82"/>
  <c r="AC22" i="82" s="1"/>
  <c r="I21" i="88" s="1"/>
  <c r="N21" i="88" s="1"/>
  <c r="H21" i="88"/>
  <c r="V19" i="82"/>
  <c r="AC19" i="82" s="1"/>
  <c r="I18" i="88" s="1"/>
  <c r="N18" i="88" s="1"/>
  <c r="H18" i="88"/>
  <c r="U15" i="82"/>
  <c r="AB15" i="82" s="1"/>
  <c r="I14" i="87" s="1"/>
  <c r="N14" i="87" s="1"/>
  <c r="H14" i="87"/>
  <c r="V21" i="82"/>
  <c r="AC21" i="82" s="1"/>
  <c r="I20" i="88" s="1"/>
  <c r="N20" i="88" s="1"/>
  <c r="H20" i="88"/>
  <c r="V13" i="82"/>
  <c r="AC13" i="82" s="1"/>
  <c r="I12" i="88" s="1"/>
  <c r="N12" i="88" s="1"/>
  <c r="H12" i="88"/>
  <c r="V15" i="82"/>
  <c r="AC15" i="82" s="1"/>
  <c r="I14" i="88" s="1"/>
  <c r="N14" i="88" s="1"/>
  <c r="H14" i="88"/>
  <c r="U6" i="82"/>
  <c r="AB6" i="82" s="1"/>
  <c r="I5" i="87" s="1"/>
  <c r="N5" i="87" s="1"/>
  <c r="H5" i="87"/>
  <c r="V18" i="82"/>
  <c r="AC18" i="82" s="1"/>
  <c r="I17" i="88" s="1"/>
  <c r="N17" i="88" s="1"/>
  <c r="H17" i="88"/>
  <c r="U26" i="82"/>
  <c r="AB26" i="82" s="1"/>
  <c r="I25" i="87" s="1"/>
  <c r="H25" i="87"/>
  <c r="U25" i="82"/>
  <c r="AB25" i="82" s="1"/>
  <c r="I24" i="87" s="1"/>
  <c r="N24" i="87" s="1"/>
  <c r="H24" i="87"/>
  <c r="V20" i="82"/>
  <c r="AC20" i="82" s="1"/>
  <c r="I19" i="88" s="1"/>
  <c r="N19" i="88" s="1"/>
  <c r="H19" i="88"/>
  <c r="V28" i="82"/>
  <c r="AC28" i="82" s="1"/>
  <c r="I27" i="88" s="1"/>
  <c r="N27" i="88" s="1"/>
  <c r="H27" i="88"/>
  <c r="V6" i="82"/>
  <c r="AC6" i="82" s="1"/>
  <c r="I5" i="88" s="1"/>
  <c r="N5" i="88" s="1"/>
  <c r="H5" i="88"/>
  <c r="U12" i="82"/>
  <c r="AB12" i="82" s="1"/>
  <c r="I11" i="87" s="1"/>
  <c r="N11" i="87" s="1"/>
  <c r="H11" i="87"/>
  <c r="V10" i="82"/>
  <c r="AC10" i="82" s="1"/>
  <c r="I9" i="88" s="1"/>
  <c r="N9" i="88" s="1"/>
  <c r="H9" i="88"/>
  <c r="U28" i="82"/>
  <c r="AB28" i="82" s="1"/>
  <c r="I27" i="87" s="1"/>
  <c r="N27" i="87" s="1"/>
  <c r="H27" i="87"/>
  <c r="U16" i="82"/>
  <c r="AB16" i="82" s="1"/>
  <c r="I15" i="87" s="1"/>
  <c r="N15" i="87" s="1"/>
  <c r="H15" i="87"/>
  <c r="V26" i="82"/>
  <c r="AC26" i="82" s="1"/>
  <c r="I25" i="88" s="1"/>
  <c r="N25" i="88" s="1"/>
  <c r="H25" i="88"/>
  <c r="U19" i="82"/>
  <c r="AB19" i="82" s="1"/>
  <c r="I18" i="87" s="1"/>
  <c r="N18" i="87" s="1"/>
  <c r="H18" i="87"/>
  <c r="U31" i="82"/>
  <c r="AB31" i="82" s="1"/>
  <c r="I30" i="87" s="1"/>
  <c r="N30" i="87" s="1"/>
  <c r="H30" i="87"/>
  <c r="V30" i="82"/>
  <c r="AC30" i="82" s="1"/>
  <c r="I29" i="88" s="1"/>
  <c r="N29" i="88" s="1"/>
  <c r="H29" i="88"/>
  <c r="U27" i="82"/>
  <c r="AB27" i="82" s="1"/>
  <c r="I26" i="87" s="1"/>
  <c r="N26" i="87" s="1"/>
  <c r="H26" i="87"/>
  <c r="U22" i="82"/>
  <c r="AB22" i="82" s="1"/>
  <c r="I21" i="87" s="1"/>
  <c r="H21" i="87"/>
  <c r="U18" i="82"/>
  <c r="AB18" i="82" s="1"/>
  <c r="I17" i="87" s="1"/>
  <c r="N17" i="87" s="1"/>
  <c r="H17" i="87"/>
  <c r="U20" i="82"/>
  <c r="AB20" i="82" s="1"/>
  <c r="I19" i="87" s="1"/>
  <c r="N19" i="87" s="1"/>
  <c r="H19" i="87"/>
  <c r="V31" i="82"/>
  <c r="AC31" i="82" s="1"/>
  <c r="I30" i="88" s="1"/>
  <c r="N30" i="88" s="1"/>
  <c r="H30" i="88"/>
  <c r="U21" i="82"/>
  <c r="AB21" i="82" s="1"/>
  <c r="I20" i="87" s="1"/>
  <c r="N20" i="87" s="1"/>
  <c r="H20" i="87"/>
  <c r="U13" i="82"/>
  <c r="AB13" i="82" s="1"/>
  <c r="I12" i="87" s="1"/>
  <c r="N12" i="87" s="1"/>
  <c r="H12" i="87"/>
  <c r="U8" i="82"/>
  <c r="AB8" i="82" s="1"/>
  <c r="I7" i="87" s="1"/>
  <c r="N7" i="87" s="1"/>
  <c r="H7" i="87"/>
  <c r="H17" i="86"/>
  <c r="U10" i="82"/>
  <c r="AB10" i="82" s="1"/>
  <c r="I9" i="87" s="1"/>
  <c r="N9" i="87" s="1"/>
  <c r="H9" i="87"/>
  <c r="V24" i="82"/>
  <c r="AC24" i="82" s="1"/>
  <c r="I23" i="88" s="1"/>
  <c r="N23" i="88" s="1"/>
  <c r="H23" i="88"/>
  <c r="V12" i="82"/>
  <c r="AC12" i="82" s="1"/>
  <c r="I11" i="88" s="1"/>
  <c r="N11" i="88" s="1"/>
  <c r="H11" i="88"/>
  <c r="V16" i="82"/>
  <c r="AC16" i="82" s="1"/>
  <c r="I15" i="88" s="1"/>
  <c r="N15" i="88" s="1"/>
  <c r="H15" i="88"/>
  <c r="V25" i="82"/>
  <c r="AC25" i="82" s="1"/>
  <c r="I24" i="88" s="1"/>
  <c r="N24" i="88" s="1"/>
  <c r="H24" i="88"/>
  <c r="Q16" i="82"/>
  <c r="X16" i="82" s="1"/>
  <c r="I15" i="83" s="1"/>
  <c r="N15" i="83" s="1"/>
  <c r="H15" i="83"/>
  <c r="S8" i="82"/>
  <c r="Z8" i="82" s="1"/>
  <c r="I7" i="85" s="1"/>
  <c r="N7" i="85" s="1"/>
  <c r="H7" i="85"/>
  <c r="R24" i="82"/>
  <c r="H23" i="84"/>
  <c r="R30" i="82"/>
  <c r="H29" i="84"/>
  <c r="S26" i="82"/>
  <c r="Z26" i="82" s="1"/>
  <c r="I25" i="85" s="1"/>
  <c r="N25" i="85" s="1"/>
  <c r="H25" i="85"/>
  <c r="R13" i="82"/>
  <c r="H12" i="84"/>
  <c r="R18" i="82"/>
  <c r="H17" i="84"/>
  <c r="H26" i="85"/>
  <c r="S27" i="82"/>
  <c r="Z27" i="82" s="1"/>
  <c r="I26" i="85" s="1"/>
  <c r="N26" i="85" s="1"/>
  <c r="H21" i="85"/>
  <c r="S22" i="82"/>
  <c r="Z22" i="82" s="1"/>
  <c r="I21" i="85" s="1"/>
  <c r="N21" i="85" s="1"/>
  <c r="Q30" i="82"/>
  <c r="X30" i="82" s="1"/>
  <c r="I29" i="83" s="1"/>
  <c r="N29" i="83" s="1"/>
  <c r="H29" i="83"/>
  <c r="S19" i="82"/>
  <c r="Z19" i="82" s="1"/>
  <c r="I18" i="85" s="1"/>
  <c r="N18" i="85" s="1"/>
  <c r="H18" i="85"/>
  <c r="Q20" i="82"/>
  <c r="X20" i="82" s="1"/>
  <c r="I19" i="83" s="1"/>
  <c r="N19" i="83" s="1"/>
  <c r="H19" i="83"/>
  <c r="T8" i="82"/>
  <c r="AA8" i="82" s="1"/>
  <c r="I7" i="86" s="1"/>
  <c r="N7" i="86" s="1"/>
  <c r="H7" i="86"/>
  <c r="H25" i="83"/>
  <c r="Q26" i="82"/>
  <c r="X26" i="82" s="1"/>
  <c r="I25" i="83" s="1"/>
  <c r="N25" i="83" s="1"/>
  <c r="Q28" i="82"/>
  <c r="X28" i="82" s="1"/>
  <c r="I27" i="83" s="1"/>
  <c r="N27" i="83" s="1"/>
  <c r="H27" i="83"/>
  <c r="Q31" i="82"/>
  <c r="X31" i="82" s="1"/>
  <c r="I30" i="83" s="1"/>
  <c r="N30" i="83" s="1"/>
  <c r="H30" i="83"/>
  <c r="H26" i="86"/>
  <c r="T27" i="82"/>
  <c r="AA27" i="82" s="1"/>
  <c r="I26" i="86" s="1"/>
  <c r="N26" i="86" s="1"/>
  <c r="T26" i="82"/>
  <c r="AA26" i="82" s="1"/>
  <c r="I25" i="86" s="1"/>
  <c r="N25" i="86" s="1"/>
  <c r="H25" i="86"/>
  <c r="Q21" i="82"/>
  <c r="X21" i="82" s="1"/>
  <c r="I20" i="83" s="1"/>
  <c r="N20" i="83" s="1"/>
  <c r="H20" i="83"/>
  <c r="H27" i="86"/>
  <c r="T28" i="82"/>
  <c r="AA28" i="82" s="1"/>
  <c r="I27" i="86" s="1"/>
  <c r="N27" i="86" s="1"/>
  <c r="R16" i="82"/>
  <c r="H15" i="84"/>
  <c r="S16" i="82"/>
  <c r="Z16" i="82" s="1"/>
  <c r="I15" i="85" s="1"/>
  <c r="N15" i="85" s="1"/>
  <c r="H15" i="85"/>
  <c r="R22" i="82"/>
  <c r="H21" i="84"/>
  <c r="Q12" i="82"/>
  <c r="X12" i="82" s="1"/>
  <c r="I11" i="83" s="1"/>
  <c r="N11" i="83" s="1"/>
  <c r="H11" i="83"/>
  <c r="S10" i="82"/>
  <c r="Z10" i="82" s="1"/>
  <c r="I9" i="85" s="1"/>
  <c r="N9" i="85" s="1"/>
  <c r="H9" i="85"/>
  <c r="S13" i="82"/>
  <c r="Z13" i="82" s="1"/>
  <c r="I12" i="85" s="1"/>
  <c r="N12" i="85" s="1"/>
  <c r="H12" i="85"/>
  <c r="R21" i="82"/>
  <c r="H20" i="84"/>
  <c r="R25" i="82"/>
  <c r="H24" i="84"/>
  <c r="R15" i="82"/>
  <c r="H14" i="84"/>
  <c r="T24" i="82"/>
  <c r="AA24" i="82" s="1"/>
  <c r="I23" i="86" s="1"/>
  <c r="N23" i="86" s="1"/>
  <c r="H23" i="86"/>
  <c r="Q8" i="82"/>
  <c r="X8" i="82" s="1"/>
  <c r="I7" i="83" s="1"/>
  <c r="N7" i="83" s="1"/>
  <c r="H7" i="83"/>
  <c r="H19" i="85"/>
  <c r="S20" i="82"/>
  <c r="Z20" i="82" s="1"/>
  <c r="I19" i="85" s="1"/>
  <c r="N19" i="85" s="1"/>
  <c r="S12" i="82"/>
  <c r="Z12" i="82" s="1"/>
  <c r="I11" i="85" s="1"/>
  <c r="N11" i="85" s="1"/>
  <c r="H11" i="85"/>
  <c r="T15" i="82"/>
  <c r="AA15" i="82" s="1"/>
  <c r="I14" i="86" s="1"/>
  <c r="N14" i="86" s="1"/>
  <c r="H14" i="86"/>
  <c r="S6" i="82"/>
  <c r="Z6" i="82" s="1"/>
  <c r="I5" i="85" s="1"/>
  <c r="N5" i="85" s="1"/>
  <c r="H5" i="85"/>
  <c r="S28" i="82"/>
  <c r="Z28" i="82" s="1"/>
  <c r="I27" i="85" s="1"/>
  <c r="N27" i="85" s="1"/>
  <c r="H27" i="85"/>
  <c r="S24" i="82"/>
  <c r="Z24" i="82" s="1"/>
  <c r="I23" i="85" s="1"/>
  <c r="N23" i="85" s="1"/>
  <c r="H23" i="85"/>
  <c r="Q22" i="82"/>
  <c r="X22" i="82" s="1"/>
  <c r="I21" i="83" s="1"/>
  <c r="N21" i="83" s="1"/>
  <c r="H21" i="83"/>
  <c r="S25" i="82"/>
  <c r="Z25" i="82" s="1"/>
  <c r="I24" i="85" s="1"/>
  <c r="N24" i="85" s="1"/>
  <c r="H24" i="85"/>
  <c r="S21" i="82"/>
  <c r="Z21" i="82" s="1"/>
  <c r="I20" i="85" s="1"/>
  <c r="N20" i="85" s="1"/>
  <c r="H20" i="85"/>
  <c r="T6" i="82"/>
  <c r="AA6" i="82" s="1"/>
  <c r="I5" i="86" s="1"/>
  <c r="N5" i="86" s="1"/>
  <c r="H5" i="86"/>
  <c r="S31" i="82"/>
  <c r="Z31" i="82" s="1"/>
  <c r="I30" i="85" s="1"/>
  <c r="N30" i="85" s="1"/>
  <c r="H30" i="85"/>
  <c r="S15" i="82"/>
  <c r="Z15" i="82" s="1"/>
  <c r="I14" i="85" s="1"/>
  <c r="N14" i="85" s="1"/>
  <c r="H14" i="85"/>
  <c r="Q27" i="82"/>
  <c r="X27" i="82" s="1"/>
  <c r="I26" i="83" s="1"/>
  <c r="N26" i="83" s="1"/>
  <c r="H26" i="83"/>
  <c r="T12" i="82"/>
  <c r="AA12" i="82" s="1"/>
  <c r="I11" i="86" s="1"/>
  <c r="N11" i="86" s="1"/>
  <c r="H11" i="86"/>
  <c r="H24" i="83"/>
  <c r="Q25" i="82"/>
  <c r="X25" i="82" s="1"/>
  <c r="I24" i="83" s="1"/>
  <c r="N24" i="83" s="1"/>
  <c r="T13" i="82"/>
  <c r="AA13" i="82" s="1"/>
  <c r="I12" i="86" s="1"/>
  <c r="N12" i="86" s="1"/>
  <c r="H12" i="86"/>
  <c r="S30" i="82"/>
  <c r="Z30" i="82" s="1"/>
  <c r="I29" i="85" s="1"/>
  <c r="N29" i="85" s="1"/>
  <c r="H29" i="85"/>
  <c r="Q19" i="82"/>
  <c r="X19" i="82" s="1"/>
  <c r="I18" i="83" s="1"/>
  <c r="N18" i="83" s="1"/>
  <c r="H18" i="83"/>
  <c r="Q13" i="82"/>
  <c r="X13" i="82" s="1"/>
  <c r="I12" i="83" s="1"/>
  <c r="N12" i="83" s="1"/>
  <c r="H12" i="83"/>
  <c r="T31" i="82"/>
  <c r="AA31" i="82" s="1"/>
  <c r="I30" i="86" s="1"/>
  <c r="N30" i="86" s="1"/>
  <c r="H30" i="86"/>
  <c r="T22" i="82"/>
  <c r="AA22" i="82" s="1"/>
  <c r="I21" i="86" s="1"/>
  <c r="N21" i="86" s="1"/>
  <c r="H21" i="86"/>
  <c r="R12" i="82"/>
  <c r="H11" i="84"/>
  <c r="Q15" i="82"/>
  <c r="X15" i="82" s="1"/>
  <c r="I14" i="83" s="1"/>
  <c r="N14" i="83" s="1"/>
  <c r="H14" i="83"/>
  <c r="Q24" i="82"/>
  <c r="X24" i="82" s="1"/>
  <c r="I23" i="83" s="1"/>
  <c r="N23" i="83" s="1"/>
  <c r="H23" i="83"/>
  <c r="T20" i="82"/>
  <c r="AA20" i="82" s="1"/>
  <c r="I19" i="86" s="1"/>
  <c r="N19" i="86" s="1"/>
  <c r="H19" i="86"/>
  <c r="H26" i="84"/>
  <c r="R27" i="82"/>
  <c r="S18" i="82"/>
  <c r="Z18" i="82" s="1"/>
  <c r="I17" i="85" s="1"/>
  <c r="N17" i="85" s="1"/>
  <c r="H17" i="85"/>
  <c r="T19" i="82"/>
  <c r="AA19" i="82" s="1"/>
  <c r="I18" i="86" s="1"/>
  <c r="N18" i="86" s="1"/>
  <c r="H18" i="86"/>
  <c r="T25" i="82"/>
  <c r="AA25" i="82" s="1"/>
  <c r="I24" i="86" s="1"/>
  <c r="N24" i="86" s="1"/>
  <c r="H24" i="86"/>
  <c r="R20" i="82"/>
  <c r="H19" i="84"/>
  <c r="Y10" i="82"/>
  <c r="N9" i="84"/>
  <c r="R8" i="82"/>
  <c r="H7" i="84"/>
  <c r="H20" i="86"/>
  <c r="T21" i="82"/>
  <c r="AA21" i="82" s="1"/>
  <c r="I20" i="86" s="1"/>
  <c r="N20" i="86" s="1"/>
  <c r="R6" i="82"/>
  <c r="H5" i="84"/>
  <c r="R26" i="82"/>
  <c r="H25" i="84"/>
  <c r="R31" i="82"/>
  <c r="H30" i="84"/>
  <c r="R19" i="82"/>
  <c r="H18" i="84"/>
  <c r="R28" i="82"/>
  <c r="H27" i="84"/>
  <c r="T33" i="81"/>
  <c r="E7" i="71" s="1"/>
  <c r="K175" i="14"/>
  <c r="O30" i="88" s="1"/>
  <c r="O118" i="77"/>
  <c r="O119" i="77"/>
  <c r="O120" i="77"/>
  <c r="O121" i="77"/>
  <c r="O122" i="77"/>
  <c r="O116" i="77"/>
  <c r="O117" i="77"/>
  <c r="O138" i="77"/>
  <c r="O140" i="77"/>
  <c r="O141" i="77"/>
  <c r="O142" i="77"/>
  <c r="O151" i="77"/>
  <c r="O115" i="77"/>
  <c r="O34" i="77"/>
  <c r="O56" i="77"/>
  <c r="O35" i="77"/>
  <c r="O57" i="77"/>
  <c r="O36" i="77"/>
  <c r="O58" i="77"/>
  <c r="O15" i="77"/>
  <c r="O37" i="77"/>
  <c r="O59" i="77"/>
  <c r="O16" i="77"/>
  <c r="O38" i="77"/>
  <c r="O60" i="77"/>
  <c r="O17" i="77"/>
  <c r="O39" i="77"/>
  <c r="O61" i="77"/>
  <c r="O21" i="77"/>
  <c r="O43" i="77"/>
  <c r="O65" i="77"/>
  <c r="O22" i="77"/>
  <c r="O44" i="77"/>
  <c r="O66" i="77"/>
  <c r="O23" i="77"/>
  <c r="O45" i="77"/>
  <c r="O67" i="77"/>
  <c r="O24" i="77"/>
  <c r="O46" i="77"/>
  <c r="O68" i="77"/>
  <c r="O25" i="77"/>
  <c r="O47" i="77"/>
  <c r="O85" i="77"/>
  <c r="O26" i="77"/>
  <c r="O14" i="77"/>
  <c r="O27" i="77"/>
  <c r="O31" i="77"/>
  <c r="O33" i="77"/>
  <c r="O20" i="77"/>
  <c r="O28" i="77"/>
  <c r="O29" i="77"/>
  <c r="O30" i="77"/>
  <c r="O32" i="77"/>
  <c r="O40" i="77"/>
  <c r="O62" i="77"/>
  <c r="O41" i="77"/>
  <c r="O42" i="77"/>
  <c r="O48" i="77"/>
  <c r="O49" i="77"/>
  <c r="O50" i="77"/>
  <c r="O51" i="77"/>
  <c r="O52" i="77"/>
  <c r="O53" i="77"/>
  <c r="O54" i="77"/>
  <c r="O55" i="77"/>
  <c r="O18" i="77"/>
  <c r="O19" i="77"/>
  <c r="O63" i="77"/>
  <c r="O64" i="77"/>
  <c r="O116" i="78"/>
  <c r="O117" i="78"/>
  <c r="O118" i="78"/>
  <c r="O119" i="78"/>
  <c r="O120" i="78"/>
  <c r="O121" i="78"/>
  <c r="O122" i="78"/>
  <c r="O138" i="78"/>
  <c r="O140" i="78"/>
  <c r="O141" i="78"/>
  <c r="O142" i="78"/>
  <c r="O151" i="78"/>
  <c r="O115" i="78"/>
  <c r="O17" i="78"/>
  <c r="O61" i="78"/>
  <c r="O18" i="78"/>
  <c r="O40" i="78"/>
  <c r="O62" i="78"/>
  <c r="O20" i="78"/>
  <c r="O64" i="78"/>
  <c r="O21" i="78"/>
  <c r="O44" i="78"/>
  <c r="O88" i="78"/>
  <c r="O89" i="78"/>
  <c r="O113" i="78"/>
  <c r="O87" i="78"/>
  <c r="AM63" i="46"/>
  <c r="AN63" i="46" s="1"/>
  <c r="AM34" i="46"/>
  <c r="AN34" i="46" s="1"/>
  <c r="AM86" i="46"/>
  <c r="AN86" i="46" s="1"/>
  <c r="AM78" i="46"/>
  <c r="AN78" i="46" s="1"/>
  <c r="AM77" i="46"/>
  <c r="AN77" i="46" s="1"/>
  <c r="AM76" i="46"/>
  <c r="AN76" i="46" s="1"/>
  <c r="AM74" i="46"/>
  <c r="AN74" i="46" s="1"/>
  <c r="AM73" i="46"/>
  <c r="AN73" i="46" s="1"/>
  <c r="AM72" i="46"/>
  <c r="AN72" i="46" s="1"/>
  <c r="AM71" i="46"/>
  <c r="AN71" i="46" s="1"/>
  <c r="AM69" i="46"/>
  <c r="AN69" i="46" s="1"/>
  <c r="AM68" i="46"/>
  <c r="AN68" i="46" s="1"/>
  <c r="AM59" i="46"/>
  <c r="AN59" i="46" s="1"/>
  <c r="AM57" i="46"/>
  <c r="AN57" i="46" s="1"/>
  <c r="AM52" i="46"/>
  <c r="AN52" i="46" s="1"/>
  <c r="AM51" i="46"/>
  <c r="AN51" i="46" s="1"/>
  <c r="AM44" i="46"/>
  <c r="AN44" i="46" s="1"/>
  <c r="AM43" i="46"/>
  <c r="AN43" i="46" s="1"/>
  <c r="AM42" i="46"/>
  <c r="AN42" i="46" s="1"/>
  <c r="AM41" i="46"/>
  <c r="AN41" i="46" s="1"/>
  <c r="AM32" i="46"/>
  <c r="AN32" i="46" s="1"/>
  <c r="AM30" i="46"/>
  <c r="AN30" i="46" s="1"/>
  <c r="AM27" i="46"/>
  <c r="AN27" i="46" s="1"/>
  <c r="AM25" i="46"/>
  <c r="AN25" i="46" s="1"/>
  <c r="AM24" i="46"/>
  <c r="AN24" i="46" s="1"/>
  <c r="AM23" i="46"/>
  <c r="AN23" i="46" s="1"/>
  <c r="AM20" i="46"/>
  <c r="AN20" i="46" s="1"/>
  <c r="AM18" i="46"/>
  <c r="AN18" i="46" s="1"/>
  <c r="AM14" i="46"/>
  <c r="AN14" i="46" s="1"/>
  <c r="AM13" i="46"/>
  <c r="AN13" i="46" s="1"/>
  <c r="AM10" i="46"/>
  <c r="AN10" i="46" s="1"/>
  <c r="N7" i="46"/>
  <c r="W86" i="46"/>
  <c r="W78" i="46"/>
  <c r="W77" i="46"/>
  <c r="W76" i="46"/>
  <c r="W74" i="46"/>
  <c r="W73" i="46"/>
  <c r="W72" i="46"/>
  <c r="W71" i="46"/>
  <c r="W69" i="46"/>
  <c r="W68" i="46"/>
  <c r="W63" i="46"/>
  <c r="W59" i="46"/>
  <c r="W57" i="46"/>
  <c r="W52" i="46"/>
  <c r="W51" i="46"/>
  <c r="W44" i="46"/>
  <c r="W43" i="46"/>
  <c r="W42" i="46"/>
  <c r="W41" i="46"/>
  <c r="W34" i="46"/>
  <c r="W32" i="46"/>
  <c r="W30" i="46"/>
  <c r="W27" i="46"/>
  <c r="W25" i="46"/>
  <c r="W24" i="46"/>
  <c r="W23" i="46"/>
  <c r="W20" i="46"/>
  <c r="W18" i="46"/>
  <c r="W14" i="46"/>
  <c r="W13" i="46"/>
  <c r="W10" i="46"/>
  <c r="W46" i="45"/>
  <c r="W45" i="45"/>
  <c r="W44" i="45"/>
  <c r="W42" i="45"/>
  <c r="W41" i="45"/>
  <c r="W39" i="45"/>
  <c r="W38" i="45"/>
  <c r="W37" i="45"/>
  <c r="W35" i="45"/>
  <c r="W34" i="45"/>
  <c r="W33" i="45"/>
  <c r="W29" i="45"/>
  <c r="W27" i="45"/>
  <c r="W22" i="45"/>
  <c r="W9" i="45"/>
  <c r="W10" i="45"/>
  <c r="W11" i="45"/>
  <c r="W13" i="45"/>
  <c r="W14" i="45"/>
  <c r="W15" i="45"/>
  <c r="X46" i="45"/>
  <c r="X45" i="45"/>
  <c r="X44" i="45"/>
  <c r="X42" i="45"/>
  <c r="X41" i="45"/>
  <c r="X39" i="45"/>
  <c r="X38" i="45"/>
  <c r="X37" i="45"/>
  <c r="X35" i="45"/>
  <c r="X34" i="45"/>
  <c r="X33" i="45"/>
  <c r="X29" i="45"/>
  <c r="X27" i="45"/>
  <c r="X22" i="45"/>
  <c r="X9" i="45"/>
  <c r="X10" i="45"/>
  <c r="X11" i="45"/>
  <c r="X13" i="45"/>
  <c r="X14" i="45"/>
  <c r="X15" i="45"/>
  <c r="N25" i="87" l="1"/>
  <c r="P25" i="87" s="1"/>
  <c r="R25" i="87" s="1"/>
  <c r="S25" i="87" s="1"/>
  <c r="N21" i="87"/>
  <c r="P21" i="87" s="1"/>
  <c r="R21" i="87" s="1"/>
  <c r="S21" i="87" s="1"/>
  <c r="T180" i="78"/>
  <c r="T180" i="73"/>
  <c r="T180" i="76"/>
  <c r="P79" i="75"/>
  <c r="R79" i="75" s="1"/>
  <c r="S79" i="75" s="1"/>
  <c r="P150" i="75"/>
  <c r="R150" i="75" s="1"/>
  <c r="S150" i="75" s="1"/>
  <c r="P82" i="77"/>
  <c r="R82" i="77" s="1"/>
  <c r="S82" i="77" s="1"/>
  <c r="P129" i="78"/>
  <c r="R129" i="78" s="1"/>
  <c r="S129" i="78" s="1"/>
  <c r="P12" i="76"/>
  <c r="R12" i="76" s="1"/>
  <c r="S12" i="76" s="1"/>
  <c r="P100" i="75"/>
  <c r="R100" i="75" s="1"/>
  <c r="S100" i="75" s="1"/>
  <c r="P107" i="74"/>
  <c r="R107" i="74" s="1"/>
  <c r="S107" i="74" s="1"/>
  <c r="P158" i="77"/>
  <c r="R158" i="77" s="1"/>
  <c r="S158" i="77" s="1"/>
  <c r="P12" i="73"/>
  <c r="R12" i="73" s="1"/>
  <c r="S12" i="73" s="1"/>
  <c r="P112" i="72"/>
  <c r="R112" i="72" s="1"/>
  <c r="S112" i="72" s="1"/>
  <c r="P135" i="75"/>
  <c r="R135" i="75" s="1"/>
  <c r="S135" i="75" s="1"/>
  <c r="P125" i="78"/>
  <c r="R125" i="78" s="1"/>
  <c r="S125" i="78" s="1"/>
  <c r="P167" i="78"/>
  <c r="R167" i="78" s="1"/>
  <c r="S167" i="78" s="1"/>
  <c r="P11" i="78"/>
  <c r="R11" i="78" s="1"/>
  <c r="S11" i="78" s="1"/>
  <c r="P12" i="74"/>
  <c r="R12" i="74" s="1"/>
  <c r="S12" i="74" s="1"/>
  <c r="P10" i="77"/>
  <c r="R10" i="77" s="1"/>
  <c r="S10" i="77" s="1"/>
  <c r="P12" i="78"/>
  <c r="R12" i="78" s="1"/>
  <c r="S12" i="78" s="1"/>
  <c r="P84" i="73"/>
  <c r="R84" i="73" s="1"/>
  <c r="S84" i="73" s="1"/>
  <c r="P71" i="74"/>
  <c r="R71" i="74" s="1"/>
  <c r="S71" i="74" s="1"/>
  <c r="P71" i="72"/>
  <c r="R71" i="72" s="1"/>
  <c r="S71" i="72" s="1"/>
  <c r="P91" i="75"/>
  <c r="R91" i="75" s="1"/>
  <c r="S91" i="75" s="1"/>
  <c r="P100" i="78"/>
  <c r="R100" i="78" s="1"/>
  <c r="S100" i="78" s="1"/>
  <c r="P106" i="77"/>
  <c r="R106" i="77" s="1"/>
  <c r="S106" i="77" s="1"/>
  <c r="P112" i="73"/>
  <c r="R112" i="73" s="1"/>
  <c r="S112" i="73" s="1"/>
  <c r="P98" i="73"/>
  <c r="R98" i="73" s="1"/>
  <c r="S98" i="73" s="1"/>
  <c r="P136" i="77"/>
  <c r="R136" i="77" s="1"/>
  <c r="S136" i="77" s="1"/>
  <c r="P128" i="75"/>
  <c r="R128" i="75" s="1"/>
  <c r="S128" i="75" s="1"/>
  <c r="P125" i="72"/>
  <c r="R125" i="72" s="1"/>
  <c r="S125" i="72" s="1"/>
  <c r="P135" i="74"/>
  <c r="R135" i="74" s="1"/>
  <c r="S135" i="74" s="1"/>
  <c r="P8" i="72"/>
  <c r="R8" i="72" s="1"/>
  <c r="S8" i="72" s="1"/>
  <c r="P69" i="77"/>
  <c r="R69" i="77" s="1"/>
  <c r="S69" i="77" s="1"/>
  <c r="P10" i="78"/>
  <c r="R10" i="78" s="1"/>
  <c r="S10" i="78" s="1"/>
  <c r="P92" i="74"/>
  <c r="R92" i="74" s="1"/>
  <c r="S92" i="74" s="1"/>
  <c r="P133" i="77"/>
  <c r="R133" i="77" s="1"/>
  <c r="S133" i="77" s="1"/>
  <c r="P130" i="75"/>
  <c r="R130" i="75" s="1"/>
  <c r="S130" i="75" s="1"/>
  <c r="P135" i="76"/>
  <c r="R135" i="76" s="1"/>
  <c r="S135" i="76" s="1"/>
  <c r="P127" i="77"/>
  <c r="R127" i="77" s="1"/>
  <c r="S127" i="77" s="1"/>
  <c r="P131" i="73"/>
  <c r="R131" i="73" s="1"/>
  <c r="S131" i="73" s="1"/>
  <c r="P134" i="75"/>
  <c r="R134" i="75" s="1"/>
  <c r="S134" i="75" s="1"/>
  <c r="P129" i="77"/>
  <c r="R129" i="77" s="1"/>
  <c r="S129" i="77" s="1"/>
  <c r="P148" i="72"/>
  <c r="R148" i="72" s="1"/>
  <c r="S148" i="72" s="1"/>
  <c r="P144" i="78"/>
  <c r="R144" i="78" s="1"/>
  <c r="S144" i="78" s="1"/>
  <c r="P145" i="72"/>
  <c r="R145" i="72" s="1"/>
  <c r="S145" i="72" s="1"/>
  <c r="P144" i="74"/>
  <c r="R144" i="74" s="1"/>
  <c r="S144" i="74" s="1"/>
  <c r="P160" i="74"/>
  <c r="R160" i="74" s="1"/>
  <c r="S160" i="74" s="1"/>
  <c r="P155" i="73"/>
  <c r="R155" i="73" s="1"/>
  <c r="S155" i="73" s="1"/>
  <c r="P158" i="72"/>
  <c r="R158" i="72" s="1"/>
  <c r="S158" i="72" s="1"/>
  <c r="P158" i="75"/>
  <c r="R158" i="75" s="1"/>
  <c r="S158" i="75" s="1"/>
  <c r="P167" i="76"/>
  <c r="R167" i="76" s="1"/>
  <c r="S167" i="76" s="1"/>
  <c r="P166" i="75"/>
  <c r="R166" i="75" s="1"/>
  <c r="S166" i="75" s="1"/>
  <c r="P171" i="75"/>
  <c r="R171" i="75" s="1"/>
  <c r="S171" i="75" s="1"/>
  <c r="P170" i="77"/>
  <c r="R170" i="77" s="1"/>
  <c r="S170" i="77" s="1"/>
  <c r="P74" i="76"/>
  <c r="R74" i="76" s="1"/>
  <c r="S74" i="76" s="1"/>
  <c r="P98" i="72"/>
  <c r="R98" i="72" s="1"/>
  <c r="S98" i="72" s="1"/>
  <c r="P135" i="78"/>
  <c r="R135" i="78" s="1"/>
  <c r="S135" i="78" s="1"/>
  <c r="P161" i="77"/>
  <c r="R161" i="77" s="1"/>
  <c r="S161" i="77" s="1"/>
  <c r="P124" i="74"/>
  <c r="R124" i="74" s="1"/>
  <c r="S124" i="74" s="1"/>
  <c r="P78" i="78"/>
  <c r="R78" i="78" s="1"/>
  <c r="S78" i="78" s="1"/>
  <c r="P78" i="73"/>
  <c r="R78" i="73" s="1"/>
  <c r="S78" i="73" s="1"/>
  <c r="P103" i="73"/>
  <c r="R103" i="73" s="1"/>
  <c r="S103" i="73" s="1"/>
  <c r="P90" i="72"/>
  <c r="R90" i="72" s="1"/>
  <c r="S90" i="72" s="1"/>
  <c r="P97" i="73"/>
  <c r="R97" i="73" s="1"/>
  <c r="S97" i="73" s="1"/>
  <c r="P110" i="76"/>
  <c r="R110" i="76" s="1"/>
  <c r="S110" i="76" s="1"/>
  <c r="P133" i="73"/>
  <c r="R133" i="73" s="1"/>
  <c r="S133" i="73" s="1"/>
  <c r="P131" i="78"/>
  <c r="R131" i="78" s="1"/>
  <c r="S131" i="78" s="1"/>
  <c r="P10" i="73"/>
  <c r="R10" i="73" s="1"/>
  <c r="S10" i="73" s="1"/>
  <c r="P74" i="73"/>
  <c r="R74" i="73" s="1"/>
  <c r="S74" i="73" s="1"/>
  <c r="P75" i="76"/>
  <c r="R75" i="76" s="1"/>
  <c r="S75" i="76" s="1"/>
  <c r="P73" i="72"/>
  <c r="R73" i="72" s="1"/>
  <c r="S73" i="72" s="1"/>
  <c r="P78" i="74"/>
  <c r="R78" i="74" s="1"/>
  <c r="S78" i="74" s="1"/>
  <c r="P102" i="78"/>
  <c r="R102" i="78" s="1"/>
  <c r="S102" i="78" s="1"/>
  <c r="P101" i="73"/>
  <c r="R101" i="73" s="1"/>
  <c r="S101" i="73" s="1"/>
  <c r="P105" i="74"/>
  <c r="R105" i="74" s="1"/>
  <c r="S105" i="74" s="1"/>
  <c r="P107" i="76"/>
  <c r="R107" i="76" s="1"/>
  <c r="S107" i="76" s="1"/>
  <c r="P107" i="77"/>
  <c r="R107" i="77" s="1"/>
  <c r="S107" i="77" s="1"/>
  <c r="P97" i="74"/>
  <c r="R97" i="74" s="1"/>
  <c r="S97" i="74" s="1"/>
  <c r="P96" i="75"/>
  <c r="R96" i="75" s="1"/>
  <c r="S96" i="75" s="1"/>
  <c r="P111" i="72"/>
  <c r="R111" i="72" s="1"/>
  <c r="S111" i="72" s="1"/>
  <c r="P95" i="73"/>
  <c r="R95" i="73" s="1"/>
  <c r="S95" i="73" s="1"/>
  <c r="P91" i="76"/>
  <c r="R91" i="76" s="1"/>
  <c r="S91" i="76" s="1"/>
  <c r="P8" i="75"/>
  <c r="R8" i="75" s="1"/>
  <c r="S8" i="75" s="1"/>
  <c r="P70" i="78"/>
  <c r="R70" i="78" s="1"/>
  <c r="S70" i="78" s="1"/>
  <c r="P81" i="75"/>
  <c r="R81" i="75" s="1"/>
  <c r="S81" i="75" s="1"/>
  <c r="P78" i="72"/>
  <c r="R78" i="72" s="1"/>
  <c r="S78" i="72" s="1"/>
  <c r="P72" i="77"/>
  <c r="R72" i="77" s="1"/>
  <c r="S72" i="77" s="1"/>
  <c r="P79" i="74"/>
  <c r="R79" i="74" s="1"/>
  <c r="S79" i="74" s="1"/>
  <c r="P109" i="77"/>
  <c r="R109" i="77" s="1"/>
  <c r="S109" i="77" s="1"/>
  <c r="P149" i="77"/>
  <c r="R149" i="77" s="1"/>
  <c r="S149" i="77" s="1"/>
  <c r="P146" i="75"/>
  <c r="R146" i="75" s="1"/>
  <c r="S146" i="75" s="1"/>
  <c r="P146" i="74"/>
  <c r="R146" i="74" s="1"/>
  <c r="S146" i="74" s="1"/>
  <c r="P171" i="72"/>
  <c r="R171" i="72" s="1"/>
  <c r="S171" i="72" s="1"/>
  <c r="P176" i="74"/>
  <c r="R176" i="74" s="1"/>
  <c r="S176" i="74" s="1"/>
  <c r="P174" i="75"/>
  <c r="R174" i="75" s="1"/>
  <c r="S174" i="75" s="1"/>
  <c r="P83" i="78"/>
  <c r="R83" i="78" s="1"/>
  <c r="S83" i="78" s="1"/>
  <c r="P105" i="73"/>
  <c r="R105" i="73" s="1"/>
  <c r="S105" i="73" s="1"/>
  <c r="P137" i="75"/>
  <c r="R137" i="75" s="1"/>
  <c r="S137" i="75" s="1"/>
  <c r="P82" i="73"/>
  <c r="R82" i="73" s="1"/>
  <c r="S82" i="73" s="1"/>
  <c r="P107" i="73"/>
  <c r="R107" i="73" s="1"/>
  <c r="S107" i="73" s="1"/>
  <c r="P99" i="78"/>
  <c r="R99" i="78" s="1"/>
  <c r="S99" i="78" s="1"/>
  <c r="P96" i="76"/>
  <c r="R96" i="76" s="1"/>
  <c r="S96" i="76" s="1"/>
  <c r="P92" i="77"/>
  <c r="R92" i="77" s="1"/>
  <c r="S92" i="77" s="1"/>
  <c r="P98" i="74"/>
  <c r="R98" i="74" s="1"/>
  <c r="S98" i="74" s="1"/>
  <c r="P108" i="72"/>
  <c r="R108" i="72" s="1"/>
  <c r="S108" i="72" s="1"/>
  <c r="P92" i="72"/>
  <c r="R92" i="72" s="1"/>
  <c r="S92" i="72" s="1"/>
  <c r="P137" i="76"/>
  <c r="R137" i="76" s="1"/>
  <c r="S137" i="76" s="1"/>
  <c r="P133" i="75"/>
  <c r="R133" i="75" s="1"/>
  <c r="S133" i="75" s="1"/>
  <c r="P125" i="74"/>
  <c r="R125" i="74" s="1"/>
  <c r="S125" i="74" s="1"/>
  <c r="P134" i="73"/>
  <c r="R134" i="73" s="1"/>
  <c r="S134" i="73" s="1"/>
  <c r="P136" i="78"/>
  <c r="R136" i="78" s="1"/>
  <c r="S136" i="78" s="1"/>
  <c r="P136" i="76"/>
  <c r="R136" i="76" s="1"/>
  <c r="S136" i="76" s="1"/>
  <c r="P127" i="76"/>
  <c r="R127" i="76" s="1"/>
  <c r="S127" i="76" s="1"/>
  <c r="P135" i="72"/>
  <c r="R135" i="72" s="1"/>
  <c r="S135" i="72" s="1"/>
  <c r="P128" i="76"/>
  <c r="R128" i="76" s="1"/>
  <c r="S128" i="76" s="1"/>
  <c r="P147" i="73"/>
  <c r="R147" i="73" s="1"/>
  <c r="S147" i="73" s="1"/>
  <c r="P145" i="73"/>
  <c r="R145" i="73" s="1"/>
  <c r="S145" i="73" s="1"/>
  <c r="P154" i="77"/>
  <c r="R154" i="77" s="1"/>
  <c r="S154" i="77" s="1"/>
  <c r="P157" i="73"/>
  <c r="R157" i="73" s="1"/>
  <c r="S157" i="73" s="1"/>
  <c r="P156" i="75"/>
  <c r="R156" i="75" s="1"/>
  <c r="S156" i="75" s="1"/>
  <c r="P158" i="76"/>
  <c r="R158" i="76" s="1"/>
  <c r="S158" i="76" s="1"/>
  <c r="P161" i="72"/>
  <c r="R161" i="72" s="1"/>
  <c r="S161" i="72" s="1"/>
  <c r="P166" i="73"/>
  <c r="R166" i="73" s="1"/>
  <c r="S166" i="73" s="1"/>
  <c r="P169" i="78"/>
  <c r="R169" i="78" s="1"/>
  <c r="S169" i="78" s="1"/>
  <c r="P165" i="74"/>
  <c r="R165" i="74" s="1"/>
  <c r="S165" i="74" s="1"/>
  <c r="P82" i="76"/>
  <c r="R82" i="76" s="1"/>
  <c r="S82" i="76" s="1"/>
  <c r="P74" i="72"/>
  <c r="R74" i="72" s="1"/>
  <c r="S74" i="72" s="1"/>
  <c r="P103" i="72"/>
  <c r="R103" i="72" s="1"/>
  <c r="S103" i="72" s="1"/>
  <c r="P112" i="75"/>
  <c r="R112" i="75" s="1"/>
  <c r="S112" i="75" s="1"/>
  <c r="P99" i="73"/>
  <c r="R99" i="73" s="1"/>
  <c r="S99" i="73" s="1"/>
  <c r="P105" i="77"/>
  <c r="R105" i="77" s="1"/>
  <c r="S105" i="77" s="1"/>
  <c r="P90" i="77"/>
  <c r="R90" i="77" s="1"/>
  <c r="S90" i="77" s="1"/>
  <c r="P129" i="75"/>
  <c r="R129" i="75" s="1"/>
  <c r="S129" i="75" s="1"/>
  <c r="P129" i="74"/>
  <c r="R129" i="74" s="1"/>
  <c r="S129" i="74" s="1"/>
  <c r="P132" i="73"/>
  <c r="R132" i="73" s="1"/>
  <c r="S132" i="73" s="1"/>
  <c r="P149" i="73"/>
  <c r="R149" i="73" s="1"/>
  <c r="S149" i="73" s="1"/>
  <c r="P147" i="78"/>
  <c r="R147" i="78" s="1"/>
  <c r="S147" i="78" s="1"/>
  <c r="P156" i="78"/>
  <c r="R156" i="78" s="1"/>
  <c r="S156" i="78" s="1"/>
  <c r="P160" i="75"/>
  <c r="R160" i="75" s="1"/>
  <c r="S160" i="75" s="1"/>
  <c r="P174" i="74"/>
  <c r="R174" i="74" s="1"/>
  <c r="S174" i="74" s="1"/>
  <c r="T180" i="72"/>
  <c r="P80" i="75"/>
  <c r="R80" i="75" s="1"/>
  <c r="S80" i="75" s="1"/>
  <c r="P70" i="77"/>
  <c r="R70" i="77" s="1"/>
  <c r="S70" i="77" s="1"/>
  <c r="P9" i="74"/>
  <c r="R9" i="74" s="1"/>
  <c r="S9" i="74" s="1"/>
  <c r="P8" i="76"/>
  <c r="R8" i="76" s="1"/>
  <c r="S8" i="76" s="1"/>
  <c r="P9" i="78"/>
  <c r="R9" i="78" s="1"/>
  <c r="S9" i="78" s="1"/>
  <c r="P79" i="72"/>
  <c r="R79" i="72" s="1"/>
  <c r="S79" i="72" s="1"/>
  <c r="P70" i="76"/>
  <c r="R70" i="76" s="1"/>
  <c r="S70" i="76" s="1"/>
  <c r="P80" i="76"/>
  <c r="R80" i="76" s="1"/>
  <c r="S80" i="76" s="1"/>
  <c r="P77" i="74"/>
  <c r="R77" i="74" s="1"/>
  <c r="S77" i="74" s="1"/>
  <c r="P77" i="77"/>
  <c r="R77" i="77" s="1"/>
  <c r="S77" i="77" s="1"/>
  <c r="P72" i="78"/>
  <c r="R72" i="78" s="1"/>
  <c r="S72" i="78" s="1"/>
  <c r="P111" i="76"/>
  <c r="R111" i="76" s="1"/>
  <c r="S111" i="76" s="1"/>
  <c r="P110" i="78"/>
  <c r="R110" i="78" s="1"/>
  <c r="S110" i="78" s="1"/>
  <c r="P95" i="72"/>
  <c r="R95" i="72" s="1"/>
  <c r="S95" i="72" s="1"/>
  <c r="P91" i="73"/>
  <c r="R91" i="73" s="1"/>
  <c r="S91" i="73" s="1"/>
  <c r="P91" i="78"/>
  <c r="R91" i="78" s="1"/>
  <c r="S91" i="78" s="1"/>
  <c r="P102" i="76"/>
  <c r="R102" i="76" s="1"/>
  <c r="S102" i="76" s="1"/>
  <c r="P110" i="74"/>
  <c r="R110" i="74" s="1"/>
  <c r="S110" i="74" s="1"/>
  <c r="P92" i="75"/>
  <c r="R92" i="75" s="1"/>
  <c r="S92" i="75" s="1"/>
  <c r="P107" i="72"/>
  <c r="R107" i="72" s="1"/>
  <c r="S107" i="72" s="1"/>
  <c r="P92" i="78"/>
  <c r="R92" i="78" s="1"/>
  <c r="S92" i="78" s="1"/>
  <c r="P131" i="74"/>
  <c r="R131" i="74" s="1"/>
  <c r="S131" i="74" s="1"/>
  <c r="P135" i="73"/>
  <c r="R135" i="73" s="1"/>
  <c r="S135" i="73" s="1"/>
  <c r="P131" i="77"/>
  <c r="R131" i="77" s="1"/>
  <c r="S131" i="77" s="1"/>
  <c r="P131" i="75"/>
  <c r="R131" i="75" s="1"/>
  <c r="S131" i="75" s="1"/>
  <c r="P128" i="78"/>
  <c r="R128" i="78" s="1"/>
  <c r="S128" i="78" s="1"/>
  <c r="P134" i="72"/>
  <c r="R134" i="72" s="1"/>
  <c r="S134" i="72" s="1"/>
  <c r="P149" i="76"/>
  <c r="R149" i="76" s="1"/>
  <c r="S149" i="76" s="1"/>
  <c r="P148" i="77"/>
  <c r="R148" i="77" s="1"/>
  <c r="S148" i="77" s="1"/>
  <c r="P148" i="74"/>
  <c r="R148" i="74" s="1"/>
  <c r="S148" i="74" s="1"/>
  <c r="P159" i="75"/>
  <c r="R159" i="75" s="1"/>
  <c r="S159" i="75" s="1"/>
  <c r="P154" i="78"/>
  <c r="R154" i="78" s="1"/>
  <c r="S154" i="78" s="1"/>
  <c r="P154" i="76"/>
  <c r="R154" i="76" s="1"/>
  <c r="S154" i="76" s="1"/>
  <c r="P169" i="76"/>
  <c r="R169" i="76" s="1"/>
  <c r="S169" i="76" s="1"/>
  <c r="P170" i="75"/>
  <c r="R170" i="75" s="1"/>
  <c r="S170" i="75" s="1"/>
  <c r="P165" i="78"/>
  <c r="R165" i="78" s="1"/>
  <c r="S165" i="78" s="1"/>
  <c r="P166" i="77"/>
  <c r="R166" i="77" s="1"/>
  <c r="S166" i="77" s="1"/>
  <c r="P76" i="74"/>
  <c r="R76" i="74" s="1"/>
  <c r="S76" i="74" s="1"/>
  <c r="P102" i="73"/>
  <c r="R102" i="73" s="1"/>
  <c r="S102" i="73" s="1"/>
  <c r="P11" i="74"/>
  <c r="R11" i="74" s="1"/>
  <c r="S11" i="74" s="1"/>
  <c r="P12" i="72"/>
  <c r="R12" i="72" s="1"/>
  <c r="S12" i="72" s="1"/>
  <c r="P75" i="72"/>
  <c r="R75" i="72" s="1"/>
  <c r="S75" i="72" s="1"/>
  <c r="P76" i="76"/>
  <c r="R76" i="76" s="1"/>
  <c r="S76" i="76" s="1"/>
  <c r="P76" i="77"/>
  <c r="R76" i="77" s="1"/>
  <c r="S76" i="77" s="1"/>
  <c r="P80" i="78"/>
  <c r="R80" i="78" s="1"/>
  <c r="S80" i="78" s="1"/>
  <c r="P71" i="76"/>
  <c r="R71" i="76" s="1"/>
  <c r="S71" i="76" s="1"/>
  <c r="P71" i="73"/>
  <c r="R71" i="73" s="1"/>
  <c r="S71" i="73" s="1"/>
  <c r="P83" i="73"/>
  <c r="R83" i="73" s="1"/>
  <c r="S83" i="73" s="1"/>
  <c r="P73" i="75"/>
  <c r="R73" i="75" s="1"/>
  <c r="S73" i="75" s="1"/>
  <c r="P76" i="75"/>
  <c r="R76" i="75" s="1"/>
  <c r="S76" i="75" s="1"/>
  <c r="P90" i="73"/>
  <c r="R90" i="73" s="1"/>
  <c r="S90" i="73" s="1"/>
  <c r="P94" i="74"/>
  <c r="R94" i="74" s="1"/>
  <c r="S94" i="74" s="1"/>
  <c r="P109" i="76"/>
  <c r="R109" i="76" s="1"/>
  <c r="S109" i="76" s="1"/>
  <c r="P93" i="78"/>
  <c r="R93" i="78" s="1"/>
  <c r="S93" i="78" s="1"/>
  <c r="P105" i="76"/>
  <c r="R105" i="76" s="1"/>
  <c r="S105" i="76" s="1"/>
  <c r="P106" i="74"/>
  <c r="R106" i="74" s="1"/>
  <c r="S106" i="74" s="1"/>
  <c r="P132" i="74"/>
  <c r="R132" i="74" s="1"/>
  <c r="S132" i="74" s="1"/>
  <c r="P132" i="72"/>
  <c r="R132" i="72" s="1"/>
  <c r="S132" i="72" s="1"/>
  <c r="P129" i="72"/>
  <c r="R129" i="72" s="1"/>
  <c r="S129" i="72" s="1"/>
  <c r="P143" i="78"/>
  <c r="R143" i="78" s="1"/>
  <c r="S143" i="78" s="1"/>
  <c r="P149" i="75"/>
  <c r="R149" i="75" s="1"/>
  <c r="S149" i="75" s="1"/>
  <c r="P159" i="74"/>
  <c r="R159" i="74" s="1"/>
  <c r="S159" i="74" s="1"/>
  <c r="P167" i="74"/>
  <c r="R167" i="74" s="1"/>
  <c r="S167" i="74" s="1"/>
  <c r="P176" i="77"/>
  <c r="R176" i="77" s="1"/>
  <c r="S176" i="77" s="1"/>
  <c r="P108" i="77"/>
  <c r="R108" i="77" s="1"/>
  <c r="S108" i="77" s="1"/>
  <c r="P90" i="75"/>
  <c r="R90" i="75" s="1"/>
  <c r="S90" i="75" s="1"/>
  <c r="P70" i="74"/>
  <c r="R70" i="74" s="1"/>
  <c r="S70" i="74" s="1"/>
  <c r="P75" i="78"/>
  <c r="R75" i="78" s="1"/>
  <c r="S75" i="78" s="1"/>
  <c r="P130" i="76"/>
  <c r="R130" i="76" s="1"/>
  <c r="S130" i="76" s="1"/>
  <c r="P133" i="72"/>
  <c r="R133" i="72" s="1"/>
  <c r="S133" i="72" s="1"/>
  <c r="P150" i="72"/>
  <c r="R150" i="72" s="1"/>
  <c r="S150" i="72" s="1"/>
  <c r="P150" i="77"/>
  <c r="R150" i="77" s="1"/>
  <c r="S150" i="77" s="1"/>
  <c r="P150" i="74"/>
  <c r="R150" i="74" s="1"/>
  <c r="S150" i="74" s="1"/>
  <c r="P158" i="74"/>
  <c r="R158" i="74" s="1"/>
  <c r="S158" i="74" s="1"/>
  <c r="P156" i="73"/>
  <c r="R156" i="73" s="1"/>
  <c r="S156" i="73" s="1"/>
  <c r="P159" i="72"/>
  <c r="R159" i="72" s="1"/>
  <c r="S159" i="72" s="1"/>
  <c r="P154" i="75"/>
  <c r="R154" i="75" s="1"/>
  <c r="S154" i="75" s="1"/>
  <c r="P171" i="73"/>
  <c r="R171" i="73" s="1"/>
  <c r="S171" i="73" s="1"/>
  <c r="P166" i="72"/>
  <c r="R166" i="72" s="1"/>
  <c r="S166" i="72" s="1"/>
  <c r="P170" i="72"/>
  <c r="R170" i="72" s="1"/>
  <c r="S170" i="72" s="1"/>
  <c r="P83" i="75"/>
  <c r="R83" i="75" s="1"/>
  <c r="S83" i="75" s="1"/>
  <c r="P124" i="78"/>
  <c r="R124" i="78" s="1"/>
  <c r="S124" i="78" s="1"/>
  <c r="P96" i="73"/>
  <c r="R96" i="73" s="1"/>
  <c r="S96" i="73" s="1"/>
  <c r="P136" i="75"/>
  <c r="R136" i="75" s="1"/>
  <c r="S136" i="75" s="1"/>
  <c r="P8" i="78"/>
  <c r="R8" i="78" s="1"/>
  <c r="S8" i="78" s="1"/>
  <c r="P143" i="76"/>
  <c r="R143" i="76" s="1"/>
  <c r="S143" i="76" s="1"/>
  <c r="P78" i="76"/>
  <c r="R78" i="76" s="1"/>
  <c r="S78" i="76" s="1"/>
  <c r="P73" i="74"/>
  <c r="R73" i="74" s="1"/>
  <c r="S73" i="74" s="1"/>
  <c r="P103" i="74"/>
  <c r="R103" i="74" s="1"/>
  <c r="S103" i="74" s="1"/>
  <c r="P103" i="76"/>
  <c r="R103" i="76" s="1"/>
  <c r="S103" i="76" s="1"/>
  <c r="P105" i="72"/>
  <c r="R105" i="72" s="1"/>
  <c r="S105" i="72" s="1"/>
  <c r="P105" i="75"/>
  <c r="R105" i="75" s="1"/>
  <c r="S105" i="75" s="1"/>
  <c r="P112" i="74"/>
  <c r="R112" i="74" s="1"/>
  <c r="S112" i="74" s="1"/>
  <c r="P101" i="75"/>
  <c r="R101" i="75" s="1"/>
  <c r="S101" i="75" s="1"/>
  <c r="P91" i="72"/>
  <c r="R91" i="72" s="1"/>
  <c r="S91" i="72" s="1"/>
  <c r="P10" i="75"/>
  <c r="R10" i="75" s="1"/>
  <c r="S10" i="75" s="1"/>
  <c r="P9" i="77"/>
  <c r="R9" i="77" s="1"/>
  <c r="S9" i="77" s="1"/>
  <c r="P9" i="72"/>
  <c r="R9" i="72" s="1"/>
  <c r="S9" i="72" s="1"/>
  <c r="P12" i="75"/>
  <c r="R12" i="75" s="1"/>
  <c r="S12" i="75" s="1"/>
  <c r="P74" i="75"/>
  <c r="R74" i="75" s="1"/>
  <c r="S74" i="75" s="1"/>
  <c r="P70" i="73"/>
  <c r="R70" i="73" s="1"/>
  <c r="S70" i="73" s="1"/>
  <c r="P80" i="77"/>
  <c r="R80" i="77" s="1"/>
  <c r="S80" i="77" s="1"/>
  <c r="P81" i="77"/>
  <c r="R81" i="77" s="1"/>
  <c r="S81" i="77" s="1"/>
  <c r="P84" i="74"/>
  <c r="R84" i="74" s="1"/>
  <c r="S84" i="74" s="1"/>
  <c r="P95" i="78"/>
  <c r="R95" i="78" s="1"/>
  <c r="S95" i="78" s="1"/>
  <c r="P97" i="77"/>
  <c r="R97" i="77" s="1"/>
  <c r="S97" i="77" s="1"/>
  <c r="P98" i="77"/>
  <c r="R98" i="77" s="1"/>
  <c r="S98" i="77" s="1"/>
  <c r="P111" i="75"/>
  <c r="R111" i="75" s="1"/>
  <c r="S111" i="75" s="1"/>
  <c r="P104" i="72"/>
  <c r="R104" i="72" s="1"/>
  <c r="S104" i="72" s="1"/>
  <c r="P104" i="73"/>
  <c r="R104" i="73" s="1"/>
  <c r="S104" i="73" s="1"/>
  <c r="P104" i="78"/>
  <c r="R104" i="78" s="1"/>
  <c r="S104" i="78" s="1"/>
  <c r="P103" i="77"/>
  <c r="R103" i="77" s="1"/>
  <c r="S103" i="77" s="1"/>
  <c r="P127" i="75"/>
  <c r="R127" i="75" s="1"/>
  <c r="S127" i="75" s="1"/>
  <c r="P137" i="73"/>
  <c r="R137" i="73" s="1"/>
  <c r="S137" i="73" s="1"/>
  <c r="P125" i="77"/>
  <c r="R125" i="77" s="1"/>
  <c r="S125" i="77" s="1"/>
  <c r="P130" i="78"/>
  <c r="R130" i="78" s="1"/>
  <c r="S130" i="78" s="1"/>
  <c r="P124" i="75"/>
  <c r="R124" i="75" s="1"/>
  <c r="S124" i="75" s="1"/>
  <c r="P8" i="73"/>
  <c r="R8" i="73" s="1"/>
  <c r="S8" i="73" s="1"/>
  <c r="P70" i="72"/>
  <c r="R70" i="72" s="1"/>
  <c r="S70" i="72" s="1"/>
  <c r="P100" i="77"/>
  <c r="R100" i="77" s="1"/>
  <c r="S100" i="77" s="1"/>
  <c r="P93" i="72"/>
  <c r="R93" i="72" s="1"/>
  <c r="S93" i="72" s="1"/>
  <c r="P93" i="75"/>
  <c r="R93" i="75" s="1"/>
  <c r="S93" i="75" s="1"/>
  <c r="P109" i="74"/>
  <c r="R109" i="74" s="1"/>
  <c r="S109" i="74" s="1"/>
  <c r="P106" i="72"/>
  <c r="R106" i="72" s="1"/>
  <c r="S106" i="72" s="1"/>
  <c r="P96" i="78"/>
  <c r="R96" i="78" s="1"/>
  <c r="S96" i="78" s="1"/>
  <c r="P126" i="73"/>
  <c r="R126" i="73" s="1"/>
  <c r="S126" i="73" s="1"/>
  <c r="P143" i="73"/>
  <c r="R143" i="73" s="1"/>
  <c r="S143" i="73" s="1"/>
  <c r="P149" i="74"/>
  <c r="R149" i="74" s="1"/>
  <c r="S149" i="74" s="1"/>
  <c r="P160" i="73"/>
  <c r="R160" i="73" s="1"/>
  <c r="S160" i="73" s="1"/>
  <c r="P174" i="76"/>
  <c r="R174" i="76" s="1"/>
  <c r="S174" i="76" s="1"/>
  <c r="P171" i="77"/>
  <c r="R171" i="77" s="1"/>
  <c r="S171" i="77" s="1"/>
  <c r="P126" i="76"/>
  <c r="R126" i="76" s="1"/>
  <c r="S126" i="76" s="1"/>
  <c r="P160" i="78"/>
  <c r="R160" i="78" s="1"/>
  <c r="S160" i="78" s="1"/>
  <c r="P161" i="76"/>
  <c r="R161" i="76" s="1"/>
  <c r="S161" i="76" s="1"/>
  <c r="P169" i="74"/>
  <c r="R169" i="74" s="1"/>
  <c r="S169" i="74" s="1"/>
  <c r="P174" i="72"/>
  <c r="R174" i="72" s="1"/>
  <c r="S174" i="72" s="1"/>
  <c r="P123" i="77"/>
  <c r="R123" i="77" s="1"/>
  <c r="S123" i="77" s="1"/>
  <c r="P126" i="74"/>
  <c r="R126" i="74" s="1"/>
  <c r="S126" i="74" s="1"/>
  <c r="P134" i="76"/>
  <c r="R134" i="76" s="1"/>
  <c r="S134" i="76" s="1"/>
  <c r="P144" i="75"/>
  <c r="R144" i="75" s="1"/>
  <c r="S144" i="75" s="1"/>
  <c r="P148" i="78"/>
  <c r="R148" i="78" s="1"/>
  <c r="S148" i="78" s="1"/>
  <c r="P147" i="76"/>
  <c r="R147" i="76" s="1"/>
  <c r="S147" i="76" s="1"/>
  <c r="P145" i="75"/>
  <c r="R145" i="75" s="1"/>
  <c r="S145" i="75" s="1"/>
  <c r="P145" i="74"/>
  <c r="R145" i="74" s="1"/>
  <c r="S145" i="74" s="1"/>
  <c r="P159" i="78"/>
  <c r="R159" i="78" s="1"/>
  <c r="S159" i="78" s="1"/>
  <c r="P156" i="74"/>
  <c r="R156" i="74" s="1"/>
  <c r="S156" i="74" s="1"/>
  <c r="P155" i="74"/>
  <c r="R155" i="74" s="1"/>
  <c r="S155" i="74" s="1"/>
  <c r="P169" i="77"/>
  <c r="R169" i="77" s="1"/>
  <c r="S169" i="77" s="1"/>
  <c r="P169" i="72"/>
  <c r="R169" i="72" s="1"/>
  <c r="S169" i="72" s="1"/>
  <c r="P165" i="73"/>
  <c r="R165" i="73" s="1"/>
  <c r="S165" i="73" s="1"/>
  <c r="P176" i="72"/>
  <c r="R176" i="72" s="1"/>
  <c r="S176" i="72" s="1"/>
  <c r="P101" i="77"/>
  <c r="R101" i="77" s="1"/>
  <c r="S101" i="77" s="1"/>
  <c r="P99" i="74"/>
  <c r="R99" i="74" s="1"/>
  <c r="S99" i="74" s="1"/>
  <c r="P109" i="75"/>
  <c r="R109" i="75" s="1"/>
  <c r="S109" i="75" s="1"/>
  <c r="P108" i="73"/>
  <c r="R108" i="73" s="1"/>
  <c r="S108" i="73" s="1"/>
  <c r="P106" i="78"/>
  <c r="R106" i="78" s="1"/>
  <c r="S106" i="78" s="1"/>
  <c r="P92" i="76"/>
  <c r="R92" i="76" s="1"/>
  <c r="S92" i="76" s="1"/>
  <c r="P95" i="75"/>
  <c r="R95" i="75" s="1"/>
  <c r="S95" i="75" s="1"/>
  <c r="P137" i="74"/>
  <c r="R137" i="74" s="1"/>
  <c r="S137" i="74" s="1"/>
  <c r="P128" i="77"/>
  <c r="R128" i="77" s="1"/>
  <c r="S128" i="77" s="1"/>
  <c r="P132" i="78"/>
  <c r="R132" i="78" s="1"/>
  <c r="S132" i="78" s="1"/>
  <c r="P137" i="72"/>
  <c r="R137" i="72" s="1"/>
  <c r="S137" i="72" s="1"/>
  <c r="P130" i="74"/>
  <c r="R130" i="74" s="1"/>
  <c r="S130" i="74" s="1"/>
  <c r="P136" i="73"/>
  <c r="R136" i="73" s="1"/>
  <c r="S136" i="73" s="1"/>
  <c r="P132" i="77"/>
  <c r="R132" i="77" s="1"/>
  <c r="S132" i="77" s="1"/>
  <c r="P145" i="77"/>
  <c r="R145" i="77" s="1"/>
  <c r="S145" i="77" s="1"/>
  <c r="P160" i="77"/>
  <c r="R160" i="77" s="1"/>
  <c r="S160" i="77" s="1"/>
  <c r="P160" i="72"/>
  <c r="R160" i="72" s="1"/>
  <c r="S160" i="72" s="1"/>
  <c r="P166" i="78"/>
  <c r="R166" i="78" s="1"/>
  <c r="S166" i="78" s="1"/>
  <c r="P102" i="75"/>
  <c r="R102" i="75" s="1"/>
  <c r="S102" i="75" s="1"/>
  <c r="P96" i="72"/>
  <c r="R96" i="72" s="1"/>
  <c r="S96" i="72" s="1"/>
  <c r="P171" i="78"/>
  <c r="R171" i="78" s="1"/>
  <c r="S171" i="78" s="1"/>
  <c r="P165" i="75"/>
  <c r="R165" i="75" s="1"/>
  <c r="S165" i="75" s="1"/>
  <c r="P176" i="75"/>
  <c r="R176" i="75" s="1"/>
  <c r="S176" i="75" s="1"/>
  <c r="P83" i="74"/>
  <c r="R83" i="74" s="1"/>
  <c r="S83" i="74" s="1"/>
  <c r="P79" i="73"/>
  <c r="R79" i="73" s="1"/>
  <c r="S79" i="73" s="1"/>
  <c r="P154" i="73"/>
  <c r="R154" i="73" s="1"/>
  <c r="S154" i="73" s="1"/>
  <c r="P103" i="75"/>
  <c r="R103" i="75" s="1"/>
  <c r="S103" i="75" s="1"/>
  <c r="P131" i="72"/>
  <c r="R131" i="72" s="1"/>
  <c r="S131" i="72" s="1"/>
  <c r="P149" i="72"/>
  <c r="R149" i="72" s="1"/>
  <c r="S149" i="72" s="1"/>
  <c r="P81" i="78"/>
  <c r="R81" i="78" s="1"/>
  <c r="S81" i="78" s="1"/>
  <c r="P77" i="72"/>
  <c r="R77" i="72" s="1"/>
  <c r="S77" i="72" s="1"/>
  <c r="P103" i="78"/>
  <c r="R103" i="78" s="1"/>
  <c r="S103" i="78" s="1"/>
  <c r="P137" i="77"/>
  <c r="R137" i="77" s="1"/>
  <c r="S137" i="77" s="1"/>
  <c r="P11" i="73"/>
  <c r="R11" i="73" s="1"/>
  <c r="S11" i="73" s="1"/>
  <c r="P10" i="76"/>
  <c r="R10" i="76" s="1"/>
  <c r="S10" i="76" s="1"/>
  <c r="P72" i="72"/>
  <c r="R72" i="72" s="1"/>
  <c r="S72" i="72" s="1"/>
  <c r="P78" i="75"/>
  <c r="R78" i="75" s="1"/>
  <c r="S78" i="75" s="1"/>
  <c r="P80" i="72"/>
  <c r="R80" i="72" s="1"/>
  <c r="S80" i="72" s="1"/>
  <c r="P74" i="78"/>
  <c r="R74" i="78" s="1"/>
  <c r="S74" i="78" s="1"/>
  <c r="P78" i="77"/>
  <c r="R78" i="77" s="1"/>
  <c r="S78" i="77" s="1"/>
  <c r="P111" i="73"/>
  <c r="R111" i="73" s="1"/>
  <c r="S111" i="73" s="1"/>
  <c r="P110" i="72"/>
  <c r="R110" i="72" s="1"/>
  <c r="S110" i="72" s="1"/>
  <c r="P104" i="77"/>
  <c r="R104" i="77" s="1"/>
  <c r="S104" i="77" s="1"/>
  <c r="P111" i="74"/>
  <c r="R111" i="74" s="1"/>
  <c r="S111" i="74" s="1"/>
  <c r="P107" i="75"/>
  <c r="R107" i="75" s="1"/>
  <c r="S107" i="75" s="1"/>
  <c r="P107" i="78"/>
  <c r="R107" i="78" s="1"/>
  <c r="S107" i="78" s="1"/>
  <c r="P108" i="74"/>
  <c r="R108" i="74" s="1"/>
  <c r="S108" i="74" s="1"/>
  <c r="P98" i="78"/>
  <c r="R98" i="78" s="1"/>
  <c r="S98" i="78" s="1"/>
  <c r="P131" i="76"/>
  <c r="R131" i="76" s="1"/>
  <c r="S131" i="76" s="1"/>
  <c r="P132" i="75"/>
  <c r="R132" i="75" s="1"/>
  <c r="S132" i="75" s="1"/>
  <c r="P128" i="73"/>
  <c r="R128" i="73" s="1"/>
  <c r="S128" i="73" s="1"/>
  <c r="P133" i="74"/>
  <c r="R133" i="74" s="1"/>
  <c r="S133" i="74" s="1"/>
  <c r="P125" i="75"/>
  <c r="R125" i="75" s="1"/>
  <c r="S125" i="75" s="1"/>
  <c r="P124" i="72"/>
  <c r="R124" i="72" s="1"/>
  <c r="S124" i="72" s="1"/>
  <c r="P134" i="77"/>
  <c r="R134" i="77" s="1"/>
  <c r="S134" i="77" s="1"/>
  <c r="P146" i="78"/>
  <c r="R146" i="78" s="1"/>
  <c r="S146" i="78" s="1"/>
  <c r="P144" i="72"/>
  <c r="R144" i="72" s="1"/>
  <c r="S144" i="72" s="1"/>
  <c r="P147" i="74"/>
  <c r="R147" i="74" s="1"/>
  <c r="S147" i="74" s="1"/>
  <c r="P147" i="72"/>
  <c r="R147" i="72" s="1"/>
  <c r="S147" i="72" s="1"/>
  <c r="P157" i="77"/>
  <c r="R157" i="77" s="1"/>
  <c r="S157" i="77" s="1"/>
  <c r="P157" i="74"/>
  <c r="R157" i="74" s="1"/>
  <c r="S157" i="74" s="1"/>
  <c r="P154" i="74"/>
  <c r="R154" i="74" s="1"/>
  <c r="S154" i="74" s="1"/>
  <c r="P156" i="76"/>
  <c r="R156" i="76" s="1"/>
  <c r="S156" i="76" s="1"/>
  <c r="P167" i="77"/>
  <c r="R167" i="77" s="1"/>
  <c r="S167" i="77" s="1"/>
  <c r="P167" i="72"/>
  <c r="R167" i="72" s="1"/>
  <c r="S167" i="72" s="1"/>
  <c r="P169" i="73"/>
  <c r="R169" i="73" s="1"/>
  <c r="S169" i="73" s="1"/>
  <c r="P170" i="74"/>
  <c r="R170" i="74" s="1"/>
  <c r="S170" i="74" s="1"/>
  <c r="P72" i="73"/>
  <c r="R72" i="73" s="1"/>
  <c r="S72" i="73" s="1"/>
  <c r="P166" i="76"/>
  <c r="R166" i="76" s="1"/>
  <c r="S166" i="76" s="1"/>
  <c r="P72" i="74"/>
  <c r="R72" i="74" s="1"/>
  <c r="S72" i="74" s="1"/>
  <c r="P77" i="78"/>
  <c r="R77" i="78" s="1"/>
  <c r="S77" i="78" s="1"/>
  <c r="P73" i="77"/>
  <c r="R73" i="77" s="1"/>
  <c r="S73" i="77" s="1"/>
  <c r="P98" i="76"/>
  <c r="R98" i="76" s="1"/>
  <c r="S98" i="76" s="1"/>
  <c r="P130" i="77"/>
  <c r="R130" i="77" s="1"/>
  <c r="S130" i="77" s="1"/>
  <c r="P73" i="76"/>
  <c r="R73" i="76" s="1"/>
  <c r="S73" i="76" s="1"/>
  <c r="P93" i="76"/>
  <c r="R93" i="76" s="1"/>
  <c r="S93" i="76" s="1"/>
  <c r="P83" i="77"/>
  <c r="R83" i="77" s="1"/>
  <c r="S83" i="77" s="1"/>
  <c r="P112" i="77"/>
  <c r="R112" i="77" s="1"/>
  <c r="S112" i="77" s="1"/>
  <c r="P136" i="74"/>
  <c r="R136" i="74" s="1"/>
  <c r="S136" i="74" s="1"/>
  <c r="P81" i="72"/>
  <c r="R81" i="72" s="1"/>
  <c r="S81" i="72" s="1"/>
  <c r="P69" i="76"/>
  <c r="R69" i="76" s="1"/>
  <c r="S69" i="76" s="1"/>
  <c r="P74" i="74"/>
  <c r="R74" i="74" s="1"/>
  <c r="S74" i="74" s="1"/>
  <c r="P84" i="77"/>
  <c r="R84" i="77" s="1"/>
  <c r="S84" i="77" s="1"/>
  <c r="P75" i="74"/>
  <c r="R75" i="74" s="1"/>
  <c r="S75" i="74" s="1"/>
  <c r="P102" i="77"/>
  <c r="R102" i="77" s="1"/>
  <c r="S102" i="77" s="1"/>
  <c r="P99" i="75"/>
  <c r="R99" i="75" s="1"/>
  <c r="S99" i="75" s="1"/>
  <c r="P100" i="74"/>
  <c r="R100" i="74" s="1"/>
  <c r="S100" i="74" s="1"/>
  <c r="P90" i="78"/>
  <c r="R90" i="78" s="1"/>
  <c r="S90" i="78" s="1"/>
  <c r="P99" i="76"/>
  <c r="R99" i="76" s="1"/>
  <c r="S99" i="76" s="1"/>
  <c r="P99" i="72"/>
  <c r="R99" i="72" s="1"/>
  <c r="S99" i="72" s="1"/>
  <c r="P93" i="73"/>
  <c r="R93" i="73" s="1"/>
  <c r="S93" i="73" s="1"/>
  <c r="P123" i="74"/>
  <c r="R123" i="74" s="1"/>
  <c r="S123" i="74" s="1"/>
  <c r="P123" i="76"/>
  <c r="R123" i="76" s="1"/>
  <c r="S123" i="76" s="1"/>
  <c r="P132" i="76"/>
  <c r="R132" i="76" s="1"/>
  <c r="S132" i="76" s="1"/>
  <c r="P146" i="73"/>
  <c r="R146" i="73" s="1"/>
  <c r="S146" i="73" s="1"/>
  <c r="P157" i="76"/>
  <c r="R157" i="76" s="1"/>
  <c r="S157" i="76" s="1"/>
  <c r="P8" i="74"/>
  <c r="R8" i="74" s="1"/>
  <c r="S8" i="74" s="1"/>
  <c r="P84" i="76"/>
  <c r="R84" i="76" s="1"/>
  <c r="S84" i="76" s="1"/>
  <c r="P73" i="73"/>
  <c r="R73" i="73" s="1"/>
  <c r="S73" i="73" s="1"/>
  <c r="P77" i="76"/>
  <c r="R77" i="76" s="1"/>
  <c r="S77" i="76" s="1"/>
  <c r="P69" i="78"/>
  <c r="R69" i="78" s="1"/>
  <c r="S69" i="78" s="1"/>
  <c r="P69" i="74"/>
  <c r="R69" i="74" s="1"/>
  <c r="S69" i="74" s="1"/>
  <c r="P105" i="78"/>
  <c r="R105" i="78" s="1"/>
  <c r="S105" i="78" s="1"/>
  <c r="P100" i="73"/>
  <c r="R100" i="73" s="1"/>
  <c r="S100" i="73" s="1"/>
  <c r="P109" i="73"/>
  <c r="R109" i="73" s="1"/>
  <c r="S109" i="73" s="1"/>
  <c r="P109" i="72"/>
  <c r="R109" i="72" s="1"/>
  <c r="S109" i="72" s="1"/>
  <c r="P126" i="75"/>
  <c r="R126" i="75" s="1"/>
  <c r="S126" i="75" s="1"/>
  <c r="P123" i="73"/>
  <c r="R123" i="73" s="1"/>
  <c r="S123" i="73" s="1"/>
  <c r="P126" i="77"/>
  <c r="R126" i="77" s="1"/>
  <c r="S126" i="77" s="1"/>
  <c r="P154" i="72"/>
  <c r="R154" i="72" s="1"/>
  <c r="S154" i="72" s="1"/>
  <c r="P158" i="73"/>
  <c r="R158" i="73" s="1"/>
  <c r="S158" i="73" s="1"/>
  <c r="P170" i="78"/>
  <c r="R170" i="78" s="1"/>
  <c r="S170" i="78" s="1"/>
  <c r="P174" i="77"/>
  <c r="R174" i="77" s="1"/>
  <c r="S174" i="77" s="1"/>
  <c r="T180" i="75"/>
  <c r="T180" i="74"/>
  <c r="P81" i="73"/>
  <c r="R81" i="73" s="1"/>
  <c r="S81" i="73" s="1"/>
  <c r="P75" i="73"/>
  <c r="R75" i="73" s="1"/>
  <c r="S75" i="73" s="1"/>
  <c r="P111" i="78"/>
  <c r="R111" i="78" s="1"/>
  <c r="S111" i="78" s="1"/>
  <c r="P82" i="74"/>
  <c r="R82" i="74" s="1"/>
  <c r="S82" i="74" s="1"/>
  <c r="P112" i="76"/>
  <c r="R112" i="76" s="1"/>
  <c r="S112" i="76" s="1"/>
  <c r="P93" i="74"/>
  <c r="R93" i="74" s="1"/>
  <c r="S93" i="74" s="1"/>
  <c r="P144" i="77"/>
  <c r="R144" i="77" s="1"/>
  <c r="S144" i="77" s="1"/>
  <c r="P155" i="75"/>
  <c r="R155" i="75" s="1"/>
  <c r="S155" i="75" s="1"/>
  <c r="P83" i="72"/>
  <c r="R83" i="72" s="1"/>
  <c r="S83" i="72" s="1"/>
  <c r="P109" i="78"/>
  <c r="R109" i="78" s="1"/>
  <c r="S109" i="78" s="1"/>
  <c r="P101" i="76"/>
  <c r="R101" i="76" s="1"/>
  <c r="S101" i="76" s="1"/>
  <c r="P124" i="76"/>
  <c r="R124" i="76" s="1"/>
  <c r="S124" i="76" s="1"/>
  <c r="P134" i="74"/>
  <c r="R134" i="74" s="1"/>
  <c r="S134" i="74" s="1"/>
  <c r="P144" i="76"/>
  <c r="R144" i="76" s="1"/>
  <c r="S144" i="76" s="1"/>
  <c r="P156" i="72"/>
  <c r="R156" i="72" s="1"/>
  <c r="S156" i="72" s="1"/>
  <c r="P69" i="75"/>
  <c r="R69" i="75" s="1"/>
  <c r="S69" i="75" s="1"/>
  <c r="P84" i="72"/>
  <c r="R84" i="72" s="1"/>
  <c r="S84" i="72" s="1"/>
  <c r="P111" i="77"/>
  <c r="R111" i="77" s="1"/>
  <c r="S111" i="77" s="1"/>
  <c r="P94" i="76"/>
  <c r="R94" i="76" s="1"/>
  <c r="S94" i="76" s="1"/>
  <c r="P101" i="72"/>
  <c r="R101" i="72" s="1"/>
  <c r="S101" i="72" s="1"/>
  <c r="P110" i="77"/>
  <c r="R110" i="77" s="1"/>
  <c r="S110" i="77" s="1"/>
  <c r="P104" i="75"/>
  <c r="R104" i="75" s="1"/>
  <c r="S104" i="75" s="1"/>
  <c r="P97" i="72"/>
  <c r="R97" i="72" s="1"/>
  <c r="S97" i="72" s="1"/>
  <c r="P101" i="78"/>
  <c r="R101" i="78" s="1"/>
  <c r="S101" i="78" s="1"/>
  <c r="P108" i="76"/>
  <c r="R108" i="76" s="1"/>
  <c r="S108" i="76" s="1"/>
  <c r="P94" i="75"/>
  <c r="R94" i="75" s="1"/>
  <c r="S94" i="75" s="1"/>
  <c r="P130" i="73"/>
  <c r="R130" i="73" s="1"/>
  <c r="S130" i="73" s="1"/>
  <c r="P124" i="77"/>
  <c r="R124" i="77" s="1"/>
  <c r="S124" i="77" s="1"/>
  <c r="P133" i="78"/>
  <c r="R133" i="78" s="1"/>
  <c r="S133" i="78" s="1"/>
  <c r="P134" i="78"/>
  <c r="R134" i="78" s="1"/>
  <c r="S134" i="78" s="1"/>
  <c r="P128" i="72"/>
  <c r="R128" i="72" s="1"/>
  <c r="S128" i="72" s="1"/>
  <c r="P125" i="76"/>
  <c r="R125" i="76" s="1"/>
  <c r="S125" i="76" s="1"/>
  <c r="P147" i="75"/>
  <c r="R147" i="75" s="1"/>
  <c r="S147" i="75" s="1"/>
  <c r="P148" i="75"/>
  <c r="R148" i="75" s="1"/>
  <c r="S148" i="75" s="1"/>
  <c r="P146" i="76"/>
  <c r="R146" i="76" s="1"/>
  <c r="S146" i="76" s="1"/>
  <c r="P149" i="78"/>
  <c r="R149" i="78" s="1"/>
  <c r="S149" i="78" s="1"/>
  <c r="P145" i="76"/>
  <c r="R145" i="76" s="1"/>
  <c r="S145" i="76" s="1"/>
  <c r="P156" i="77"/>
  <c r="R156" i="77" s="1"/>
  <c r="S156" i="77" s="1"/>
  <c r="P155" i="77"/>
  <c r="R155" i="77" s="1"/>
  <c r="S155" i="77" s="1"/>
  <c r="P158" i="78"/>
  <c r="R158" i="78" s="1"/>
  <c r="S158" i="78" s="1"/>
  <c r="P167" i="75"/>
  <c r="R167" i="75" s="1"/>
  <c r="S167" i="75" s="1"/>
  <c r="P171" i="76"/>
  <c r="R171" i="76" s="1"/>
  <c r="S171" i="76" s="1"/>
  <c r="P171" i="74"/>
  <c r="R171" i="74" s="1"/>
  <c r="S171" i="74" s="1"/>
  <c r="P10" i="74"/>
  <c r="R10" i="74" s="1"/>
  <c r="S10" i="74" s="1"/>
  <c r="P11" i="75"/>
  <c r="R11" i="75" s="1"/>
  <c r="S11" i="75" s="1"/>
  <c r="P79" i="78"/>
  <c r="R79" i="78" s="1"/>
  <c r="S79" i="78" s="1"/>
  <c r="P165" i="77"/>
  <c r="R165" i="77" s="1"/>
  <c r="S165" i="77" s="1"/>
  <c r="P176" i="76"/>
  <c r="R176" i="76" s="1"/>
  <c r="S176" i="76" s="1"/>
  <c r="P9" i="75"/>
  <c r="R9" i="75" s="1"/>
  <c r="S9" i="75" s="1"/>
  <c r="P76" i="73"/>
  <c r="R76" i="73" s="1"/>
  <c r="S76" i="73" s="1"/>
  <c r="P97" i="78"/>
  <c r="R97" i="78" s="1"/>
  <c r="S97" i="78" s="1"/>
  <c r="P126" i="72"/>
  <c r="R126" i="72" s="1"/>
  <c r="S126" i="72" s="1"/>
  <c r="P10" i="72"/>
  <c r="R10" i="72" s="1"/>
  <c r="S10" i="72" s="1"/>
  <c r="P12" i="77"/>
  <c r="R12" i="77" s="1"/>
  <c r="S12" i="77" s="1"/>
  <c r="P71" i="75"/>
  <c r="R71" i="75" s="1"/>
  <c r="S71" i="75" s="1"/>
  <c r="P72" i="75"/>
  <c r="R72" i="75" s="1"/>
  <c r="S72" i="75" s="1"/>
  <c r="P69" i="73"/>
  <c r="R69" i="73" s="1"/>
  <c r="S69" i="73" s="1"/>
  <c r="P79" i="77"/>
  <c r="R79" i="77" s="1"/>
  <c r="S79" i="77" s="1"/>
  <c r="P82" i="75"/>
  <c r="R82" i="75" s="1"/>
  <c r="S82" i="75" s="1"/>
  <c r="P106" i="75"/>
  <c r="R106" i="75" s="1"/>
  <c r="S106" i="75" s="1"/>
  <c r="P100" i="72"/>
  <c r="R100" i="72" s="1"/>
  <c r="S100" i="72" s="1"/>
  <c r="P96" i="77"/>
  <c r="R96" i="77" s="1"/>
  <c r="S96" i="77" s="1"/>
  <c r="P161" i="73"/>
  <c r="R161" i="73" s="1"/>
  <c r="S161" i="73" s="1"/>
  <c r="P9" i="73"/>
  <c r="R9" i="73" s="1"/>
  <c r="S9" i="73" s="1"/>
  <c r="P11" i="72"/>
  <c r="R11" i="72" s="1"/>
  <c r="S11" i="72" s="1"/>
  <c r="P9" i="76"/>
  <c r="R9" i="76" s="1"/>
  <c r="S9" i="76" s="1"/>
  <c r="P70" i="75"/>
  <c r="R70" i="75" s="1"/>
  <c r="S70" i="75" s="1"/>
  <c r="P80" i="73"/>
  <c r="R80" i="73" s="1"/>
  <c r="S80" i="73" s="1"/>
  <c r="P71" i="78"/>
  <c r="R71" i="78" s="1"/>
  <c r="S71" i="78" s="1"/>
  <c r="P80" i="74"/>
  <c r="R80" i="74" s="1"/>
  <c r="S80" i="74" s="1"/>
  <c r="P83" i="76"/>
  <c r="R83" i="76" s="1"/>
  <c r="S83" i="76" s="1"/>
  <c r="P77" i="73"/>
  <c r="R77" i="73" s="1"/>
  <c r="S77" i="73" s="1"/>
  <c r="P97" i="75"/>
  <c r="R97" i="75" s="1"/>
  <c r="S97" i="75" s="1"/>
  <c r="P101" i="74"/>
  <c r="R101" i="74" s="1"/>
  <c r="S101" i="74" s="1"/>
  <c r="P91" i="77"/>
  <c r="R91" i="77" s="1"/>
  <c r="S91" i="77" s="1"/>
  <c r="P100" i="76"/>
  <c r="R100" i="76" s="1"/>
  <c r="S100" i="76" s="1"/>
  <c r="P94" i="72"/>
  <c r="R94" i="72" s="1"/>
  <c r="S94" i="72" s="1"/>
  <c r="P106" i="73"/>
  <c r="R106" i="73" s="1"/>
  <c r="S106" i="73" s="1"/>
  <c r="P94" i="78"/>
  <c r="R94" i="78" s="1"/>
  <c r="S94" i="78" s="1"/>
  <c r="P104" i="76"/>
  <c r="R104" i="76" s="1"/>
  <c r="S104" i="76" s="1"/>
  <c r="P96" i="74"/>
  <c r="R96" i="74" s="1"/>
  <c r="S96" i="74" s="1"/>
  <c r="P108" i="75"/>
  <c r="R108" i="75" s="1"/>
  <c r="S108" i="75" s="1"/>
  <c r="P94" i="77"/>
  <c r="R94" i="77" s="1"/>
  <c r="S94" i="77" s="1"/>
  <c r="P92" i="73"/>
  <c r="R92" i="73" s="1"/>
  <c r="S92" i="73" s="1"/>
  <c r="P128" i="74"/>
  <c r="R128" i="74" s="1"/>
  <c r="S128" i="74" s="1"/>
  <c r="P129" i="73"/>
  <c r="R129" i="73" s="1"/>
  <c r="S129" i="73" s="1"/>
  <c r="P135" i="77"/>
  <c r="R135" i="77" s="1"/>
  <c r="S135" i="77" s="1"/>
  <c r="P137" i="78"/>
  <c r="R137" i="78" s="1"/>
  <c r="S137" i="78" s="1"/>
  <c r="P127" i="74"/>
  <c r="R127" i="74" s="1"/>
  <c r="S127" i="74" s="1"/>
  <c r="P136" i="72"/>
  <c r="R136" i="72" s="1"/>
  <c r="S136" i="72" s="1"/>
  <c r="P129" i="76"/>
  <c r="R129" i="76" s="1"/>
  <c r="S129" i="76" s="1"/>
  <c r="P133" i="76"/>
  <c r="R133" i="76" s="1"/>
  <c r="S133" i="76" s="1"/>
  <c r="P144" i="73"/>
  <c r="R144" i="73" s="1"/>
  <c r="S144" i="73" s="1"/>
  <c r="P150" i="73"/>
  <c r="R150" i="73" s="1"/>
  <c r="S150" i="73" s="1"/>
  <c r="P150" i="78"/>
  <c r="R150" i="78" s="1"/>
  <c r="S150" i="78" s="1"/>
  <c r="P146" i="77"/>
  <c r="R146" i="77" s="1"/>
  <c r="S146" i="77" s="1"/>
  <c r="P150" i="76"/>
  <c r="R150" i="76" s="1"/>
  <c r="S150" i="76" s="1"/>
  <c r="P157" i="75"/>
  <c r="R157" i="75" s="1"/>
  <c r="S157" i="75" s="1"/>
  <c r="P155" i="78"/>
  <c r="R155" i="78" s="1"/>
  <c r="S155" i="78" s="1"/>
  <c r="P161" i="74"/>
  <c r="R161" i="74" s="1"/>
  <c r="S161" i="74" s="1"/>
  <c r="P157" i="72"/>
  <c r="R157" i="72" s="1"/>
  <c r="S157" i="72" s="1"/>
  <c r="P166" i="74"/>
  <c r="R166" i="74" s="1"/>
  <c r="S166" i="74" s="1"/>
  <c r="P167" i="73"/>
  <c r="R167" i="73" s="1"/>
  <c r="S167" i="73" s="1"/>
  <c r="P11" i="76"/>
  <c r="R11" i="76" s="1"/>
  <c r="S11" i="76" s="1"/>
  <c r="P79" i="76"/>
  <c r="R79" i="76" s="1"/>
  <c r="S79" i="76" s="1"/>
  <c r="P148" i="73"/>
  <c r="R148" i="73" s="1"/>
  <c r="S148" i="73" s="1"/>
  <c r="P8" i="77"/>
  <c r="R8" i="77" s="1"/>
  <c r="S8" i="77" s="1"/>
  <c r="P110" i="73"/>
  <c r="R110" i="73" s="1"/>
  <c r="S110" i="73" s="1"/>
  <c r="P143" i="77"/>
  <c r="R143" i="77" s="1"/>
  <c r="S143" i="77" s="1"/>
  <c r="P73" i="78"/>
  <c r="R73" i="78" s="1"/>
  <c r="S73" i="78" s="1"/>
  <c r="P95" i="74"/>
  <c r="R95" i="74" s="1"/>
  <c r="S95" i="74" s="1"/>
  <c r="P94" i="73"/>
  <c r="R94" i="73" s="1"/>
  <c r="S94" i="73" s="1"/>
  <c r="P102" i="74"/>
  <c r="R102" i="74" s="1"/>
  <c r="S102" i="74" s="1"/>
  <c r="P125" i="73"/>
  <c r="R125" i="73" s="1"/>
  <c r="S125" i="73" s="1"/>
  <c r="P155" i="72"/>
  <c r="R155" i="72" s="1"/>
  <c r="S155" i="72" s="1"/>
  <c r="P95" i="77"/>
  <c r="R95" i="77" s="1"/>
  <c r="S95" i="77" s="1"/>
  <c r="P123" i="75"/>
  <c r="R123" i="75" s="1"/>
  <c r="S123" i="75" s="1"/>
  <c r="P146" i="72"/>
  <c r="R146" i="72" s="1"/>
  <c r="S146" i="72" s="1"/>
  <c r="P81" i="74"/>
  <c r="R81" i="74" s="1"/>
  <c r="S81" i="74" s="1"/>
  <c r="P74" i="77"/>
  <c r="R74" i="77" s="1"/>
  <c r="S74" i="77" s="1"/>
  <c r="P84" i="78"/>
  <c r="R84" i="78" s="1"/>
  <c r="S84" i="78" s="1"/>
  <c r="P84" i="75"/>
  <c r="R84" i="75" s="1"/>
  <c r="S84" i="75" s="1"/>
  <c r="P82" i="78"/>
  <c r="R82" i="78" s="1"/>
  <c r="S82" i="78" s="1"/>
  <c r="P90" i="74"/>
  <c r="R90" i="74" s="1"/>
  <c r="S90" i="74" s="1"/>
  <c r="P102" i="72"/>
  <c r="R102" i="72" s="1"/>
  <c r="S102" i="72" s="1"/>
  <c r="P95" i="76"/>
  <c r="R95" i="76" s="1"/>
  <c r="S95" i="76" s="1"/>
  <c r="P123" i="78"/>
  <c r="R123" i="78" s="1"/>
  <c r="S123" i="78" s="1"/>
  <c r="P127" i="72"/>
  <c r="R127" i="72" s="1"/>
  <c r="S127" i="72" s="1"/>
  <c r="P143" i="75"/>
  <c r="R143" i="75" s="1"/>
  <c r="S143" i="75" s="1"/>
  <c r="P143" i="72"/>
  <c r="R143" i="72" s="1"/>
  <c r="S143" i="72" s="1"/>
  <c r="P160" i="76"/>
  <c r="R160" i="76" s="1"/>
  <c r="S160" i="76" s="1"/>
  <c r="P176" i="73"/>
  <c r="R176" i="73" s="1"/>
  <c r="S176" i="73" s="1"/>
  <c r="P176" i="78"/>
  <c r="R176" i="78" s="1"/>
  <c r="S176" i="78" s="1"/>
  <c r="P71" i="77"/>
  <c r="R71" i="77" s="1"/>
  <c r="S71" i="77" s="1"/>
  <c r="P155" i="76"/>
  <c r="R155" i="76" s="1"/>
  <c r="S155" i="76" s="1"/>
  <c r="P147" i="77"/>
  <c r="R147" i="77" s="1"/>
  <c r="S147" i="77" s="1"/>
  <c r="P145" i="78"/>
  <c r="R145" i="78" s="1"/>
  <c r="S145" i="78" s="1"/>
  <c r="P161" i="78"/>
  <c r="R161" i="78" s="1"/>
  <c r="S161" i="78" s="1"/>
  <c r="P161" i="75"/>
  <c r="R161" i="75" s="1"/>
  <c r="S161" i="75" s="1"/>
  <c r="P159" i="77"/>
  <c r="R159" i="77" s="1"/>
  <c r="S159" i="77" s="1"/>
  <c r="P157" i="78"/>
  <c r="R157" i="78" s="1"/>
  <c r="S157" i="78" s="1"/>
  <c r="P159" i="73"/>
  <c r="R159" i="73" s="1"/>
  <c r="S159" i="73" s="1"/>
  <c r="P169" i="75"/>
  <c r="R169" i="75" s="1"/>
  <c r="S169" i="75" s="1"/>
  <c r="P170" i="73"/>
  <c r="R170" i="73" s="1"/>
  <c r="S170" i="73" s="1"/>
  <c r="P165" i="76"/>
  <c r="R165" i="76" s="1"/>
  <c r="S165" i="76" s="1"/>
  <c r="P165" i="72"/>
  <c r="R165" i="72" s="1"/>
  <c r="S165" i="72" s="1"/>
  <c r="P82" i="72"/>
  <c r="R82" i="72" s="1"/>
  <c r="S82" i="72" s="1"/>
  <c r="P97" i="76"/>
  <c r="R97" i="76" s="1"/>
  <c r="S97" i="76" s="1"/>
  <c r="P130" i="72"/>
  <c r="R130" i="72" s="1"/>
  <c r="S130" i="72" s="1"/>
  <c r="P11" i="77"/>
  <c r="R11" i="77" s="1"/>
  <c r="S11" i="77" s="1"/>
  <c r="P75" i="75"/>
  <c r="R75" i="75" s="1"/>
  <c r="S75" i="75" s="1"/>
  <c r="P99" i="77"/>
  <c r="R99" i="77" s="1"/>
  <c r="S99" i="77" s="1"/>
  <c r="P98" i="75"/>
  <c r="R98" i="75" s="1"/>
  <c r="S98" i="75" s="1"/>
  <c r="P127" i="78"/>
  <c r="R127" i="78" s="1"/>
  <c r="S127" i="78" s="1"/>
  <c r="P124" i="73"/>
  <c r="R124" i="73" s="1"/>
  <c r="S124" i="73" s="1"/>
  <c r="P170" i="76"/>
  <c r="R170" i="76" s="1"/>
  <c r="S170" i="76" s="1"/>
  <c r="P81" i="76"/>
  <c r="R81" i="76" s="1"/>
  <c r="S81" i="76" s="1"/>
  <c r="P69" i="72"/>
  <c r="R69" i="72" s="1"/>
  <c r="S69" i="72" s="1"/>
  <c r="P91" i="74"/>
  <c r="R91" i="74" s="1"/>
  <c r="S91" i="74" s="1"/>
  <c r="P108" i="78"/>
  <c r="R108" i="78" s="1"/>
  <c r="S108" i="78" s="1"/>
  <c r="P104" i="74"/>
  <c r="R104" i="74" s="1"/>
  <c r="S104" i="74" s="1"/>
  <c r="P110" i="75"/>
  <c r="R110" i="75" s="1"/>
  <c r="S110" i="75" s="1"/>
  <c r="P127" i="73"/>
  <c r="R127" i="73" s="1"/>
  <c r="S127" i="73" s="1"/>
  <c r="P148" i="76"/>
  <c r="R148" i="76" s="1"/>
  <c r="S148" i="76" s="1"/>
  <c r="P76" i="78"/>
  <c r="R76" i="78" s="1"/>
  <c r="S76" i="78" s="1"/>
  <c r="P77" i="75"/>
  <c r="R77" i="75" s="1"/>
  <c r="S77" i="75" s="1"/>
  <c r="P72" i="76"/>
  <c r="R72" i="76" s="1"/>
  <c r="S72" i="76" s="1"/>
  <c r="P75" i="77"/>
  <c r="R75" i="77" s="1"/>
  <c r="S75" i="77" s="1"/>
  <c r="P76" i="72"/>
  <c r="R76" i="72" s="1"/>
  <c r="S76" i="72" s="1"/>
  <c r="P90" i="76"/>
  <c r="R90" i="76" s="1"/>
  <c r="S90" i="76" s="1"/>
  <c r="P93" i="77"/>
  <c r="R93" i="77" s="1"/>
  <c r="S93" i="77" s="1"/>
  <c r="P112" i="78"/>
  <c r="R112" i="78" s="1"/>
  <c r="S112" i="78" s="1"/>
  <c r="P106" i="76"/>
  <c r="R106" i="76" s="1"/>
  <c r="S106" i="76" s="1"/>
  <c r="P126" i="78"/>
  <c r="R126" i="78" s="1"/>
  <c r="S126" i="78" s="1"/>
  <c r="P123" i="72"/>
  <c r="R123" i="72" s="1"/>
  <c r="S123" i="72" s="1"/>
  <c r="P143" i="74"/>
  <c r="R143" i="74" s="1"/>
  <c r="S143" i="74" s="1"/>
  <c r="P159" i="76"/>
  <c r="R159" i="76" s="1"/>
  <c r="S159" i="76" s="1"/>
  <c r="P174" i="73"/>
  <c r="R174" i="73" s="1"/>
  <c r="S174" i="73" s="1"/>
  <c r="P174" i="78"/>
  <c r="R174" i="78" s="1"/>
  <c r="S174" i="78" s="1"/>
  <c r="P25" i="88"/>
  <c r="R25" i="88" s="1"/>
  <c r="S25" i="88" s="1"/>
  <c r="P12" i="88"/>
  <c r="R12" i="88" s="1"/>
  <c r="S12" i="88" s="1"/>
  <c r="P30" i="88"/>
  <c r="R30" i="88" s="1"/>
  <c r="S30" i="88" s="1"/>
  <c r="R7" i="88"/>
  <c r="S7" i="88" s="1"/>
  <c r="T8" i="88" s="1"/>
  <c r="P21" i="88"/>
  <c r="R21" i="88" s="1"/>
  <c r="S21" i="88" s="1"/>
  <c r="P15" i="88"/>
  <c r="R15" i="88" s="1"/>
  <c r="S15" i="88" s="1"/>
  <c r="P23" i="87"/>
  <c r="R23" i="87" s="1"/>
  <c r="S23" i="87" s="1"/>
  <c r="P11" i="88"/>
  <c r="R11" i="88" s="1"/>
  <c r="S11" i="88" s="1"/>
  <c r="P24" i="87"/>
  <c r="R24" i="87" s="1"/>
  <c r="S24" i="87" s="1"/>
  <c r="P18" i="87"/>
  <c r="R18" i="87" s="1"/>
  <c r="S18" i="87" s="1"/>
  <c r="P17" i="88"/>
  <c r="R17" i="88" s="1"/>
  <c r="S17" i="88" s="1"/>
  <c r="P26" i="87"/>
  <c r="R26" i="87" s="1"/>
  <c r="S26" i="87" s="1"/>
  <c r="P5" i="86"/>
  <c r="R5" i="86" s="1"/>
  <c r="S5" i="86" s="1"/>
  <c r="T6" i="86" s="1"/>
  <c r="P9" i="87"/>
  <c r="R9" i="87" s="1"/>
  <c r="S9" i="87" s="1"/>
  <c r="T10" i="87" s="1"/>
  <c r="P26" i="86"/>
  <c r="R26" i="86" s="1"/>
  <c r="S26" i="86" s="1"/>
  <c r="P12" i="83"/>
  <c r="R12" i="83" s="1"/>
  <c r="S12" i="83" s="1"/>
  <c r="P24" i="85"/>
  <c r="R24" i="85" s="1"/>
  <c r="S24" i="85" s="1"/>
  <c r="P27" i="83"/>
  <c r="R27" i="83" s="1"/>
  <c r="S27" i="83" s="1"/>
  <c r="P27" i="86"/>
  <c r="R27" i="86" s="1"/>
  <c r="S27" i="86" s="1"/>
  <c r="P26" i="88"/>
  <c r="R26" i="88" s="1"/>
  <c r="S26" i="88" s="1"/>
  <c r="P23" i="86"/>
  <c r="R23" i="86" s="1"/>
  <c r="S23" i="86" s="1"/>
  <c r="P9" i="84"/>
  <c r="R9" i="84" s="1"/>
  <c r="S9" i="84" s="1"/>
  <c r="T10" i="84" s="1"/>
  <c r="P25" i="86"/>
  <c r="R25" i="86" s="1"/>
  <c r="S25" i="86" s="1"/>
  <c r="P18" i="83"/>
  <c r="R18" i="83" s="1"/>
  <c r="S18" i="83" s="1"/>
  <c r="P25" i="83"/>
  <c r="R25" i="83" s="1"/>
  <c r="S25" i="83" s="1"/>
  <c r="P20" i="87"/>
  <c r="R20" i="87" s="1"/>
  <c r="S20" i="87" s="1"/>
  <c r="P27" i="87"/>
  <c r="R27" i="87" s="1"/>
  <c r="S27" i="87" s="1"/>
  <c r="P30" i="85"/>
  <c r="R30" i="85" s="1"/>
  <c r="S30" i="85" s="1"/>
  <c r="P26" i="85"/>
  <c r="R26" i="85" s="1"/>
  <c r="S26" i="85" s="1"/>
  <c r="P23" i="88"/>
  <c r="R23" i="88" s="1"/>
  <c r="S23" i="88" s="1"/>
  <c r="P30" i="87"/>
  <c r="R30" i="87" s="1"/>
  <c r="S30" i="87" s="1"/>
  <c r="T31" i="87" s="1"/>
  <c r="P7" i="87"/>
  <c r="R7" i="87" s="1"/>
  <c r="S7" i="87" s="1"/>
  <c r="T8" i="87" s="1"/>
  <c r="P24" i="86"/>
  <c r="R24" i="86" s="1"/>
  <c r="S24" i="86" s="1"/>
  <c r="P27" i="85"/>
  <c r="R27" i="85" s="1"/>
  <c r="S27" i="85" s="1"/>
  <c r="P9" i="85"/>
  <c r="R9" i="85" s="1"/>
  <c r="S9" i="85" s="1"/>
  <c r="T10" i="85" s="1"/>
  <c r="P21" i="85"/>
  <c r="R21" i="85" s="1"/>
  <c r="S21" i="85" s="1"/>
  <c r="P19" i="88"/>
  <c r="R19" i="88" s="1"/>
  <c r="S19" i="88" s="1"/>
  <c r="P29" i="88"/>
  <c r="R29" i="88" s="1"/>
  <c r="S29" i="88" s="1"/>
  <c r="P30" i="86"/>
  <c r="R30" i="86" s="1"/>
  <c r="S30" i="86" s="1"/>
  <c r="T31" i="86" s="1"/>
  <c r="P5" i="87"/>
  <c r="R5" i="87" s="1"/>
  <c r="S5" i="87" s="1"/>
  <c r="T6" i="87" s="1"/>
  <c r="P12" i="85"/>
  <c r="R12" i="85" s="1"/>
  <c r="S12" i="85" s="1"/>
  <c r="P24" i="83"/>
  <c r="R24" i="83" s="1"/>
  <c r="S24" i="83" s="1"/>
  <c r="P9" i="88"/>
  <c r="R9" i="88" s="1"/>
  <c r="S9" i="88" s="1"/>
  <c r="T10" i="88" s="1"/>
  <c r="P20" i="88"/>
  <c r="R20" i="88" s="1"/>
  <c r="S20" i="88" s="1"/>
  <c r="P7" i="86"/>
  <c r="R7" i="86" s="1"/>
  <c r="S7" i="86" s="1"/>
  <c r="T8" i="86" s="1"/>
  <c r="P7" i="85"/>
  <c r="R7" i="85" s="1"/>
  <c r="S7" i="85" s="1"/>
  <c r="T8" i="85" s="1"/>
  <c r="P20" i="83"/>
  <c r="R20" i="83" s="1"/>
  <c r="S20" i="83" s="1"/>
  <c r="P21" i="83"/>
  <c r="R21" i="83" s="1"/>
  <c r="S21" i="83" s="1"/>
  <c r="P23" i="85"/>
  <c r="R23" i="85" s="1"/>
  <c r="S23" i="85" s="1"/>
  <c r="P19" i="87"/>
  <c r="R19" i="87" s="1"/>
  <c r="S19" i="87" s="1"/>
  <c r="P11" i="87"/>
  <c r="R11" i="87" s="1"/>
  <c r="S11" i="87" s="1"/>
  <c r="P14" i="87"/>
  <c r="R14" i="87" s="1"/>
  <c r="S14" i="87" s="1"/>
  <c r="P20" i="86"/>
  <c r="R20" i="86" s="1"/>
  <c r="S20" i="86" s="1"/>
  <c r="P7" i="83"/>
  <c r="R7" i="83" s="1"/>
  <c r="S7" i="83" s="1"/>
  <c r="T8" i="83" s="1"/>
  <c r="P20" i="85"/>
  <c r="R20" i="85" s="1"/>
  <c r="S20" i="85" s="1"/>
  <c r="P25" i="85"/>
  <c r="R25" i="85" s="1"/>
  <c r="S25" i="85" s="1"/>
  <c r="P12" i="87"/>
  <c r="R12" i="87" s="1"/>
  <c r="S12" i="87" s="1"/>
  <c r="P18" i="86"/>
  <c r="R18" i="86" s="1"/>
  <c r="S18" i="86" s="1"/>
  <c r="P18" i="88"/>
  <c r="R18" i="88" s="1"/>
  <c r="S18" i="88" s="1"/>
  <c r="P12" i="86"/>
  <c r="R12" i="86" s="1"/>
  <c r="S12" i="86" s="1"/>
  <c r="P5" i="85"/>
  <c r="R5" i="85" s="1"/>
  <c r="S5" i="85" s="1"/>
  <c r="T6" i="85" s="1"/>
  <c r="P14" i="86"/>
  <c r="R14" i="86" s="1"/>
  <c r="S14" i="86" s="1"/>
  <c r="T16" i="86" s="1"/>
  <c r="P23" i="83"/>
  <c r="R23" i="83" s="1"/>
  <c r="S23" i="83" s="1"/>
  <c r="P11" i="85"/>
  <c r="R11" i="85" s="1"/>
  <c r="S11" i="85" s="1"/>
  <c r="P15" i="85"/>
  <c r="R15" i="85" s="1"/>
  <c r="S15" i="85" s="1"/>
  <c r="P18" i="85"/>
  <c r="R18" i="85" s="1"/>
  <c r="S18" i="85" s="1"/>
  <c r="P24" i="88"/>
  <c r="R24" i="88" s="1"/>
  <c r="S24" i="88" s="1"/>
  <c r="P21" i="86"/>
  <c r="R21" i="86" s="1"/>
  <c r="S21" i="86" s="1"/>
  <c r="P30" i="83"/>
  <c r="R30" i="83" s="1"/>
  <c r="S30" i="83" s="1"/>
  <c r="P15" i="87"/>
  <c r="R15" i="87" s="1"/>
  <c r="S15" i="87" s="1"/>
  <c r="P17" i="85"/>
  <c r="R17" i="85" s="1"/>
  <c r="S17" i="85" s="1"/>
  <c r="P19" i="86"/>
  <c r="R19" i="86" s="1"/>
  <c r="S19" i="86" s="1"/>
  <c r="P19" i="83"/>
  <c r="R19" i="83" s="1"/>
  <c r="S19" i="83" s="1"/>
  <c r="P17" i="87"/>
  <c r="R17" i="87" s="1"/>
  <c r="S17" i="87" s="1"/>
  <c r="P19" i="85"/>
  <c r="R19" i="85" s="1"/>
  <c r="S19" i="85" s="1"/>
  <c r="P27" i="88"/>
  <c r="R27" i="88" s="1"/>
  <c r="S27" i="88" s="1"/>
  <c r="P29" i="85"/>
  <c r="R29" i="85" s="1"/>
  <c r="S29" i="85" s="1"/>
  <c r="P11" i="83"/>
  <c r="R11" i="83" s="1"/>
  <c r="S11" i="83" s="1"/>
  <c r="P11" i="86"/>
  <c r="R11" i="86" s="1"/>
  <c r="S11" i="86" s="1"/>
  <c r="P15" i="83"/>
  <c r="R15" i="83" s="1"/>
  <c r="S15" i="83" s="1"/>
  <c r="P5" i="88"/>
  <c r="R5" i="88" s="1"/>
  <c r="S5" i="88" s="1"/>
  <c r="T6" i="88" s="1"/>
  <c r="P26" i="83"/>
  <c r="R26" i="83" s="1"/>
  <c r="S26" i="83" s="1"/>
  <c r="P14" i="83"/>
  <c r="R14" i="83" s="1"/>
  <c r="S14" i="83" s="1"/>
  <c r="P14" i="85"/>
  <c r="R14" i="85" s="1"/>
  <c r="S14" i="85" s="1"/>
  <c r="P29" i="83"/>
  <c r="R29" i="83" s="1"/>
  <c r="S29" i="83" s="1"/>
  <c r="O38" i="78"/>
  <c r="O54" i="78"/>
  <c r="O53" i="78"/>
  <c r="O37" i="78"/>
  <c r="O15" i="78"/>
  <c r="O31" i="78"/>
  <c r="O60" i="78"/>
  <c r="O27" i="78"/>
  <c r="O26" i="78"/>
  <c r="O49" i="78"/>
  <c r="O14" i="78"/>
  <c r="O85" i="78"/>
  <c r="O47" i="78"/>
  <c r="O50" i="78"/>
  <c r="O28" i="78"/>
  <c r="O25" i="78"/>
  <c r="O24" i="78"/>
  <c r="O57" i="78"/>
  <c r="O48" i="78"/>
  <c r="O39" i="78"/>
  <c r="O68" i="78"/>
  <c r="O36" i="78"/>
  <c r="O35" i="78"/>
  <c r="O46" i="78"/>
  <c r="O67" i="78"/>
  <c r="O32" i="78"/>
  <c r="O45" i="78"/>
  <c r="O34" i="78"/>
  <c r="O33" i="78"/>
  <c r="O16" i="78"/>
  <c r="O23" i="78"/>
  <c r="O19" i="78"/>
  <c r="O55" i="78"/>
  <c r="O41" i="78"/>
  <c r="O58" i="78"/>
  <c r="O56" i="78"/>
  <c r="O22" i="78"/>
  <c r="O66" i="78"/>
  <c r="O65" i="78"/>
  <c r="O59" i="78"/>
  <c r="O52" i="78"/>
  <c r="O30" i="78"/>
  <c r="O43" i="78"/>
  <c r="O51" i="78"/>
  <c r="O42" i="78"/>
  <c r="O29" i="78"/>
  <c r="O63" i="78"/>
  <c r="O14" i="88"/>
  <c r="O162" i="78"/>
  <c r="O153" i="78"/>
  <c r="N25" i="84"/>
  <c r="Y6" i="82"/>
  <c r="N5" i="84"/>
  <c r="Y16" i="82"/>
  <c r="N15" i="84"/>
  <c r="Y8" i="82"/>
  <c r="N7" i="84"/>
  <c r="N27" i="84"/>
  <c r="N26" i="84"/>
  <c r="N18" i="84"/>
  <c r="Y31" i="82"/>
  <c r="N30" i="84"/>
  <c r="Y12" i="82"/>
  <c r="N11" i="84"/>
  <c r="Y15" i="82"/>
  <c r="N14" i="84"/>
  <c r="N17" i="84"/>
  <c r="N19" i="84"/>
  <c r="N24" i="84"/>
  <c r="Y13" i="82"/>
  <c r="N12" i="84"/>
  <c r="N20" i="84"/>
  <c r="Y30" i="82"/>
  <c r="N29" i="84"/>
  <c r="N23" i="84"/>
  <c r="N21" i="84"/>
  <c r="F4" i="68"/>
  <c r="D11" i="69"/>
  <c r="H11" i="69" s="1"/>
  <c r="F10" i="69"/>
  <c r="F7" i="69"/>
  <c r="F5" i="69"/>
  <c r="H5" i="69" s="1"/>
  <c r="F4" i="69"/>
  <c r="H4" i="69" s="1"/>
  <c r="F111" i="70"/>
  <c r="F105" i="70"/>
  <c r="F103" i="70"/>
  <c r="F102" i="70"/>
  <c r="F101" i="70"/>
  <c r="F100" i="70"/>
  <c r="F99" i="70"/>
  <c r="F98" i="70"/>
  <c r="F96" i="70"/>
  <c r="F95" i="70"/>
  <c r="F94" i="70"/>
  <c r="F93" i="70"/>
  <c r="F92" i="70"/>
  <c r="F89" i="70"/>
  <c r="F84" i="70"/>
  <c r="F82" i="70"/>
  <c r="F81" i="70"/>
  <c r="F80" i="70"/>
  <c r="F79" i="70"/>
  <c r="F78" i="70"/>
  <c r="F77" i="70"/>
  <c r="F75" i="70"/>
  <c r="F74" i="70"/>
  <c r="F73" i="70"/>
  <c r="F72" i="70"/>
  <c r="F71" i="70"/>
  <c r="F70" i="70"/>
  <c r="F63" i="70"/>
  <c r="F61" i="70"/>
  <c r="F60" i="70"/>
  <c r="F59" i="70"/>
  <c r="F58" i="70"/>
  <c r="F57" i="70"/>
  <c r="F56" i="70"/>
  <c r="F54" i="70"/>
  <c r="F53" i="70"/>
  <c r="F52" i="70"/>
  <c r="F51" i="70"/>
  <c r="F50" i="70"/>
  <c r="F49" i="70"/>
  <c r="F47" i="70"/>
  <c r="F42" i="70"/>
  <c r="F40" i="70"/>
  <c r="F26" i="70" s="1"/>
  <c r="F39" i="70"/>
  <c r="F38" i="70"/>
  <c r="F37" i="70"/>
  <c r="F36" i="70"/>
  <c r="F35" i="70"/>
  <c r="F33" i="70"/>
  <c r="F32" i="70"/>
  <c r="F31" i="70"/>
  <c r="F30" i="70"/>
  <c r="F29" i="70"/>
  <c r="F28" i="70"/>
  <c r="F23" i="68"/>
  <c r="F22" i="68"/>
  <c r="F20" i="68"/>
  <c r="F14" i="68"/>
  <c r="F13" i="68"/>
  <c r="F8" i="68"/>
  <c r="F5" i="68"/>
  <c r="G16" i="51"/>
  <c r="G15" i="51"/>
  <c r="G14" i="51"/>
  <c r="G13" i="51"/>
  <c r="G11" i="51"/>
  <c r="M10" i="51"/>
  <c r="C11" i="51" s="1"/>
  <c r="G10" i="51"/>
  <c r="C4" i="51"/>
  <c r="G8" i="51"/>
  <c r="G7" i="51"/>
  <c r="G6" i="51"/>
  <c r="G4" i="51"/>
  <c r="D16" i="50"/>
  <c r="E16" i="50" s="1"/>
  <c r="D15" i="50"/>
  <c r="E15" i="50" s="1"/>
  <c r="D14" i="50"/>
  <c r="E14" i="50" s="1"/>
  <c r="E12" i="50"/>
  <c r="E11" i="50"/>
  <c r="E9" i="50"/>
  <c r="E7" i="50"/>
  <c r="D6" i="50"/>
  <c r="E6" i="50" s="1"/>
  <c r="D4" i="50"/>
  <c r="E4" i="50" s="1"/>
  <c r="H20" i="48"/>
  <c r="J20" i="48" s="1"/>
  <c r="H19" i="48"/>
  <c r="J19" i="48" s="1"/>
  <c r="H18" i="48"/>
  <c r="J18" i="48" s="1"/>
  <c r="H17" i="48"/>
  <c r="J17" i="48" s="1"/>
  <c r="H16" i="48"/>
  <c r="J16" i="48" s="1"/>
  <c r="H15" i="48"/>
  <c r="J15" i="48" s="1"/>
  <c r="H8" i="48"/>
  <c r="J8" i="48" s="1"/>
  <c r="H7" i="48"/>
  <c r="J7" i="48" s="1"/>
  <c r="E21" i="62"/>
  <c r="A21" i="62"/>
  <c r="E20" i="62"/>
  <c r="A20" i="62"/>
  <c r="E19" i="62"/>
  <c r="F18" i="62"/>
  <c r="E6" i="62"/>
  <c r="G6" i="62" s="1"/>
  <c r="E5" i="62"/>
  <c r="G5" i="62" s="1"/>
  <c r="E4" i="62"/>
  <c r="G4" i="62" s="1"/>
  <c r="G89" i="49"/>
  <c r="G88" i="49"/>
  <c r="G87" i="49"/>
  <c r="G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0" i="49"/>
  <c r="G59" i="49"/>
  <c r="G58" i="49"/>
  <c r="G57" i="49"/>
  <c r="G56" i="49"/>
  <c r="G55" i="49"/>
  <c r="G54" i="49"/>
  <c r="G53" i="49"/>
  <c r="G52" i="49"/>
  <c r="G51" i="49"/>
  <c r="G49" i="49"/>
  <c r="G48" i="49"/>
  <c r="G47" i="49"/>
  <c r="G46" i="49"/>
  <c r="G45" i="49"/>
  <c r="G44" i="49"/>
  <c r="G43" i="49"/>
  <c r="G42" i="49"/>
  <c r="G40" i="49"/>
  <c r="G39" i="49"/>
  <c r="G38" i="49"/>
  <c r="G37" i="49"/>
  <c r="G36" i="49"/>
  <c r="G35" i="49"/>
  <c r="G34" i="49"/>
  <c r="G33" i="49"/>
  <c r="G32" i="49"/>
  <c r="G31" i="49"/>
  <c r="G29" i="49"/>
  <c r="G28" i="49"/>
  <c r="G27" i="49"/>
  <c r="G26" i="49"/>
  <c r="G24" i="49"/>
  <c r="G23" i="49"/>
  <c r="G22" i="49"/>
  <c r="G21" i="49"/>
  <c r="G20" i="49"/>
  <c r="G19" i="49"/>
  <c r="G18" i="49"/>
  <c r="G17" i="49"/>
  <c r="A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G4" i="49"/>
  <c r="H3" i="49"/>
  <c r="G33" i="34"/>
  <c r="E32" i="34"/>
  <c r="G32" i="34" s="1"/>
  <c r="G31" i="34"/>
  <c r="G30" i="34"/>
  <c r="G29" i="34"/>
  <c r="G28" i="34"/>
  <c r="G27" i="34"/>
  <c r="G26" i="34"/>
  <c r="G25" i="34"/>
  <c r="G24" i="34"/>
  <c r="G22" i="34"/>
  <c r="G21" i="34"/>
  <c r="G20" i="34"/>
  <c r="G19" i="34"/>
  <c r="G17" i="34"/>
  <c r="G16" i="34"/>
  <c r="G15" i="34"/>
  <c r="G13" i="34"/>
  <c r="G12" i="34"/>
  <c r="G11" i="34"/>
  <c r="G10" i="34"/>
  <c r="G9" i="34"/>
  <c r="G8" i="34"/>
  <c r="G7" i="34"/>
  <c r="G6" i="34"/>
  <c r="G5" i="34"/>
  <c r="G4" i="34"/>
  <c r="H3" i="34"/>
  <c r="E13" i="35"/>
  <c r="C13" i="35"/>
  <c r="E12" i="35"/>
  <c r="C12" i="35"/>
  <c r="E11" i="35"/>
  <c r="C11" i="35"/>
  <c r="E10" i="35"/>
  <c r="C10" i="35"/>
  <c r="E9" i="35"/>
  <c r="C9" i="35"/>
  <c r="E7" i="35"/>
  <c r="C7" i="35"/>
  <c r="E6" i="35"/>
  <c r="C6" i="35"/>
  <c r="E5" i="35"/>
  <c r="C5" i="35"/>
  <c r="C4" i="35"/>
  <c r="F3" i="35"/>
  <c r="AC98" i="46"/>
  <c r="AF98" i="46" s="1"/>
  <c r="AK98" i="46" s="1"/>
  <c r="AB98" i="46"/>
  <c r="Z98" i="46"/>
  <c r="O98" i="46"/>
  <c r="N98" i="46"/>
  <c r="G98" i="46"/>
  <c r="AC97" i="46"/>
  <c r="AB97" i="46"/>
  <c r="O97" i="46"/>
  <c r="N97" i="46"/>
  <c r="G97" i="46"/>
  <c r="Z97" i="46" s="1"/>
  <c r="AE96" i="46"/>
  <c r="AC96" i="46"/>
  <c r="O96" i="46"/>
  <c r="N96" i="46"/>
  <c r="G96" i="46"/>
  <c r="AE95" i="46"/>
  <c r="AC95" i="46"/>
  <c r="O95" i="46"/>
  <c r="N95" i="46"/>
  <c r="G95" i="46"/>
  <c r="AE94" i="46"/>
  <c r="AC94" i="46"/>
  <c r="O94" i="46"/>
  <c r="N94" i="46"/>
  <c r="G94" i="46"/>
  <c r="AE93" i="46"/>
  <c r="AC93" i="46"/>
  <c r="O93" i="46"/>
  <c r="N93" i="46"/>
  <c r="G93" i="46"/>
  <c r="F93" i="46"/>
  <c r="AE92" i="46"/>
  <c r="AC92" i="46"/>
  <c r="O92" i="46"/>
  <c r="N92" i="46"/>
  <c r="G92" i="46"/>
  <c r="AE91" i="46"/>
  <c r="AC91" i="46"/>
  <c r="O91" i="46"/>
  <c r="N91" i="46"/>
  <c r="G91" i="46"/>
  <c r="AE90" i="46"/>
  <c r="AC90" i="46"/>
  <c r="O90" i="46"/>
  <c r="N90" i="46"/>
  <c r="G90" i="46"/>
  <c r="F90" i="46"/>
  <c r="AE89" i="46"/>
  <c r="AC89" i="46"/>
  <c r="O89" i="46"/>
  <c r="N89" i="46"/>
  <c r="G89" i="46"/>
  <c r="AC88" i="46"/>
  <c r="AB88" i="46"/>
  <c r="O88" i="46"/>
  <c r="N88" i="46"/>
  <c r="G88" i="46"/>
  <c r="Z88" i="46" s="1"/>
  <c r="AC87" i="46"/>
  <c r="AB87" i="46"/>
  <c r="O87" i="46"/>
  <c r="N87" i="46"/>
  <c r="G87" i="46"/>
  <c r="Z87" i="46" s="1"/>
  <c r="AF86" i="46"/>
  <c r="AE86" i="46"/>
  <c r="AD86" i="46"/>
  <c r="AC86" i="46"/>
  <c r="Z86" i="46"/>
  <c r="O86" i="46"/>
  <c r="N86" i="46"/>
  <c r="G86" i="46"/>
  <c r="AE85" i="46"/>
  <c r="AC85" i="46"/>
  <c r="O85" i="46"/>
  <c r="N85" i="46"/>
  <c r="G85" i="46"/>
  <c r="AE84" i="46"/>
  <c r="AC84" i="46"/>
  <c r="O84" i="46"/>
  <c r="N84" i="46"/>
  <c r="G84" i="46"/>
  <c r="AE83" i="46"/>
  <c r="AC83" i="46"/>
  <c r="O83" i="46"/>
  <c r="N83" i="46"/>
  <c r="G83" i="46"/>
  <c r="F83" i="46"/>
  <c r="AE82" i="46"/>
  <c r="AC82" i="46"/>
  <c r="O82" i="46"/>
  <c r="N82" i="46"/>
  <c r="G82" i="46"/>
  <c r="F82" i="46"/>
  <c r="AE81" i="46"/>
  <c r="AC81" i="46"/>
  <c r="O81" i="46"/>
  <c r="N81" i="46"/>
  <c r="G81" i="46"/>
  <c r="F81" i="46"/>
  <c r="AE80" i="46"/>
  <c r="AC80" i="46"/>
  <c r="AF80" i="46" s="1"/>
  <c r="Z80" i="46"/>
  <c r="O80" i="46"/>
  <c r="N80" i="46"/>
  <c r="G80" i="46"/>
  <c r="F80" i="46"/>
  <c r="AF78" i="46"/>
  <c r="AE78" i="46"/>
  <c r="AD78" i="46"/>
  <c r="AC78" i="46"/>
  <c r="Z78" i="46"/>
  <c r="O78" i="46"/>
  <c r="N78" i="46"/>
  <c r="G78" i="46"/>
  <c r="AF77" i="46"/>
  <c r="AE77" i="46"/>
  <c r="AD77" i="46"/>
  <c r="AC77" i="46"/>
  <c r="Z77" i="46"/>
  <c r="O77" i="46"/>
  <c r="N77" i="46"/>
  <c r="G77" i="46"/>
  <c r="AF76" i="46"/>
  <c r="AE76" i="46"/>
  <c r="AD76" i="46"/>
  <c r="AC76" i="46"/>
  <c r="Z76" i="46"/>
  <c r="O76" i="46"/>
  <c r="N76" i="46"/>
  <c r="G76" i="46"/>
  <c r="AE75" i="46"/>
  <c r="AC75" i="46"/>
  <c r="O75" i="46"/>
  <c r="N75" i="46"/>
  <c r="G75" i="46"/>
  <c r="AF74" i="46"/>
  <c r="AG74" i="46" s="1"/>
  <c r="AH74" i="46" s="1"/>
  <c r="AE74" i="46"/>
  <c r="AD74" i="46"/>
  <c r="AC74" i="46"/>
  <c r="AB74" i="46"/>
  <c r="Z74" i="46"/>
  <c r="O74" i="46"/>
  <c r="N74" i="46"/>
  <c r="G74" i="46"/>
  <c r="AF73" i="46"/>
  <c r="AG73" i="46" s="1"/>
  <c r="AH73" i="46" s="1"/>
  <c r="AE73" i="46"/>
  <c r="AD73" i="46"/>
  <c r="AC73" i="46"/>
  <c r="AB73" i="46"/>
  <c r="Z73" i="46"/>
  <c r="O73" i="46"/>
  <c r="N73" i="46"/>
  <c r="G73" i="46"/>
  <c r="AF72" i="46"/>
  <c r="AG72" i="46" s="1"/>
  <c r="AH72" i="46" s="1"/>
  <c r="AE72" i="46"/>
  <c r="AD72" i="46"/>
  <c r="AC72" i="46"/>
  <c r="AB72" i="46"/>
  <c r="Z72" i="46"/>
  <c r="O72" i="46"/>
  <c r="N72" i="46"/>
  <c r="G72" i="46"/>
  <c r="AF71" i="46"/>
  <c r="AG71" i="46" s="1"/>
  <c r="AH71" i="46" s="1"/>
  <c r="AE71" i="46"/>
  <c r="AD71" i="46"/>
  <c r="AC71" i="46"/>
  <c r="AB71" i="46"/>
  <c r="Z71" i="46"/>
  <c r="O71" i="46"/>
  <c r="N71" i="46"/>
  <c r="G71" i="46"/>
  <c r="AE70" i="46"/>
  <c r="AC70" i="46"/>
  <c r="AB70" i="46"/>
  <c r="O70" i="46"/>
  <c r="N70" i="46"/>
  <c r="G70" i="46"/>
  <c r="Z70" i="46" s="1"/>
  <c r="AF69" i="46"/>
  <c r="AG69" i="46" s="1"/>
  <c r="AH69" i="46" s="1"/>
  <c r="AE69" i="46"/>
  <c r="AD69" i="46"/>
  <c r="AC69" i="46"/>
  <c r="AB69" i="46"/>
  <c r="Z69" i="46"/>
  <c r="O69" i="46"/>
  <c r="N69" i="46"/>
  <c r="G69" i="46"/>
  <c r="AF68" i="46"/>
  <c r="AG68" i="46" s="1"/>
  <c r="AH68" i="46" s="1"/>
  <c r="AE68" i="46"/>
  <c r="AD68" i="46"/>
  <c r="AC68" i="46"/>
  <c r="AB68" i="46"/>
  <c r="Z68" i="46"/>
  <c r="O68" i="46"/>
  <c r="N68" i="46"/>
  <c r="G68" i="46"/>
  <c r="AE67" i="46"/>
  <c r="AC67" i="46"/>
  <c r="O67" i="46"/>
  <c r="N67" i="46"/>
  <c r="G67" i="46"/>
  <c r="AE66" i="46"/>
  <c r="AC66" i="46"/>
  <c r="O66" i="46"/>
  <c r="N66" i="46"/>
  <c r="G66" i="46"/>
  <c r="AC64" i="46"/>
  <c r="AB64" i="46"/>
  <c r="O64" i="46"/>
  <c r="N64" i="46"/>
  <c r="G64" i="46"/>
  <c r="Z64" i="46" s="1"/>
  <c r="AF63" i="46"/>
  <c r="AE63" i="46"/>
  <c r="AD63" i="46"/>
  <c r="AC63" i="46"/>
  <c r="Z63" i="46"/>
  <c r="O63" i="46"/>
  <c r="N63" i="46"/>
  <c r="G63" i="46"/>
  <c r="AE62" i="46"/>
  <c r="AC62" i="46"/>
  <c r="AB62" i="46"/>
  <c r="O62" i="46"/>
  <c r="N62" i="46"/>
  <c r="G62" i="46"/>
  <c r="Z62" i="46" s="1"/>
  <c r="AE60" i="46"/>
  <c r="AC60" i="46"/>
  <c r="O60" i="46"/>
  <c r="N60" i="46"/>
  <c r="G60" i="46"/>
  <c r="AF59" i="46"/>
  <c r="AE59" i="46"/>
  <c r="AD59" i="46"/>
  <c r="AC59" i="46"/>
  <c r="Z59" i="46"/>
  <c r="O59" i="46"/>
  <c r="N59" i="46"/>
  <c r="G59" i="46"/>
  <c r="AE58" i="46"/>
  <c r="AC58" i="46"/>
  <c r="AF58" i="46" s="1"/>
  <c r="O58" i="46"/>
  <c r="N58" i="46"/>
  <c r="G58" i="46"/>
  <c r="AF57" i="46"/>
  <c r="AE57" i="46"/>
  <c r="AD57" i="46"/>
  <c r="AC57" i="46"/>
  <c r="Z57" i="46"/>
  <c r="O57" i="46"/>
  <c r="N57" i="46"/>
  <c r="G57" i="46"/>
  <c r="AC56" i="46"/>
  <c r="AB56" i="46"/>
  <c r="O56" i="46"/>
  <c r="N56" i="46"/>
  <c r="G56" i="46"/>
  <c r="Z56" i="46" s="1"/>
  <c r="AC54" i="46"/>
  <c r="AB54" i="46"/>
  <c r="O54" i="46"/>
  <c r="N54" i="46"/>
  <c r="G54" i="46"/>
  <c r="Z54" i="46" s="1"/>
  <c r="AE53" i="46"/>
  <c r="AC53" i="46"/>
  <c r="AA53" i="46"/>
  <c r="O53" i="46"/>
  <c r="N53" i="46"/>
  <c r="G53" i="46"/>
  <c r="AF52" i="46"/>
  <c r="AE52" i="46"/>
  <c r="AD52" i="46"/>
  <c r="AC52" i="46"/>
  <c r="Z52" i="46"/>
  <c r="O52" i="46"/>
  <c r="N52" i="46"/>
  <c r="G52" i="46"/>
  <c r="AF51" i="46"/>
  <c r="AG51" i="46" s="1"/>
  <c r="AH51" i="46" s="1"/>
  <c r="AD51" i="46"/>
  <c r="AC51" i="46"/>
  <c r="AB51" i="46"/>
  <c r="Z51" i="46"/>
  <c r="O51" i="46"/>
  <c r="N51" i="46"/>
  <c r="G51" i="46"/>
  <c r="AC50" i="46"/>
  <c r="AF50" i="46" s="1"/>
  <c r="AK50" i="46" s="1"/>
  <c r="AB50" i="46"/>
  <c r="Z50" i="46"/>
  <c r="O50" i="46"/>
  <c r="N50" i="46"/>
  <c r="G50" i="46"/>
  <c r="AC49" i="46"/>
  <c r="AF49" i="46" s="1"/>
  <c r="AK49" i="46" s="1"/>
  <c r="AB49" i="46"/>
  <c r="Z49" i="46"/>
  <c r="O49" i="46"/>
  <c r="N49" i="46"/>
  <c r="G49" i="46"/>
  <c r="AE47" i="46"/>
  <c r="AC47" i="46"/>
  <c r="O47" i="46"/>
  <c r="N47" i="46"/>
  <c r="G47" i="46"/>
  <c r="AE46" i="46"/>
  <c r="AC46" i="46"/>
  <c r="O46" i="46"/>
  <c r="N46" i="46"/>
  <c r="G46" i="46"/>
  <c r="AE45" i="46"/>
  <c r="AC45" i="46"/>
  <c r="O45" i="46"/>
  <c r="N45" i="46"/>
  <c r="G45" i="46"/>
  <c r="AF44" i="46"/>
  <c r="AE44" i="46"/>
  <c r="AD44" i="46"/>
  <c r="AC44" i="46"/>
  <c r="Z44" i="46"/>
  <c r="O44" i="46"/>
  <c r="N44" i="46"/>
  <c r="G44" i="46"/>
  <c r="AF43" i="46"/>
  <c r="AE43" i="46"/>
  <c r="AD43" i="46"/>
  <c r="AC43" i="46"/>
  <c r="AA43" i="46"/>
  <c r="Z43" i="46"/>
  <c r="O43" i="46"/>
  <c r="N43" i="46"/>
  <c r="G43" i="46"/>
  <c r="AF42" i="46"/>
  <c r="AE42" i="46"/>
  <c r="AD42" i="46"/>
  <c r="AC42" i="46"/>
  <c r="AA42" i="46"/>
  <c r="Z42" i="46"/>
  <c r="O42" i="46"/>
  <c r="N42" i="46"/>
  <c r="G42" i="46"/>
  <c r="AF41" i="46"/>
  <c r="AE41" i="46"/>
  <c r="AD41" i="46"/>
  <c r="AC41" i="46"/>
  <c r="AA41" i="46"/>
  <c r="Z41" i="46"/>
  <c r="O41" i="46"/>
  <c r="N41" i="46"/>
  <c r="G41" i="46"/>
  <c r="AE40" i="46"/>
  <c r="AC40" i="46"/>
  <c r="AA40" i="46"/>
  <c r="O40" i="46"/>
  <c r="N40" i="46"/>
  <c r="G40" i="46"/>
  <c r="AE39" i="46"/>
  <c r="AC39" i="46"/>
  <c r="AA39" i="46"/>
  <c r="O39" i="46"/>
  <c r="N39" i="46"/>
  <c r="G39" i="46"/>
  <c r="AE38" i="46"/>
  <c r="AC38" i="46"/>
  <c r="AF38" i="46" s="1"/>
  <c r="AA38" i="46"/>
  <c r="O38" i="46"/>
  <c r="N38" i="46"/>
  <c r="G38" i="46"/>
  <c r="AE37" i="46"/>
  <c r="AC37" i="46"/>
  <c r="AA37" i="46"/>
  <c r="O37" i="46"/>
  <c r="N37" i="46"/>
  <c r="G37" i="46"/>
  <c r="AE36" i="46"/>
  <c r="AC36" i="46"/>
  <c r="AA36" i="46"/>
  <c r="O36" i="46"/>
  <c r="N36" i="46"/>
  <c r="G36" i="46"/>
  <c r="AE35" i="46"/>
  <c r="AC35" i="46"/>
  <c r="AA35" i="46"/>
  <c r="O35" i="46"/>
  <c r="N35" i="46"/>
  <c r="G35" i="46"/>
  <c r="AF34" i="46"/>
  <c r="AE34" i="46"/>
  <c r="AD34" i="46"/>
  <c r="AC34" i="46"/>
  <c r="AA34" i="46"/>
  <c r="Z34" i="46"/>
  <c r="O34" i="46"/>
  <c r="N34" i="46"/>
  <c r="G34" i="46"/>
  <c r="AC33" i="46"/>
  <c r="O33" i="46"/>
  <c r="N33" i="46"/>
  <c r="G33" i="46"/>
  <c r="AF32" i="46"/>
  <c r="AD32" i="46"/>
  <c r="AC32" i="46"/>
  <c r="Z32" i="46"/>
  <c r="O32" i="46"/>
  <c r="N32" i="46"/>
  <c r="G32" i="46"/>
  <c r="AF30" i="46"/>
  <c r="AE30" i="46"/>
  <c r="AD30" i="46"/>
  <c r="AC30" i="46"/>
  <c r="Z30" i="46"/>
  <c r="O30" i="46"/>
  <c r="N30" i="46"/>
  <c r="G30" i="46"/>
  <c r="AE29" i="46"/>
  <c r="AC29" i="46"/>
  <c r="O29" i="46"/>
  <c r="N29" i="46"/>
  <c r="G29" i="46"/>
  <c r="AE28" i="46"/>
  <c r="AC28" i="46"/>
  <c r="O28" i="46"/>
  <c r="N28" i="46"/>
  <c r="G28" i="46"/>
  <c r="AF27" i="46"/>
  <c r="AE27" i="46"/>
  <c r="AD27" i="46"/>
  <c r="AC27" i="46"/>
  <c r="Z27" i="46"/>
  <c r="O27" i="46"/>
  <c r="N27" i="46"/>
  <c r="G27" i="46"/>
  <c r="AF25" i="46"/>
  <c r="AG25" i="46" s="1"/>
  <c r="AH25" i="46" s="1"/>
  <c r="AE25" i="46"/>
  <c r="AD25" i="46"/>
  <c r="AC25" i="46"/>
  <c r="AB25" i="46"/>
  <c r="Z25" i="46"/>
  <c r="O25" i="46"/>
  <c r="N25" i="46"/>
  <c r="G25" i="46"/>
  <c r="AF24" i="46"/>
  <c r="AG24" i="46" s="1"/>
  <c r="AH24" i="46" s="1"/>
  <c r="AE24" i="46"/>
  <c r="AD24" i="46"/>
  <c r="AC24" i="46"/>
  <c r="AB24" i="46"/>
  <c r="Z24" i="46"/>
  <c r="O24" i="46"/>
  <c r="N24" i="46"/>
  <c r="G24" i="46"/>
  <c r="AF23" i="46"/>
  <c r="AE23" i="46"/>
  <c r="AD23" i="46"/>
  <c r="AC23" i="46"/>
  <c r="AA23" i="46"/>
  <c r="Z23" i="46"/>
  <c r="O23" i="46"/>
  <c r="N23" i="46"/>
  <c r="G23" i="46"/>
  <c r="AE22" i="46"/>
  <c r="AC22" i="46"/>
  <c r="AD22" i="46" s="1"/>
  <c r="AA22" i="46"/>
  <c r="O22" i="46"/>
  <c r="N22" i="46"/>
  <c r="G22" i="46"/>
  <c r="AE21" i="46"/>
  <c r="AC21" i="46"/>
  <c r="AD21" i="46" s="1"/>
  <c r="AA21" i="46"/>
  <c r="O21" i="46"/>
  <c r="N21" i="46"/>
  <c r="G21" i="46"/>
  <c r="AF20" i="46"/>
  <c r="AE20" i="46"/>
  <c r="AD20" i="46"/>
  <c r="AC20" i="46"/>
  <c r="AA20" i="46"/>
  <c r="Z20" i="46"/>
  <c r="O20" i="46"/>
  <c r="N20" i="46"/>
  <c r="G20" i="46"/>
  <c r="AE19" i="46"/>
  <c r="AC19" i="46"/>
  <c r="AA19" i="46"/>
  <c r="O19" i="46"/>
  <c r="N19" i="46"/>
  <c r="G19" i="46"/>
  <c r="AF18" i="46"/>
  <c r="AE18" i="46"/>
  <c r="AD18" i="46"/>
  <c r="AC18" i="46"/>
  <c r="AA18" i="46"/>
  <c r="Z18" i="46"/>
  <c r="O18" i="46"/>
  <c r="N18" i="46"/>
  <c r="G18" i="46"/>
  <c r="AE17" i="46"/>
  <c r="AC17" i="46"/>
  <c r="AA17" i="46"/>
  <c r="O17" i="46"/>
  <c r="N17" i="46"/>
  <c r="G17" i="46"/>
  <c r="AE16" i="46"/>
  <c r="AC16" i="46"/>
  <c r="AA16" i="46"/>
  <c r="O16" i="46"/>
  <c r="N16" i="46"/>
  <c r="G16" i="46"/>
  <c r="AE15" i="46"/>
  <c r="AC15" i="46"/>
  <c r="AA15" i="46"/>
  <c r="O15" i="46"/>
  <c r="N15" i="46"/>
  <c r="G15" i="46"/>
  <c r="AF14" i="46"/>
  <c r="AE14" i="46"/>
  <c r="AD14" i="46"/>
  <c r="AC14" i="46"/>
  <c r="AA14" i="46"/>
  <c r="Z14" i="46"/>
  <c r="O14" i="46"/>
  <c r="N14" i="46"/>
  <c r="G14" i="46"/>
  <c r="AF13" i="46"/>
  <c r="AE13" i="46"/>
  <c r="AD13" i="46"/>
  <c r="AC13" i="46"/>
  <c r="Z13" i="46"/>
  <c r="O13" i="46"/>
  <c r="N13" i="46"/>
  <c r="G13" i="46"/>
  <c r="AE12" i="46"/>
  <c r="AC12" i="46"/>
  <c r="O12" i="46"/>
  <c r="N12" i="46"/>
  <c r="G12" i="46"/>
  <c r="AE11" i="46"/>
  <c r="AC11" i="46"/>
  <c r="O11" i="46"/>
  <c r="N11" i="46"/>
  <c r="G11" i="46"/>
  <c r="AF10" i="46"/>
  <c r="AE10" i="46"/>
  <c r="AD10" i="46"/>
  <c r="AC10" i="46"/>
  <c r="Z10" i="46"/>
  <c r="O10" i="46"/>
  <c r="N10" i="46"/>
  <c r="G10" i="46"/>
  <c r="AE9" i="46"/>
  <c r="AC9" i="46"/>
  <c r="O9" i="46"/>
  <c r="N9" i="46"/>
  <c r="G9" i="46"/>
  <c r="AE8" i="46"/>
  <c r="AC8" i="46"/>
  <c r="O8" i="46"/>
  <c r="N8" i="46"/>
  <c r="G8" i="46"/>
  <c r="AI7" i="46"/>
  <c r="AJ7" i="46" s="1"/>
  <c r="AJ104" i="46" s="1"/>
  <c r="H15" i="59" s="1"/>
  <c r="H16" i="59" s="1"/>
  <c r="AE7" i="46"/>
  <c r="AC7" i="46"/>
  <c r="G7" i="46"/>
  <c r="Q6" i="46"/>
  <c r="AK46" i="45"/>
  <c r="AF46" i="45"/>
  <c r="AC46" i="45"/>
  <c r="AB46" i="45"/>
  <c r="Y46" i="45"/>
  <c r="O46" i="45"/>
  <c r="N46" i="45"/>
  <c r="AK45" i="45"/>
  <c r="AF45" i="45"/>
  <c r="AC45" i="45"/>
  <c r="AB45" i="45"/>
  <c r="Y45" i="45"/>
  <c r="O45" i="45"/>
  <c r="N45" i="45"/>
  <c r="AK44" i="45"/>
  <c r="AF44" i="45"/>
  <c r="AC44" i="45"/>
  <c r="AB44" i="45"/>
  <c r="Y44" i="45"/>
  <c r="AD44" i="45" s="1"/>
  <c r="O44" i="45"/>
  <c r="N44" i="45"/>
  <c r="AB43" i="45"/>
  <c r="Y43" i="45"/>
  <c r="O43" i="45"/>
  <c r="N43" i="45"/>
  <c r="AK42" i="45"/>
  <c r="AF42" i="45"/>
  <c r="AC42" i="45"/>
  <c r="AB42" i="45"/>
  <c r="Y42" i="45"/>
  <c r="O42" i="45"/>
  <c r="N42" i="45"/>
  <c r="AK41" i="45"/>
  <c r="AF41" i="45"/>
  <c r="AC41" i="45"/>
  <c r="AB41" i="45"/>
  <c r="Y41" i="45"/>
  <c r="O41" i="45"/>
  <c r="N41" i="45"/>
  <c r="AD40" i="45"/>
  <c r="AC40" i="45"/>
  <c r="O40" i="45"/>
  <c r="N40" i="45"/>
  <c r="AK39" i="45"/>
  <c r="AF39" i="45"/>
  <c r="AD39" i="45"/>
  <c r="AC39" i="45"/>
  <c r="O39" i="45"/>
  <c r="N39" i="45"/>
  <c r="AK38" i="45"/>
  <c r="AF38" i="45"/>
  <c r="AC38" i="45"/>
  <c r="Y38" i="45"/>
  <c r="AD38" i="45" s="1"/>
  <c r="O38" i="45"/>
  <c r="N38" i="45"/>
  <c r="AK37" i="45"/>
  <c r="AF37" i="45"/>
  <c r="AC37" i="45"/>
  <c r="Y37" i="45"/>
  <c r="O37" i="45"/>
  <c r="N37" i="45"/>
  <c r="AK35" i="45"/>
  <c r="AF35" i="45"/>
  <c r="AC35" i="45"/>
  <c r="AB35" i="45"/>
  <c r="Y35" i="45"/>
  <c r="O35" i="45"/>
  <c r="N35" i="45"/>
  <c r="AK34" i="45"/>
  <c r="AF34" i="45"/>
  <c r="AC34" i="45"/>
  <c r="AB34" i="45"/>
  <c r="Y34" i="45"/>
  <c r="O34" i="45"/>
  <c r="N34" i="45"/>
  <c r="AK33" i="45"/>
  <c r="AF33" i="45"/>
  <c r="AC33" i="45"/>
  <c r="AB33" i="45"/>
  <c r="Y33" i="45"/>
  <c r="O33" i="45"/>
  <c r="N33" i="45"/>
  <c r="AD32" i="45"/>
  <c r="AB32" i="45"/>
  <c r="AC32" i="45" s="1"/>
  <c r="AA32" i="45"/>
  <c r="O32" i="45"/>
  <c r="T32" i="45" s="1"/>
  <c r="N32" i="45"/>
  <c r="AB31" i="45"/>
  <c r="Y31" i="45"/>
  <c r="O31" i="45"/>
  <c r="T31" i="45" s="1"/>
  <c r="N31" i="45"/>
  <c r="AC30" i="45"/>
  <c r="Y30" i="45"/>
  <c r="AD30" i="45" s="1"/>
  <c r="O30" i="45"/>
  <c r="N30" i="45"/>
  <c r="AK29" i="45"/>
  <c r="AF29" i="45"/>
  <c r="AD29" i="45"/>
  <c r="AC29" i="45"/>
  <c r="O29" i="45"/>
  <c r="N29" i="45"/>
  <c r="AK27" i="45"/>
  <c r="AF27" i="45"/>
  <c r="AC27" i="45"/>
  <c r="AB27" i="45"/>
  <c r="Y27" i="45"/>
  <c r="O27" i="45"/>
  <c r="N27" i="45"/>
  <c r="AD26" i="45"/>
  <c r="AC26" i="45"/>
  <c r="O26" i="45"/>
  <c r="N26" i="45"/>
  <c r="AB24" i="45"/>
  <c r="Y24" i="45"/>
  <c r="O24" i="45"/>
  <c r="N24" i="45"/>
  <c r="AB23" i="45"/>
  <c r="Y23" i="45"/>
  <c r="O23" i="45"/>
  <c r="N23" i="45"/>
  <c r="AK22" i="45"/>
  <c r="AF22" i="45"/>
  <c r="AC22" i="45"/>
  <c r="AB22" i="45"/>
  <c r="Y22" i="45"/>
  <c r="O22" i="45"/>
  <c r="N22" i="45"/>
  <c r="AB21" i="45"/>
  <c r="Y21" i="45"/>
  <c r="O21" i="45"/>
  <c r="N21" i="45"/>
  <c r="AB20" i="45"/>
  <c r="Y20" i="45"/>
  <c r="O20" i="45"/>
  <c r="N20" i="45"/>
  <c r="AD19" i="45"/>
  <c r="AB19" i="45"/>
  <c r="AC19" i="45" s="1"/>
  <c r="AA19" i="45"/>
  <c r="O19" i="45"/>
  <c r="T19" i="45" s="1"/>
  <c r="N19" i="45"/>
  <c r="AD18" i="45"/>
  <c r="O18" i="45"/>
  <c r="N18" i="45"/>
  <c r="AB16" i="45"/>
  <c r="Y16" i="45"/>
  <c r="O16" i="45"/>
  <c r="P16" i="45" s="1"/>
  <c r="N16" i="45"/>
  <c r="AK15" i="45"/>
  <c r="AF15" i="45"/>
  <c r="AC15" i="45"/>
  <c r="AB15" i="45"/>
  <c r="Y15" i="45"/>
  <c r="O15" i="45"/>
  <c r="P15" i="45" s="1"/>
  <c r="N15" i="45"/>
  <c r="AK14" i="45"/>
  <c r="AF14" i="45"/>
  <c r="AC14" i="45"/>
  <c r="AB14" i="45"/>
  <c r="Y14" i="45"/>
  <c r="O14" i="45"/>
  <c r="P14" i="45" s="1"/>
  <c r="N14" i="45"/>
  <c r="AK13" i="45"/>
  <c r="AF13" i="45"/>
  <c r="AC13" i="45"/>
  <c r="AB13" i="45"/>
  <c r="Y13" i="45"/>
  <c r="O13" i="45"/>
  <c r="P13" i="45" s="1"/>
  <c r="AB12" i="45"/>
  <c r="Y12" i="45"/>
  <c r="O12" i="45"/>
  <c r="P12" i="45" s="1"/>
  <c r="N12" i="45"/>
  <c r="AK11" i="45"/>
  <c r="AF11" i="45"/>
  <c r="AC11" i="45"/>
  <c r="AB11" i="45"/>
  <c r="Y11" i="45"/>
  <c r="O11" i="45"/>
  <c r="P11" i="45" s="1"/>
  <c r="N11" i="45"/>
  <c r="AK10" i="45"/>
  <c r="AF10" i="45"/>
  <c r="AC10" i="45"/>
  <c r="AB10" i="45"/>
  <c r="Y10" i="45"/>
  <c r="O10" i="45"/>
  <c r="P10" i="45" s="1"/>
  <c r="N10" i="45"/>
  <c r="AK9" i="45"/>
  <c r="AF9" i="45"/>
  <c r="AC9" i="45"/>
  <c r="AB9" i="45"/>
  <c r="Y9" i="45"/>
  <c r="O9" i="45"/>
  <c r="P9" i="45" s="1"/>
  <c r="N9" i="45"/>
  <c r="AB8" i="45"/>
  <c r="Y8" i="45"/>
  <c r="O8" i="45"/>
  <c r="P8" i="45" s="1"/>
  <c r="N8" i="45"/>
  <c r="AB7" i="45"/>
  <c r="Y7" i="45"/>
  <c r="O7" i="45"/>
  <c r="Q7" i="45" s="1"/>
  <c r="N7" i="45"/>
  <c r="Q6" i="45"/>
  <c r="AE5" i="45"/>
  <c r="F56" i="47"/>
  <c r="E56" i="47"/>
  <c r="F55" i="47"/>
  <c r="E55" i="47"/>
  <c r="F54" i="47"/>
  <c r="E54" i="47"/>
  <c r="F53" i="47"/>
  <c r="E53" i="47"/>
  <c r="F52" i="47"/>
  <c r="E52" i="47"/>
  <c r="F51" i="47"/>
  <c r="E51" i="47"/>
  <c r="F50" i="47"/>
  <c r="E50" i="47"/>
  <c r="F49" i="47"/>
  <c r="E49" i="47"/>
  <c r="F48" i="47"/>
  <c r="E48" i="47"/>
  <c r="F47" i="47"/>
  <c r="E47" i="47"/>
  <c r="F46" i="47"/>
  <c r="E46" i="47"/>
  <c r="F45" i="47"/>
  <c r="E45" i="47"/>
  <c r="F44" i="47"/>
  <c r="E44" i="47"/>
  <c r="F43" i="47"/>
  <c r="E43" i="47"/>
  <c r="F42" i="47"/>
  <c r="E42" i="47"/>
  <c r="F41" i="47"/>
  <c r="E41" i="47"/>
  <c r="F40" i="47"/>
  <c r="E40" i="47"/>
  <c r="F39" i="47"/>
  <c r="E39" i="47"/>
  <c r="F38" i="47"/>
  <c r="E38" i="47"/>
  <c r="J23" i="47"/>
  <c r="C16" i="47"/>
  <c r="C15" i="47"/>
  <c r="C14" i="47"/>
  <c r="C13" i="47"/>
  <c r="C12" i="47"/>
  <c r="C11" i="47"/>
  <c r="Y80" i="46" s="1"/>
  <c r="C10" i="47"/>
  <c r="C9" i="47"/>
  <c r="AC52" i="44"/>
  <c r="Z52" i="44"/>
  <c r="W52" i="44"/>
  <c r="V52" i="44"/>
  <c r="R52" i="44"/>
  <c r="P52" i="44"/>
  <c r="N52" i="44"/>
  <c r="L52" i="44"/>
  <c r="AD52" i="44" s="1"/>
  <c r="J52" i="44"/>
  <c r="AC51" i="44"/>
  <c r="Z51" i="44"/>
  <c r="W51" i="44"/>
  <c r="V51" i="44"/>
  <c r="R51" i="44"/>
  <c r="P51" i="44"/>
  <c r="N51" i="44"/>
  <c r="L51" i="44"/>
  <c r="AD51" i="44" s="1"/>
  <c r="J51" i="44"/>
  <c r="AC50" i="44"/>
  <c r="Z50" i="44"/>
  <c r="W50" i="44"/>
  <c r="V50" i="44"/>
  <c r="R50" i="44"/>
  <c r="P50" i="44"/>
  <c r="N50" i="44"/>
  <c r="L50" i="44"/>
  <c r="AD50" i="44" s="1"/>
  <c r="J50" i="44"/>
  <c r="AC49" i="44"/>
  <c r="Z49" i="44"/>
  <c r="V49" i="44"/>
  <c r="S49" i="44"/>
  <c r="R49" i="44"/>
  <c r="P49" i="44"/>
  <c r="N49" i="44"/>
  <c r="L49" i="44"/>
  <c r="AD49" i="44" s="1"/>
  <c r="J49" i="44"/>
  <c r="AC48" i="44"/>
  <c r="Z48" i="44"/>
  <c r="V48" i="44"/>
  <c r="S48" i="44"/>
  <c r="R48" i="44"/>
  <c r="P48" i="44"/>
  <c r="N48" i="44"/>
  <c r="L48" i="44"/>
  <c r="AD48" i="44" s="1"/>
  <c r="J48" i="44"/>
  <c r="AC47" i="44"/>
  <c r="Z47" i="44"/>
  <c r="V47" i="44"/>
  <c r="S47" i="44"/>
  <c r="R47" i="44"/>
  <c r="P47" i="44"/>
  <c r="N47" i="44"/>
  <c r="L47" i="44"/>
  <c r="AD47" i="44" s="1"/>
  <c r="J47" i="44"/>
  <c r="AC46" i="44"/>
  <c r="Z46" i="44"/>
  <c r="V46" i="44"/>
  <c r="S46" i="44"/>
  <c r="R46" i="44"/>
  <c r="P46" i="44"/>
  <c r="N46" i="44"/>
  <c r="L46" i="44"/>
  <c r="AD46" i="44" s="1"/>
  <c r="J46" i="44"/>
  <c r="AC45" i="44"/>
  <c r="Z45" i="44"/>
  <c r="V45" i="44"/>
  <c r="S45" i="44"/>
  <c r="R45" i="44"/>
  <c r="P45" i="44"/>
  <c r="N45" i="44"/>
  <c r="L45" i="44"/>
  <c r="AD45" i="44" s="1"/>
  <c r="J45" i="44"/>
  <c r="AC44" i="44"/>
  <c r="Z44" i="44"/>
  <c r="V44" i="44"/>
  <c r="S44" i="44"/>
  <c r="R44" i="44"/>
  <c r="P44" i="44"/>
  <c r="N44" i="44"/>
  <c r="L44" i="44"/>
  <c r="AD44" i="44" s="1"/>
  <c r="J44" i="44"/>
  <c r="AC43" i="44"/>
  <c r="Z43" i="44"/>
  <c r="V43" i="44"/>
  <c r="S43" i="44"/>
  <c r="R43" i="44"/>
  <c r="P43" i="44"/>
  <c r="N43" i="44"/>
  <c r="L43" i="44"/>
  <c r="AD43" i="44" s="1"/>
  <c r="J43" i="44"/>
  <c r="AC42" i="44"/>
  <c r="Z42" i="44"/>
  <c r="V42" i="44"/>
  <c r="S42" i="44"/>
  <c r="R42" i="44"/>
  <c r="P42" i="44"/>
  <c r="N42" i="44"/>
  <c r="L42" i="44"/>
  <c r="AD42" i="44" s="1"/>
  <c r="J42" i="44"/>
  <c r="AC41" i="44"/>
  <c r="Z41" i="44"/>
  <c r="V41" i="44"/>
  <c r="S41" i="44"/>
  <c r="R41" i="44"/>
  <c r="P41" i="44"/>
  <c r="N41" i="44"/>
  <c r="L41" i="44"/>
  <c r="AD41" i="44" s="1"/>
  <c r="J41" i="44"/>
  <c r="AC40" i="44"/>
  <c r="Z40" i="44"/>
  <c r="V40" i="44"/>
  <c r="R40" i="44"/>
  <c r="P40" i="44"/>
  <c r="T40" i="44" s="1"/>
  <c r="X40" i="44" s="1"/>
  <c r="AB40" i="44" s="1"/>
  <c r="N40" i="44"/>
  <c r="L40" i="44"/>
  <c r="K40" i="44"/>
  <c r="O40" i="44" s="1"/>
  <c r="S40" i="44" s="1"/>
  <c r="W40" i="44" s="1"/>
  <c r="AA40" i="44" s="1"/>
  <c r="AC39" i="44"/>
  <c r="Z39" i="44"/>
  <c r="V39" i="44"/>
  <c r="R39" i="44"/>
  <c r="P39" i="44"/>
  <c r="T39" i="44" s="1"/>
  <c r="X39" i="44" s="1"/>
  <c r="AB39" i="44" s="1"/>
  <c r="N39" i="44"/>
  <c r="L39" i="44"/>
  <c r="K39" i="44"/>
  <c r="O39" i="44" s="1"/>
  <c r="S39" i="44" s="1"/>
  <c r="W39" i="44" s="1"/>
  <c r="AA39" i="44" s="1"/>
  <c r="AC38" i="44"/>
  <c r="Z38" i="44"/>
  <c r="V38" i="44"/>
  <c r="R38" i="44"/>
  <c r="P38" i="44"/>
  <c r="T38" i="44" s="1"/>
  <c r="X38" i="44" s="1"/>
  <c r="AB38" i="44" s="1"/>
  <c r="N38" i="44"/>
  <c r="L38" i="44"/>
  <c r="K38" i="44"/>
  <c r="O38" i="44" s="1"/>
  <c r="S38" i="44" s="1"/>
  <c r="W38" i="44" s="1"/>
  <c r="AA38" i="44" s="1"/>
  <c r="AC37" i="44"/>
  <c r="Z37" i="44"/>
  <c r="V37" i="44"/>
  <c r="R37" i="44"/>
  <c r="P37" i="44"/>
  <c r="T37" i="44" s="1"/>
  <c r="X37" i="44" s="1"/>
  <c r="AB37" i="44" s="1"/>
  <c r="N37" i="44"/>
  <c r="L37" i="44"/>
  <c r="K37" i="44"/>
  <c r="O37" i="44" s="1"/>
  <c r="S37" i="44" s="1"/>
  <c r="W37" i="44" s="1"/>
  <c r="AA37" i="44" s="1"/>
  <c r="AC36" i="44"/>
  <c r="Z36" i="44"/>
  <c r="V36" i="44"/>
  <c r="R36" i="44"/>
  <c r="P36" i="44"/>
  <c r="T36" i="44" s="1"/>
  <c r="X36" i="44" s="1"/>
  <c r="AB36" i="44" s="1"/>
  <c r="N36" i="44"/>
  <c r="L36" i="44"/>
  <c r="K36" i="44"/>
  <c r="O36" i="44" s="1"/>
  <c r="S36" i="44" s="1"/>
  <c r="W36" i="44" s="1"/>
  <c r="AA36" i="44" s="1"/>
  <c r="AC35" i="44"/>
  <c r="Z35" i="44"/>
  <c r="V35" i="44"/>
  <c r="R35" i="44"/>
  <c r="P35" i="44"/>
  <c r="T35" i="44" s="1"/>
  <c r="X35" i="44" s="1"/>
  <c r="AB35" i="44" s="1"/>
  <c r="N35" i="44"/>
  <c r="L35" i="44"/>
  <c r="K35" i="44"/>
  <c r="O35" i="44" s="1"/>
  <c r="S35" i="44" s="1"/>
  <c r="W35" i="44" s="1"/>
  <c r="AA35" i="44" s="1"/>
  <c r="AC34" i="44"/>
  <c r="Z34" i="44"/>
  <c r="V34" i="44"/>
  <c r="R34" i="44"/>
  <c r="P34" i="44"/>
  <c r="T34" i="44" s="1"/>
  <c r="X34" i="44" s="1"/>
  <c r="AB34" i="44" s="1"/>
  <c r="N34" i="44"/>
  <c r="L34" i="44"/>
  <c r="K34" i="44"/>
  <c r="O34" i="44" s="1"/>
  <c r="S34" i="44" s="1"/>
  <c r="W34" i="44" s="1"/>
  <c r="AA34" i="44" s="1"/>
  <c r="AC33" i="44"/>
  <c r="Z33" i="44"/>
  <c r="V33" i="44"/>
  <c r="R33" i="44"/>
  <c r="P33" i="44"/>
  <c r="T33" i="44" s="1"/>
  <c r="X33" i="44" s="1"/>
  <c r="AB33" i="44" s="1"/>
  <c r="N33" i="44"/>
  <c r="L33" i="44"/>
  <c r="K33" i="44"/>
  <c r="O33" i="44" s="1"/>
  <c r="S33" i="44" s="1"/>
  <c r="W33" i="44" s="1"/>
  <c r="AA33" i="44" s="1"/>
  <c r="AC32" i="44"/>
  <c r="Z32" i="44"/>
  <c r="V32" i="44"/>
  <c r="R32" i="44"/>
  <c r="P32" i="44"/>
  <c r="T32" i="44" s="1"/>
  <c r="X32" i="44" s="1"/>
  <c r="AB32" i="44" s="1"/>
  <c r="N32" i="44"/>
  <c r="L32" i="44"/>
  <c r="K32" i="44"/>
  <c r="O32" i="44" s="1"/>
  <c r="S32" i="44" s="1"/>
  <c r="W32" i="44" s="1"/>
  <c r="AA32" i="44" s="1"/>
  <c r="AC31" i="44"/>
  <c r="Z31" i="44"/>
  <c r="V31" i="44"/>
  <c r="R31" i="44"/>
  <c r="P31" i="44"/>
  <c r="T31" i="44" s="1"/>
  <c r="X31" i="44" s="1"/>
  <c r="AB31" i="44" s="1"/>
  <c r="N31" i="44"/>
  <c r="L31" i="44"/>
  <c r="K31" i="44"/>
  <c r="O31" i="44" s="1"/>
  <c r="S31" i="44" s="1"/>
  <c r="W31" i="44" s="1"/>
  <c r="AA31" i="44" s="1"/>
  <c r="AC30" i="44"/>
  <c r="Z30" i="44"/>
  <c r="V30" i="44"/>
  <c r="R30" i="44"/>
  <c r="P30" i="44"/>
  <c r="T30" i="44" s="1"/>
  <c r="X30" i="44" s="1"/>
  <c r="AB30" i="44" s="1"/>
  <c r="N30" i="44"/>
  <c r="L30" i="44"/>
  <c r="K30" i="44"/>
  <c r="O30" i="44" s="1"/>
  <c r="S30" i="44" s="1"/>
  <c r="W30" i="44" s="1"/>
  <c r="AA30" i="44" s="1"/>
  <c r="AC29" i="44"/>
  <c r="Z29" i="44"/>
  <c r="V29" i="44"/>
  <c r="R29" i="44"/>
  <c r="P29" i="44"/>
  <c r="T29" i="44" s="1"/>
  <c r="X29" i="44" s="1"/>
  <c r="AB29" i="44" s="1"/>
  <c r="N29" i="44"/>
  <c r="L29" i="44"/>
  <c r="K29" i="44"/>
  <c r="O29" i="44" s="1"/>
  <c r="S29" i="44" s="1"/>
  <c r="W29" i="44" s="1"/>
  <c r="AA29" i="44" s="1"/>
  <c r="AC28" i="44"/>
  <c r="Z28" i="44"/>
  <c r="V28" i="44"/>
  <c r="R28" i="44"/>
  <c r="P28" i="44"/>
  <c r="T28" i="44" s="1"/>
  <c r="X28" i="44" s="1"/>
  <c r="AB28" i="44" s="1"/>
  <c r="N28" i="44"/>
  <c r="L28" i="44"/>
  <c r="K28" i="44"/>
  <c r="O28" i="44" s="1"/>
  <c r="S28" i="44" s="1"/>
  <c r="W28" i="44" s="1"/>
  <c r="AA28" i="44" s="1"/>
  <c r="AC27" i="44"/>
  <c r="Z27" i="44"/>
  <c r="V27" i="44"/>
  <c r="R27" i="44"/>
  <c r="P27" i="44"/>
  <c r="T27" i="44" s="1"/>
  <c r="X27" i="44" s="1"/>
  <c r="AB27" i="44" s="1"/>
  <c r="N27" i="44"/>
  <c r="L27" i="44"/>
  <c r="K27" i="44"/>
  <c r="O27" i="44" s="1"/>
  <c r="S27" i="44" s="1"/>
  <c r="W27" i="44" s="1"/>
  <c r="AA27" i="44" s="1"/>
  <c r="AC26" i="44"/>
  <c r="Z26" i="44"/>
  <c r="V26" i="44"/>
  <c r="R26" i="44"/>
  <c r="P26" i="44"/>
  <c r="T26" i="44" s="1"/>
  <c r="X26" i="44" s="1"/>
  <c r="AB26" i="44" s="1"/>
  <c r="N26" i="44"/>
  <c r="L26" i="44"/>
  <c r="K26" i="44"/>
  <c r="O26" i="44" s="1"/>
  <c r="S26" i="44" s="1"/>
  <c r="W26" i="44" s="1"/>
  <c r="AA26" i="44" s="1"/>
  <c r="AC25" i="44"/>
  <c r="Z25" i="44"/>
  <c r="V25" i="44"/>
  <c r="R25" i="44"/>
  <c r="P25" i="44"/>
  <c r="T25" i="44" s="1"/>
  <c r="X25" i="44" s="1"/>
  <c r="AB25" i="44" s="1"/>
  <c r="N25" i="44"/>
  <c r="L25" i="44"/>
  <c r="K25" i="44"/>
  <c r="O25" i="44" s="1"/>
  <c r="S25" i="44" s="1"/>
  <c r="W25" i="44" s="1"/>
  <c r="AA25" i="44" s="1"/>
  <c r="AC24" i="44"/>
  <c r="Z24" i="44"/>
  <c r="V24" i="44"/>
  <c r="R24" i="44"/>
  <c r="P24" i="44"/>
  <c r="T24" i="44" s="1"/>
  <c r="X24" i="44" s="1"/>
  <c r="AB24" i="44" s="1"/>
  <c r="N24" i="44"/>
  <c r="L24" i="44"/>
  <c r="K24" i="44"/>
  <c r="O24" i="44" s="1"/>
  <c r="S24" i="44" s="1"/>
  <c r="W24" i="44" s="1"/>
  <c r="AA24" i="44" s="1"/>
  <c r="AC23" i="44"/>
  <c r="Z23" i="44"/>
  <c r="V23" i="44"/>
  <c r="R23" i="44"/>
  <c r="P23" i="44"/>
  <c r="T23" i="44" s="1"/>
  <c r="X23" i="44" s="1"/>
  <c r="AB23" i="44" s="1"/>
  <c r="N23" i="44"/>
  <c r="L23" i="44"/>
  <c r="K23" i="44"/>
  <c r="O23" i="44" s="1"/>
  <c r="S23" i="44" s="1"/>
  <c r="W23" i="44" s="1"/>
  <c r="AA23" i="44" s="1"/>
  <c r="AC22" i="44"/>
  <c r="Z22" i="44"/>
  <c r="V22" i="44"/>
  <c r="R22" i="44"/>
  <c r="P22" i="44"/>
  <c r="T22" i="44" s="1"/>
  <c r="X22" i="44" s="1"/>
  <c r="AB22" i="44" s="1"/>
  <c r="N22" i="44"/>
  <c r="L22" i="44"/>
  <c r="K22" i="44"/>
  <c r="O22" i="44" s="1"/>
  <c r="S22" i="44" s="1"/>
  <c r="W22" i="44" s="1"/>
  <c r="AA22" i="44" s="1"/>
  <c r="AC21" i="44"/>
  <c r="Z21" i="44"/>
  <c r="V21" i="44"/>
  <c r="R21" i="44"/>
  <c r="P21" i="44"/>
  <c r="T21" i="44" s="1"/>
  <c r="X21" i="44" s="1"/>
  <c r="AB21" i="44" s="1"/>
  <c r="N21" i="44"/>
  <c r="L21" i="44"/>
  <c r="K21" i="44"/>
  <c r="O21" i="44" s="1"/>
  <c r="S21" i="44" s="1"/>
  <c r="W21" i="44" s="1"/>
  <c r="AA21" i="44" s="1"/>
  <c r="AC20" i="44"/>
  <c r="Z20" i="44"/>
  <c r="V20" i="44"/>
  <c r="R20" i="44"/>
  <c r="P20" i="44"/>
  <c r="T20" i="44" s="1"/>
  <c r="X20" i="44" s="1"/>
  <c r="AB20" i="44" s="1"/>
  <c r="N20" i="44"/>
  <c r="L20" i="44"/>
  <c r="K20" i="44"/>
  <c r="O20" i="44" s="1"/>
  <c r="S20" i="44" s="1"/>
  <c r="W20" i="44" s="1"/>
  <c r="AA20" i="44" s="1"/>
  <c r="AC19" i="44"/>
  <c r="Z19" i="44"/>
  <c r="V19" i="44"/>
  <c r="R19" i="44"/>
  <c r="P19" i="44"/>
  <c r="T19" i="44" s="1"/>
  <c r="X19" i="44" s="1"/>
  <c r="AB19" i="44" s="1"/>
  <c r="N19" i="44"/>
  <c r="L19" i="44"/>
  <c r="K19" i="44"/>
  <c r="O19" i="44" s="1"/>
  <c r="S19" i="44" s="1"/>
  <c r="W19" i="44" s="1"/>
  <c r="AA19" i="44" s="1"/>
  <c r="AC18" i="44"/>
  <c r="Z18" i="44"/>
  <c r="V18" i="44"/>
  <c r="R18" i="44"/>
  <c r="P18" i="44"/>
  <c r="T18" i="44" s="1"/>
  <c r="X18" i="44" s="1"/>
  <c r="AB18" i="44" s="1"/>
  <c r="N18" i="44"/>
  <c r="L18" i="44"/>
  <c r="K18" i="44"/>
  <c r="O18" i="44" s="1"/>
  <c r="S18" i="44" s="1"/>
  <c r="W18" i="44" s="1"/>
  <c r="AA18" i="44" s="1"/>
  <c r="AC17" i="44"/>
  <c r="Z17" i="44"/>
  <c r="V17" i="44"/>
  <c r="R17" i="44"/>
  <c r="P17" i="44"/>
  <c r="T17" i="44" s="1"/>
  <c r="X17" i="44" s="1"/>
  <c r="AB17" i="44" s="1"/>
  <c r="N17" i="44"/>
  <c r="L17" i="44"/>
  <c r="K17" i="44"/>
  <c r="O17" i="44" s="1"/>
  <c r="S17" i="44" s="1"/>
  <c r="W17" i="44" s="1"/>
  <c r="AA17" i="44" s="1"/>
  <c r="AC16" i="44"/>
  <c r="Z16" i="44"/>
  <c r="V16" i="44"/>
  <c r="R16" i="44"/>
  <c r="P16" i="44"/>
  <c r="T16" i="44" s="1"/>
  <c r="X16" i="44" s="1"/>
  <c r="AB16" i="44" s="1"/>
  <c r="N16" i="44"/>
  <c r="L16" i="44"/>
  <c r="K16" i="44"/>
  <c r="O16" i="44" s="1"/>
  <c r="S16" i="44" s="1"/>
  <c r="W16" i="44" s="1"/>
  <c r="AA16" i="44" s="1"/>
  <c r="AC15" i="44"/>
  <c r="Z15" i="44"/>
  <c r="V15" i="44"/>
  <c r="R15" i="44"/>
  <c r="P15" i="44"/>
  <c r="T15" i="44" s="1"/>
  <c r="X15" i="44" s="1"/>
  <c r="AB15" i="44" s="1"/>
  <c r="N15" i="44"/>
  <c r="L15" i="44"/>
  <c r="K15" i="44"/>
  <c r="O15" i="44" s="1"/>
  <c r="S15" i="44" s="1"/>
  <c r="W15" i="44" s="1"/>
  <c r="AA15" i="44" s="1"/>
  <c r="AC14" i="44"/>
  <c r="Z14" i="44"/>
  <c r="V14" i="44"/>
  <c r="R14" i="44"/>
  <c r="P14" i="44"/>
  <c r="T14" i="44" s="1"/>
  <c r="X14" i="44" s="1"/>
  <c r="AB14" i="44" s="1"/>
  <c r="N14" i="44"/>
  <c r="L14" i="44"/>
  <c r="K14" i="44"/>
  <c r="O14" i="44" s="1"/>
  <c r="S14" i="44" s="1"/>
  <c r="W14" i="44" s="1"/>
  <c r="AA14" i="44" s="1"/>
  <c r="AC13" i="44"/>
  <c r="Z13" i="44"/>
  <c r="V13" i="44"/>
  <c r="R13" i="44"/>
  <c r="P13" i="44"/>
  <c r="T13" i="44" s="1"/>
  <c r="X13" i="44" s="1"/>
  <c r="AB13" i="44" s="1"/>
  <c r="N13" i="44"/>
  <c r="L13" i="44"/>
  <c r="K13" i="44"/>
  <c r="O13" i="44" s="1"/>
  <c r="S13" i="44" s="1"/>
  <c r="W13" i="44" s="1"/>
  <c r="AA13" i="44" s="1"/>
  <c r="AC12" i="44"/>
  <c r="Z12" i="44"/>
  <c r="V12" i="44"/>
  <c r="R12" i="44"/>
  <c r="P12" i="44"/>
  <c r="T12" i="44" s="1"/>
  <c r="X12" i="44" s="1"/>
  <c r="AB12" i="44" s="1"/>
  <c r="N12" i="44"/>
  <c r="L12" i="44"/>
  <c r="K12" i="44"/>
  <c r="O12" i="44" s="1"/>
  <c r="S12" i="44" s="1"/>
  <c r="W12" i="44" s="1"/>
  <c r="AA12" i="44" s="1"/>
  <c r="AC11" i="44"/>
  <c r="Z11" i="44"/>
  <c r="V11" i="44"/>
  <c r="R11" i="44"/>
  <c r="P11" i="44"/>
  <c r="T11" i="44" s="1"/>
  <c r="X11" i="44" s="1"/>
  <c r="AB11" i="44" s="1"/>
  <c r="N11" i="44"/>
  <c r="L11" i="44"/>
  <c r="K11" i="44"/>
  <c r="O11" i="44" s="1"/>
  <c r="S11" i="44" s="1"/>
  <c r="W11" i="44" s="1"/>
  <c r="AA11" i="44" s="1"/>
  <c r="AC10" i="44"/>
  <c r="Z10" i="44"/>
  <c r="V10" i="44"/>
  <c r="R10" i="44"/>
  <c r="P10" i="44"/>
  <c r="T10" i="44" s="1"/>
  <c r="X10" i="44" s="1"/>
  <c r="AB10" i="44" s="1"/>
  <c r="N10" i="44"/>
  <c r="L10" i="44"/>
  <c r="K10" i="44"/>
  <c r="O10" i="44" s="1"/>
  <c r="S10" i="44" s="1"/>
  <c r="W10" i="44" s="1"/>
  <c r="AA10" i="44" s="1"/>
  <c r="AC9" i="44"/>
  <c r="Z9" i="44"/>
  <c r="V9" i="44"/>
  <c r="R9" i="44"/>
  <c r="P9" i="44"/>
  <c r="T9" i="44" s="1"/>
  <c r="X9" i="44" s="1"/>
  <c r="AB9" i="44" s="1"/>
  <c r="N9" i="44"/>
  <c r="L9" i="44"/>
  <c r="K9" i="44"/>
  <c r="O9" i="44" s="1"/>
  <c r="S9" i="44" s="1"/>
  <c r="W9" i="44" s="1"/>
  <c r="AA9" i="44" s="1"/>
  <c r="AC8" i="44"/>
  <c r="Z8" i="44"/>
  <c r="V8" i="44"/>
  <c r="R8" i="44"/>
  <c r="P8" i="44"/>
  <c r="T8" i="44" s="1"/>
  <c r="X8" i="44" s="1"/>
  <c r="AB8" i="44" s="1"/>
  <c r="N8" i="44"/>
  <c r="L8" i="44"/>
  <c r="K8" i="44"/>
  <c r="O8" i="44" s="1"/>
  <c r="S8" i="44" s="1"/>
  <c r="W8" i="44" s="1"/>
  <c r="AA8" i="44" s="1"/>
  <c r="AC7" i="44"/>
  <c r="Z7" i="44"/>
  <c r="V7" i="44"/>
  <c r="R7" i="44"/>
  <c r="P7" i="44"/>
  <c r="T7" i="44" s="1"/>
  <c r="X7" i="44" s="1"/>
  <c r="AB7" i="44" s="1"/>
  <c r="N7" i="44"/>
  <c r="L7" i="44"/>
  <c r="K7" i="44"/>
  <c r="O7" i="44" s="1"/>
  <c r="S7" i="44" s="1"/>
  <c r="W7" i="44" s="1"/>
  <c r="AA7" i="44" s="1"/>
  <c r="AC6" i="44"/>
  <c r="Z6" i="44"/>
  <c r="V6" i="44"/>
  <c r="R6" i="44"/>
  <c r="P6" i="44"/>
  <c r="T6" i="44" s="1"/>
  <c r="X6" i="44" s="1"/>
  <c r="AB6" i="44" s="1"/>
  <c r="N6" i="44"/>
  <c r="L6" i="44"/>
  <c r="K6" i="44"/>
  <c r="O6" i="44" s="1"/>
  <c r="S6" i="44" s="1"/>
  <c r="W6" i="44" s="1"/>
  <c r="AA6" i="44" s="1"/>
  <c r="AC5" i="44"/>
  <c r="Z5" i="44"/>
  <c r="V5" i="44"/>
  <c r="R5" i="44"/>
  <c r="P5" i="44"/>
  <c r="T5" i="44" s="1"/>
  <c r="X5" i="44" s="1"/>
  <c r="AB5" i="44" s="1"/>
  <c r="N5" i="44"/>
  <c r="L5" i="44"/>
  <c r="K5" i="44"/>
  <c r="O5" i="44" s="1"/>
  <c r="S5" i="44" s="1"/>
  <c r="W5" i="44" s="1"/>
  <c r="AA5" i="44" s="1"/>
  <c r="AC4" i="44"/>
  <c r="Z4" i="44"/>
  <c r="V4" i="44"/>
  <c r="R4" i="44"/>
  <c r="P4" i="44"/>
  <c r="T4" i="44" s="1"/>
  <c r="X4" i="44" s="1"/>
  <c r="AB4" i="44" s="1"/>
  <c r="N4" i="44"/>
  <c r="L4" i="44"/>
  <c r="K4" i="44"/>
  <c r="O4" i="44" s="1"/>
  <c r="S4" i="44" s="1"/>
  <c r="W4" i="44" s="1"/>
  <c r="AA4" i="44" s="1"/>
  <c r="AC3" i="44"/>
  <c r="Z3" i="44"/>
  <c r="V3" i="44"/>
  <c r="R3" i="44"/>
  <c r="P3" i="44"/>
  <c r="T3" i="44" s="1"/>
  <c r="X3" i="44" s="1"/>
  <c r="AB3" i="44" s="1"/>
  <c r="N3" i="44"/>
  <c r="L3" i="44"/>
  <c r="K3" i="44"/>
  <c r="O3" i="44" s="1"/>
  <c r="S3" i="44" s="1"/>
  <c r="W3" i="44" s="1"/>
  <c r="AA3" i="44" s="1"/>
  <c r="F175" i="57"/>
  <c r="F172" i="57"/>
  <c r="F168" i="57"/>
  <c r="F164" i="57"/>
  <c r="F162" i="57"/>
  <c r="F153" i="57"/>
  <c r="F151" i="57"/>
  <c r="F142" i="57"/>
  <c r="F141" i="57"/>
  <c r="F140" i="57"/>
  <c r="F138" i="57"/>
  <c r="F122" i="57"/>
  <c r="F121" i="57"/>
  <c r="F120" i="57"/>
  <c r="F119" i="57"/>
  <c r="F118" i="57"/>
  <c r="F117" i="57"/>
  <c r="F116" i="57"/>
  <c r="F115" i="57"/>
  <c r="F113" i="57"/>
  <c r="F89" i="57"/>
  <c r="F88" i="57"/>
  <c r="F87" i="57"/>
  <c r="F85" i="57"/>
  <c r="F68" i="57"/>
  <c r="F67" i="57"/>
  <c r="F66" i="57"/>
  <c r="F65" i="57"/>
  <c r="F64" i="57"/>
  <c r="F63" i="57"/>
  <c r="F62" i="57"/>
  <c r="F61" i="57"/>
  <c r="F60" i="57"/>
  <c r="F59" i="57"/>
  <c r="F58" i="57"/>
  <c r="F57" i="57"/>
  <c r="F56" i="57"/>
  <c r="F55" i="57"/>
  <c r="F54" i="57"/>
  <c r="F53" i="57"/>
  <c r="F52" i="57"/>
  <c r="F51" i="57"/>
  <c r="F50" i="57"/>
  <c r="F49" i="57"/>
  <c r="F48" i="57"/>
  <c r="F47" i="57"/>
  <c r="F46" i="57"/>
  <c r="F45" i="57"/>
  <c r="F44" i="57"/>
  <c r="F43" i="57"/>
  <c r="F42" i="57"/>
  <c r="F41" i="57"/>
  <c r="F40" i="57"/>
  <c r="F39" i="57"/>
  <c r="F38" i="57"/>
  <c r="F37" i="57"/>
  <c r="F36" i="57"/>
  <c r="F35" i="57"/>
  <c r="F34" i="57"/>
  <c r="F33" i="57"/>
  <c r="F32" i="57"/>
  <c r="F31" i="57"/>
  <c r="F30" i="57"/>
  <c r="F29" i="57"/>
  <c r="F28" i="57"/>
  <c r="F27" i="57"/>
  <c r="F26" i="57"/>
  <c r="F25" i="57"/>
  <c r="F24" i="57"/>
  <c r="F23" i="57"/>
  <c r="F22" i="57"/>
  <c r="F21" i="57"/>
  <c r="F20" i="57"/>
  <c r="F19" i="57"/>
  <c r="F18" i="57"/>
  <c r="F17" i="57"/>
  <c r="F16" i="57"/>
  <c r="F15" i="57"/>
  <c r="F14" i="57"/>
  <c r="F7" i="57"/>
  <c r="F6" i="57"/>
  <c r="F5" i="57"/>
  <c r="U34" i="54"/>
  <c r="U33" i="54"/>
  <c r="U30" i="54"/>
  <c r="U29" i="54"/>
  <c r="U27" i="54"/>
  <c r="U26" i="54"/>
  <c r="U25" i="54"/>
  <c r="U24" i="54"/>
  <c r="U23" i="54"/>
  <c r="U19" i="54"/>
  <c r="U18" i="54"/>
  <c r="U16" i="54"/>
  <c r="U15" i="54"/>
  <c r="U14" i="54"/>
  <c r="U13" i="54"/>
  <c r="U11" i="54"/>
  <c r="U10" i="54"/>
  <c r="U9" i="54"/>
  <c r="U6" i="54"/>
  <c r="U5" i="54"/>
  <c r="U4" i="54"/>
  <c r="T7" i="45" l="1"/>
  <c r="P14" i="88"/>
  <c r="R14" i="88" s="1"/>
  <c r="S14" i="88" s="1"/>
  <c r="T16" i="88" s="1"/>
  <c r="H16" i="69"/>
  <c r="L7" i="67" s="1"/>
  <c r="F68" i="70"/>
  <c r="T62" i="46"/>
  <c r="U62" i="46" s="1"/>
  <c r="P62" i="46"/>
  <c r="T63" i="46"/>
  <c r="U63" i="46" s="1"/>
  <c r="P63" i="46"/>
  <c r="P46" i="45"/>
  <c r="T46" i="45"/>
  <c r="U46" i="45" s="1"/>
  <c r="P39" i="45"/>
  <c r="T39" i="45"/>
  <c r="U39" i="45" s="1"/>
  <c r="P40" i="45"/>
  <c r="T40" i="45"/>
  <c r="U40" i="45" s="1"/>
  <c r="P41" i="45"/>
  <c r="T41" i="45"/>
  <c r="U41" i="45" s="1"/>
  <c r="P38" i="45"/>
  <c r="T38" i="45"/>
  <c r="U38" i="45" s="1"/>
  <c r="P43" i="45"/>
  <c r="T43" i="45"/>
  <c r="U43" i="45" s="1"/>
  <c r="P44" i="45"/>
  <c r="T44" i="45"/>
  <c r="U44" i="45" s="1"/>
  <c r="P37" i="45"/>
  <c r="T37" i="45"/>
  <c r="U37" i="45" s="1"/>
  <c r="P45" i="45"/>
  <c r="T45" i="45"/>
  <c r="U45" i="45" s="1"/>
  <c r="P42" i="45"/>
  <c r="T42" i="45"/>
  <c r="U42" i="45" s="1"/>
  <c r="P34" i="45"/>
  <c r="T34" i="45"/>
  <c r="U34" i="45" s="1"/>
  <c r="P30" i="45"/>
  <c r="T30" i="45"/>
  <c r="U30" i="45" s="1"/>
  <c r="P35" i="45"/>
  <c r="T35" i="45"/>
  <c r="U35" i="45" s="1"/>
  <c r="P33" i="45"/>
  <c r="T33" i="45"/>
  <c r="P29" i="45"/>
  <c r="T29" i="45"/>
  <c r="U29" i="45" s="1"/>
  <c r="P27" i="45"/>
  <c r="T27" i="45"/>
  <c r="P26" i="45"/>
  <c r="T26" i="45"/>
  <c r="P24" i="45"/>
  <c r="T24" i="45"/>
  <c r="U24" i="45" s="1"/>
  <c r="P20" i="45"/>
  <c r="T20" i="45"/>
  <c r="U20" i="45" s="1"/>
  <c r="P22" i="45"/>
  <c r="T22" i="45"/>
  <c r="P21" i="45"/>
  <c r="T21" i="45"/>
  <c r="P23" i="45"/>
  <c r="T23" i="45"/>
  <c r="U23" i="45" s="1"/>
  <c r="AG10" i="45"/>
  <c r="AH10" i="45" s="1"/>
  <c r="T13" i="87"/>
  <c r="P18" i="45"/>
  <c r="T18" i="45"/>
  <c r="U18" i="45" s="1"/>
  <c r="AF47" i="46"/>
  <c r="AG18" i="46"/>
  <c r="AH18" i="46" s="1"/>
  <c r="AG32" i="46"/>
  <c r="AH32" i="46" s="1"/>
  <c r="AG42" i="46"/>
  <c r="AH42" i="46" s="1"/>
  <c r="AF45" i="46"/>
  <c r="AF67" i="46"/>
  <c r="AG20" i="46"/>
  <c r="AH20" i="46" s="1"/>
  <c r="AG9" i="45"/>
  <c r="AH9" i="45" s="1"/>
  <c r="AG13" i="45"/>
  <c r="AH13" i="45" s="1"/>
  <c r="AG33" i="45"/>
  <c r="AH33" i="45" s="1"/>
  <c r="AG14" i="45"/>
  <c r="AH14" i="45" s="1"/>
  <c r="AG11" i="45"/>
  <c r="AH11" i="45" s="1"/>
  <c r="AG15" i="45"/>
  <c r="AH15" i="45" s="1"/>
  <c r="N50" i="45"/>
  <c r="N100" i="46"/>
  <c r="T13" i="85"/>
  <c r="T16" i="85"/>
  <c r="T16" i="87"/>
  <c r="T31" i="83"/>
  <c r="T16" i="83"/>
  <c r="T31" i="85"/>
  <c r="T13" i="86"/>
  <c r="T28" i="85"/>
  <c r="T22" i="86"/>
  <c r="T13" i="83"/>
  <c r="T28" i="83"/>
  <c r="T22" i="85"/>
  <c r="T22" i="83"/>
  <c r="T28" i="86"/>
  <c r="T22" i="87"/>
  <c r="P11" i="84"/>
  <c r="R11" i="84" s="1"/>
  <c r="S11" i="84" s="1"/>
  <c r="P23" i="84"/>
  <c r="R23" i="84" s="1"/>
  <c r="S23" i="84" s="1"/>
  <c r="P30" i="84"/>
  <c r="R30" i="84" s="1"/>
  <c r="S30" i="84" s="1"/>
  <c r="P29" i="84"/>
  <c r="R29" i="84" s="1"/>
  <c r="S29" i="84" s="1"/>
  <c r="P18" i="84"/>
  <c r="R18" i="84" s="1"/>
  <c r="S18" i="84" s="1"/>
  <c r="T13" i="88"/>
  <c r="T31" i="88"/>
  <c r="T28" i="88"/>
  <c r="P26" i="84"/>
  <c r="R26" i="84" s="1"/>
  <c r="S26" i="84" s="1"/>
  <c r="P7" i="84"/>
  <c r="R7" i="84" s="1"/>
  <c r="S7" i="84" s="1"/>
  <c r="T8" i="84" s="1"/>
  <c r="P20" i="84"/>
  <c r="R20" i="84" s="1"/>
  <c r="S20" i="84" s="1"/>
  <c r="P27" i="84"/>
  <c r="R27" i="84" s="1"/>
  <c r="S27" i="84" s="1"/>
  <c r="P12" i="84"/>
  <c r="R12" i="84" s="1"/>
  <c r="S12" i="84" s="1"/>
  <c r="T28" i="87"/>
  <c r="P24" i="84"/>
  <c r="R24" i="84" s="1"/>
  <c r="S24" i="84" s="1"/>
  <c r="P19" i="84"/>
  <c r="R19" i="84" s="1"/>
  <c r="S19" i="84" s="1"/>
  <c r="P15" i="84"/>
  <c r="R15" i="84" s="1"/>
  <c r="S15" i="84" s="1"/>
  <c r="P5" i="84"/>
  <c r="R5" i="84" s="1"/>
  <c r="S5" i="84" s="1"/>
  <c r="T6" i="84" s="1"/>
  <c r="P14" i="84"/>
  <c r="R14" i="84" s="1"/>
  <c r="S14" i="84" s="1"/>
  <c r="P17" i="84"/>
  <c r="R17" i="84" s="1"/>
  <c r="S17" i="84" s="1"/>
  <c r="P25" i="84"/>
  <c r="R25" i="84" s="1"/>
  <c r="S25" i="84" s="1"/>
  <c r="P21" i="84"/>
  <c r="R21" i="84" s="1"/>
  <c r="S21" i="84" s="1"/>
  <c r="T22" i="88"/>
  <c r="F4" i="70"/>
  <c r="F127" i="70" s="1"/>
  <c r="L6" i="67" s="1"/>
  <c r="G11" i="62"/>
  <c r="N4" i="61" s="1"/>
  <c r="AD45" i="46"/>
  <c r="AD49" i="46"/>
  <c r="AD80" i="46"/>
  <c r="AF22" i="46"/>
  <c r="AD67" i="46"/>
  <c r="AF21" i="46"/>
  <c r="AD50" i="46"/>
  <c r="AD38" i="46"/>
  <c r="AD58" i="46"/>
  <c r="AD47" i="46"/>
  <c r="AD98" i="46"/>
  <c r="T97" i="46"/>
  <c r="U97" i="46" s="1"/>
  <c r="P97" i="46"/>
  <c r="T81" i="46"/>
  <c r="U81" i="46" s="1"/>
  <c r="P81" i="46"/>
  <c r="P89" i="46"/>
  <c r="T89" i="46"/>
  <c r="U89" i="46" s="1"/>
  <c r="T95" i="46"/>
  <c r="U95" i="46" s="1"/>
  <c r="P95" i="46"/>
  <c r="T80" i="46"/>
  <c r="U80" i="46" s="1"/>
  <c r="W80" i="46"/>
  <c r="P80" i="46"/>
  <c r="T87" i="46"/>
  <c r="U87" i="46" s="1"/>
  <c r="P87" i="46"/>
  <c r="T96" i="46"/>
  <c r="U96" i="46" s="1"/>
  <c r="P96" i="46"/>
  <c r="T84" i="46"/>
  <c r="U84" i="46" s="1"/>
  <c r="P84" i="46"/>
  <c r="P92" i="46"/>
  <c r="T92" i="46"/>
  <c r="U92" i="46" s="1"/>
  <c r="T88" i="46"/>
  <c r="U88" i="46" s="1"/>
  <c r="P88" i="46"/>
  <c r="T85" i="46"/>
  <c r="U85" i="46" s="1"/>
  <c r="P85" i="46"/>
  <c r="T93" i="46"/>
  <c r="U93" i="46" s="1"/>
  <c r="P93" i="46"/>
  <c r="P98" i="46"/>
  <c r="T98" i="46"/>
  <c r="U98" i="46" s="1"/>
  <c r="W98" i="46"/>
  <c r="T86" i="46"/>
  <c r="U86" i="46" s="1"/>
  <c r="P86" i="46"/>
  <c r="T82" i="46"/>
  <c r="U82" i="46" s="1"/>
  <c r="P82" i="46"/>
  <c r="T94" i="46"/>
  <c r="U94" i="46" s="1"/>
  <c r="P94" i="46"/>
  <c r="T90" i="46"/>
  <c r="U90" i="46" s="1"/>
  <c r="P90" i="46"/>
  <c r="AG98" i="46"/>
  <c r="AH98" i="46" s="1"/>
  <c r="AM98" i="46"/>
  <c r="AN98" i="46" s="1"/>
  <c r="T83" i="46"/>
  <c r="U83" i="46" s="1"/>
  <c r="P83" i="46"/>
  <c r="T91" i="46"/>
  <c r="U91" i="46" s="1"/>
  <c r="P91" i="46"/>
  <c r="P64" i="46"/>
  <c r="T64" i="46"/>
  <c r="U64" i="46" s="1"/>
  <c r="P75" i="46"/>
  <c r="T75" i="46"/>
  <c r="U75" i="46" s="1"/>
  <c r="T77" i="46"/>
  <c r="U77" i="46" s="1"/>
  <c r="X77" i="46"/>
  <c r="AO77" i="46" s="1"/>
  <c r="P77" i="46"/>
  <c r="T69" i="46"/>
  <c r="U69" i="46" s="1"/>
  <c r="X69" i="46"/>
  <c r="AO69" i="46" s="1"/>
  <c r="P69" i="46"/>
  <c r="T67" i="46"/>
  <c r="U67" i="46" s="1"/>
  <c r="P67" i="46"/>
  <c r="W67" i="46"/>
  <c r="T73" i="46"/>
  <c r="U73" i="46" s="1"/>
  <c r="P73" i="46"/>
  <c r="P68" i="46"/>
  <c r="T68" i="46"/>
  <c r="U68" i="46" s="1"/>
  <c r="T71" i="46"/>
  <c r="U71" i="46" s="1"/>
  <c r="P71" i="46"/>
  <c r="T74" i="46"/>
  <c r="U74" i="46" s="1"/>
  <c r="X74" i="46"/>
  <c r="AO74" i="46" s="1"/>
  <c r="P74" i="46"/>
  <c r="T66" i="46"/>
  <c r="U66" i="46" s="1"/>
  <c r="P66" i="46"/>
  <c r="T72" i="46"/>
  <c r="U72" i="46" s="1"/>
  <c r="P72" i="46"/>
  <c r="T78" i="46"/>
  <c r="U78" i="46" s="1"/>
  <c r="P78" i="46"/>
  <c r="T70" i="46"/>
  <c r="U70" i="46" s="1"/>
  <c r="P70" i="46"/>
  <c r="T76" i="46"/>
  <c r="U76" i="46" s="1"/>
  <c r="X76" i="46"/>
  <c r="AO76" i="46" s="1"/>
  <c r="P76" i="46"/>
  <c r="T57" i="46"/>
  <c r="U57" i="46" s="1"/>
  <c r="X57" i="46"/>
  <c r="AO57" i="46" s="1"/>
  <c r="P57" i="46"/>
  <c r="T60" i="46"/>
  <c r="U60" i="46" s="1"/>
  <c r="P60" i="46"/>
  <c r="T58" i="46"/>
  <c r="U58" i="46" s="1"/>
  <c r="W58" i="46"/>
  <c r="P58" i="46"/>
  <c r="T59" i="46"/>
  <c r="U59" i="46" s="1"/>
  <c r="X59" i="46"/>
  <c r="AO59" i="46" s="1"/>
  <c r="P59" i="46"/>
  <c r="T56" i="46"/>
  <c r="U56" i="46" s="1"/>
  <c r="P56" i="46"/>
  <c r="T52" i="46"/>
  <c r="U52" i="46" s="1"/>
  <c r="P52" i="46"/>
  <c r="AG49" i="46"/>
  <c r="AH49" i="46" s="1"/>
  <c r="AM49" i="46"/>
  <c r="AN49" i="46" s="1"/>
  <c r="P50" i="46"/>
  <c r="T50" i="46"/>
  <c r="U50" i="46" s="1"/>
  <c r="W50" i="46"/>
  <c r="T53" i="46"/>
  <c r="U53" i="46" s="1"/>
  <c r="P53" i="46"/>
  <c r="AG50" i="46"/>
  <c r="AH50" i="46" s="1"/>
  <c r="AM50" i="46"/>
  <c r="AN50" i="46" s="1"/>
  <c r="T51" i="46"/>
  <c r="U51" i="46" s="1"/>
  <c r="P51" i="46"/>
  <c r="T54" i="46"/>
  <c r="U54" i="46" s="1"/>
  <c r="P54" i="46"/>
  <c r="T49" i="46"/>
  <c r="U49" i="46" s="1"/>
  <c r="W49" i="46"/>
  <c r="P49" i="46"/>
  <c r="T45" i="46"/>
  <c r="U45" i="46" s="1"/>
  <c r="W45" i="46"/>
  <c r="P45" i="46"/>
  <c r="T37" i="46"/>
  <c r="U37" i="46" s="1"/>
  <c r="P37" i="46"/>
  <c r="T41" i="46"/>
  <c r="U41" i="46" s="1"/>
  <c r="P41" i="46"/>
  <c r="X41" i="46"/>
  <c r="AO41" i="46" s="1"/>
  <c r="T38" i="46"/>
  <c r="U38" i="46" s="1"/>
  <c r="W38" i="46"/>
  <c r="P38" i="46"/>
  <c r="P35" i="46"/>
  <c r="T35" i="46"/>
  <c r="U35" i="46" s="1"/>
  <c r="P42" i="46"/>
  <c r="T42" i="46"/>
  <c r="U42" i="46" s="1"/>
  <c r="T36" i="46"/>
  <c r="U36" i="46" s="1"/>
  <c r="P36" i="46"/>
  <c r="T33" i="46"/>
  <c r="U33" i="46" s="1"/>
  <c r="P33" i="46"/>
  <c r="T40" i="46"/>
  <c r="U40" i="46" s="1"/>
  <c r="P40" i="46"/>
  <c r="T34" i="46"/>
  <c r="U34" i="46" s="1"/>
  <c r="P34" i="46"/>
  <c r="P43" i="46"/>
  <c r="T43" i="46"/>
  <c r="U43" i="46" s="1"/>
  <c r="T46" i="46"/>
  <c r="U46" i="46" s="1"/>
  <c r="P46" i="46"/>
  <c r="T47" i="46"/>
  <c r="U47" i="46" s="1"/>
  <c r="P47" i="46"/>
  <c r="T44" i="46"/>
  <c r="U44" i="46" s="1"/>
  <c r="P44" i="46"/>
  <c r="T32" i="46"/>
  <c r="U32" i="46" s="1"/>
  <c r="P32" i="46"/>
  <c r="T39" i="46"/>
  <c r="U39" i="46" s="1"/>
  <c r="P39" i="46"/>
  <c r="P29" i="46"/>
  <c r="T29" i="46"/>
  <c r="U29" i="46" s="1"/>
  <c r="T30" i="46"/>
  <c r="U30" i="46" s="1"/>
  <c r="P30" i="46"/>
  <c r="T27" i="46"/>
  <c r="U27" i="46" s="1"/>
  <c r="X27" i="46"/>
  <c r="AO27" i="46" s="1"/>
  <c r="P27" i="46"/>
  <c r="T28" i="46"/>
  <c r="U28" i="46" s="1"/>
  <c r="P28" i="46"/>
  <c r="T10" i="46"/>
  <c r="U10" i="46" s="1"/>
  <c r="P10" i="46"/>
  <c r="T20" i="46"/>
  <c r="U20" i="46" s="1"/>
  <c r="P20" i="46"/>
  <c r="T17" i="46"/>
  <c r="U17" i="46" s="1"/>
  <c r="P17" i="46"/>
  <c r="T25" i="46"/>
  <c r="U25" i="46" s="1"/>
  <c r="X25" i="46"/>
  <c r="AO25" i="46" s="1"/>
  <c r="P25" i="46"/>
  <c r="T14" i="46"/>
  <c r="U14" i="46" s="1"/>
  <c r="P14" i="46"/>
  <c r="P19" i="46"/>
  <c r="T19" i="46"/>
  <c r="U19" i="46" s="1"/>
  <c r="P22" i="46"/>
  <c r="T22" i="46"/>
  <c r="U22" i="46" s="1"/>
  <c r="T23" i="46"/>
  <c r="U23" i="46" s="1"/>
  <c r="P23" i="46"/>
  <c r="P11" i="46"/>
  <c r="T11" i="46"/>
  <c r="U11" i="46" s="1"/>
  <c r="T18" i="46"/>
  <c r="U18" i="46" s="1"/>
  <c r="P18" i="46"/>
  <c r="T21" i="46"/>
  <c r="U21" i="46" s="1"/>
  <c r="X21" i="46"/>
  <c r="P21" i="46"/>
  <c r="P8" i="46"/>
  <c r="T8" i="46"/>
  <c r="U8" i="46" s="1"/>
  <c r="P12" i="46"/>
  <c r="T12" i="46"/>
  <c r="U12" i="46" s="1"/>
  <c r="P15" i="46"/>
  <c r="T15" i="46"/>
  <c r="U15" i="46" s="1"/>
  <c r="T24" i="46"/>
  <c r="U24" i="46" s="1"/>
  <c r="P24" i="46"/>
  <c r="T9" i="46"/>
  <c r="U9" i="46" s="1"/>
  <c r="P9" i="46"/>
  <c r="T13" i="46"/>
  <c r="U13" i="46" s="1"/>
  <c r="P13" i="46"/>
  <c r="T16" i="46"/>
  <c r="U16" i="46" s="1"/>
  <c r="P16" i="46"/>
  <c r="AG44" i="45"/>
  <c r="AH44" i="45" s="1"/>
  <c r="AG38" i="45"/>
  <c r="AH38" i="45" s="1"/>
  <c r="AG42" i="45"/>
  <c r="AH42" i="45" s="1"/>
  <c r="AG46" i="45"/>
  <c r="AH46" i="45" s="1"/>
  <c r="AG39" i="45"/>
  <c r="AH39" i="45" s="1"/>
  <c r="AG37" i="45"/>
  <c r="AH37" i="45" s="1"/>
  <c r="AG41" i="45"/>
  <c r="AH41" i="45" s="1"/>
  <c r="AG45" i="45"/>
  <c r="AH45" i="45" s="1"/>
  <c r="P31" i="45"/>
  <c r="AG34" i="45"/>
  <c r="AH34" i="45" s="1"/>
  <c r="AG35" i="45"/>
  <c r="AH35" i="45" s="1"/>
  <c r="AG29" i="45"/>
  <c r="AH29" i="45" s="1"/>
  <c r="P32" i="45"/>
  <c r="AG27" i="45"/>
  <c r="AH27" i="45" s="1"/>
  <c r="AG22" i="45"/>
  <c r="AH22" i="45" s="1"/>
  <c r="P19" i="45"/>
  <c r="P7" i="45"/>
  <c r="V7" i="45"/>
  <c r="J51" i="57"/>
  <c r="K51" i="57"/>
  <c r="O51" i="57"/>
  <c r="I51" i="57"/>
  <c r="N51" i="57"/>
  <c r="L51" i="57"/>
  <c r="M51" i="57"/>
  <c r="M113" i="57"/>
  <c r="L113" i="57"/>
  <c r="O113" i="57"/>
  <c r="N113" i="57"/>
  <c r="K113" i="57"/>
  <c r="I113" i="57"/>
  <c r="J113" i="57"/>
  <c r="O44" i="57"/>
  <c r="J44" i="57"/>
  <c r="N44" i="57"/>
  <c r="M44" i="57"/>
  <c r="L44" i="57"/>
  <c r="I44" i="57"/>
  <c r="K44" i="57"/>
  <c r="O66" i="57"/>
  <c r="J66" i="57"/>
  <c r="N66" i="57"/>
  <c r="M66" i="57"/>
  <c r="L66" i="57"/>
  <c r="K66" i="57"/>
  <c r="I66" i="57"/>
  <c r="J15" i="57"/>
  <c r="O15" i="57"/>
  <c r="M15" i="57"/>
  <c r="L15" i="57"/>
  <c r="N15" i="57"/>
  <c r="I15" i="57"/>
  <c r="K15" i="57"/>
  <c r="I37" i="57"/>
  <c r="N37" i="57"/>
  <c r="M37" i="57"/>
  <c r="J37" i="57"/>
  <c r="O37" i="57"/>
  <c r="L37" i="57"/>
  <c r="K37" i="57"/>
  <c r="J122" i="57"/>
  <c r="O122" i="57"/>
  <c r="N122" i="57"/>
  <c r="M122" i="57"/>
  <c r="I122" i="57"/>
  <c r="L122" i="57"/>
  <c r="K122" i="57"/>
  <c r="M23" i="57"/>
  <c r="N23" i="57"/>
  <c r="O23" i="57"/>
  <c r="K23" i="57"/>
  <c r="I23" i="57"/>
  <c r="J23" i="57"/>
  <c r="L23" i="57"/>
  <c r="M45" i="57"/>
  <c r="L45" i="57"/>
  <c r="K45" i="57"/>
  <c r="O45" i="57"/>
  <c r="I45" i="57"/>
  <c r="N45" i="57"/>
  <c r="J45" i="57"/>
  <c r="I16" i="57"/>
  <c r="J16" i="57"/>
  <c r="O16" i="57"/>
  <c r="N16" i="57"/>
  <c r="M16" i="57"/>
  <c r="L16" i="57"/>
  <c r="K16" i="57"/>
  <c r="I138" i="57"/>
  <c r="N138" i="57"/>
  <c r="J138" i="57"/>
  <c r="L138" i="57"/>
  <c r="M138" i="57"/>
  <c r="O138" i="57"/>
  <c r="K138" i="57"/>
  <c r="N31" i="57"/>
  <c r="M31" i="57"/>
  <c r="L31" i="57"/>
  <c r="J31" i="57"/>
  <c r="I31" i="57"/>
  <c r="O31" i="57"/>
  <c r="K31" i="57"/>
  <c r="K24" i="57"/>
  <c r="J24" i="57"/>
  <c r="I24" i="57"/>
  <c r="O24" i="57"/>
  <c r="N24" i="57"/>
  <c r="L24" i="57"/>
  <c r="M24" i="57"/>
  <c r="L46" i="57"/>
  <c r="N46" i="57"/>
  <c r="M46" i="57"/>
  <c r="K46" i="57"/>
  <c r="I46" i="57"/>
  <c r="J46" i="57"/>
  <c r="O46" i="57"/>
  <c r="I164" i="57"/>
  <c r="O164" i="57"/>
  <c r="N164" i="57"/>
  <c r="J164" i="57"/>
  <c r="M164" i="57"/>
  <c r="L164" i="57"/>
  <c r="K164" i="57"/>
  <c r="I39" i="57"/>
  <c r="M39" i="57"/>
  <c r="K39" i="57"/>
  <c r="L39" i="57"/>
  <c r="O39" i="57"/>
  <c r="J39" i="57"/>
  <c r="N39" i="57"/>
  <c r="I61" i="57"/>
  <c r="K61" i="57"/>
  <c r="M61" i="57"/>
  <c r="O61" i="57"/>
  <c r="N61" i="57"/>
  <c r="L61" i="57"/>
  <c r="J61" i="57"/>
  <c r="L32" i="57"/>
  <c r="J32" i="57"/>
  <c r="I32" i="57"/>
  <c r="O32" i="57"/>
  <c r="N32" i="57"/>
  <c r="M32" i="57"/>
  <c r="K32" i="57"/>
  <c r="L54" i="57"/>
  <c r="O54" i="57"/>
  <c r="N54" i="57"/>
  <c r="M54" i="57"/>
  <c r="K54" i="57"/>
  <c r="J54" i="57"/>
  <c r="I54" i="57"/>
  <c r="L117" i="57"/>
  <c r="N117" i="57"/>
  <c r="M117" i="57"/>
  <c r="J117" i="57"/>
  <c r="K117" i="57"/>
  <c r="I117" i="57"/>
  <c r="O117" i="57"/>
  <c r="M140" i="57"/>
  <c r="L140" i="57"/>
  <c r="K140" i="57"/>
  <c r="I140" i="57"/>
  <c r="O140" i="57"/>
  <c r="J140" i="57"/>
  <c r="N140" i="57"/>
  <c r="K29" i="57"/>
  <c r="N29" i="57"/>
  <c r="M29" i="57"/>
  <c r="L29" i="57"/>
  <c r="J29" i="57"/>
  <c r="O29" i="57"/>
  <c r="I29" i="57"/>
  <c r="O22" i="57"/>
  <c r="J22" i="57"/>
  <c r="N22" i="57"/>
  <c r="M22" i="57"/>
  <c r="K22" i="57"/>
  <c r="L22" i="57"/>
  <c r="I22" i="57"/>
  <c r="O153" i="57"/>
  <c r="J153" i="57"/>
  <c r="N153" i="57"/>
  <c r="M153" i="57"/>
  <c r="I153" i="57"/>
  <c r="L153" i="57"/>
  <c r="K153" i="57"/>
  <c r="O59" i="57"/>
  <c r="N59" i="57"/>
  <c r="M59" i="57"/>
  <c r="J59" i="57"/>
  <c r="I59" i="57"/>
  <c r="L59" i="57"/>
  <c r="K59" i="57"/>
  <c r="J30" i="57"/>
  <c r="I30" i="57"/>
  <c r="N30" i="57"/>
  <c r="L30" i="57"/>
  <c r="K30" i="57"/>
  <c r="O30" i="57"/>
  <c r="M30" i="57"/>
  <c r="J52" i="57"/>
  <c r="N52" i="57"/>
  <c r="K52" i="57"/>
  <c r="I52" i="57"/>
  <c r="O52" i="57"/>
  <c r="M52" i="57"/>
  <c r="L52" i="57"/>
  <c r="N115" i="57"/>
  <c r="L115" i="57"/>
  <c r="M115" i="57"/>
  <c r="K115" i="57"/>
  <c r="J115" i="57"/>
  <c r="I115" i="57"/>
  <c r="O115" i="57"/>
  <c r="M67" i="57"/>
  <c r="O67" i="57"/>
  <c r="L67" i="57"/>
  <c r="I67" i="57"/>
  <c r="N67" i="57"/>
  <c r="K67" i="57"/>
  <c r="J67" i="57"/>
  <c r="M162" i="57"/>
  <c r="I162" i="57"/>
  <c r="J162" i="57"/>
  <c r="N162" i="57"/>
  <c r="L162" i="57"/>
  <c r="O162" i="57"/>
  <c r="K162" i="57"/>
  <c r="I38" i="57"/>
  <c r="N38" i="57"/>
  <c r="L38" i="57"/>
  <c r="M38" i="57"/>
  <c r="K38" i="57"/>
  <c r="O38" i="57"/>
  <c r="J38" i="57"/>
  <c r="I60" i="57"/>
  <c r="N60" i="57"/>
  <c r="O60" i="57"/>
  <c r="L60" i="57"/>
  <c r="K60" i="57"/>
  <c r="J60" i="57"/>
  <c r="M60" i="57"/>
  <c r="N53" i="57"/>
  <c r="M53" i="57"/>
  <c r="L53" i="57"/>
  <c r="J53" i="57"/>
  <c r="I53" i="57"/>
  <c r="O53" i="57"/>
  <c r="K53" i="57"/>
  <c r="N116" i="57"/>
  <c r="M116" i="57"/>
  <c r="L116" i="57"/>
  <c r="O116" i="57"/>
  <c r="J116" i="57"/>
  <c r="K116" i="57"/>
  <c r="I116" i="57"/>
  <c r="N68" i="57"/>
  <c r="L68" i="57"/>
  <c r="I68" i="57"/>
  <c r="M68" i="57"/>
  <c r="K68" i="57"/>
  <c r="J68" i="57"/>
  <c r="O68" i="57"/>
  <c r="I17" i="57"/>
  <c r="N17" i="57"/>
  <c r="M17" i="57"/>
  <c r="L17" i="57"/>
  <c r="K17" i="57"/>
  <c r="J17" i="57"/>
  <c r="O17" i="57"/>
  <c r="J25" i="57"/>
  <c r="O25" i="57"/>
  <c r="M25" i="57"/>
  <c r="I25" i="57"/>
  <c r="N25" i="57"/>
  <c r="L25" i="57"/>
  <c r="K25" i="57"/>
  <c r="J47" i="57"/>
  <c r="O47" i="57"/>
  <c r="N47" i="57"/>
  <c r="K47" i="57"/>
  <c r="M47" i="57"/>
  <c r="L47" i="57"/>
  <c r="I47" i="57"/>
  <c r="J85" i="57"/>
  <c r="O85" i="57"/>
  <c r="I85" i="57"/>
  <c r="M85" i="57"/>
  <c r="K85" i="57"/>
  <c r="N85" i="57"/>
  <c r="L85" i="57"/>
  <c r="J168" i="57"/>
  <c r="O168" i="57"/>
  <c r="N168" i="57"/>
  <c r="M168" i="57"/>
  <c r="K168" i="57"/>
  <c r="H168" i="74" s="1"/>
  <c r="L168" i="57"/>
  <c r="I168" i="57"/>
  <c r="M18" i="57"/>
  <c r="L18" i="57"/>
  <c r="O18" i="57"/>
  <c r="N18" i="57"/>
  <c r="K18" i="57"/>
  <c r="J18" i="57"/>
  <c r="I18" i="57"/>
  <c r="M40" i="57"/>
  <c r="L40" i="57"/>
  <c r="K40" i="57"/>
  <c r="N40" i="57"/>
  <c r="J40" i="57"/>
  <c r="O40" i="57"/>
  <c r="I40" i="57"/>
  <c r="M62" i="57"/>
  <c r="L62" i="57"/>
  <c r="K62" i="57"/>
  <c r="I62" i="57"/>
  <c r="N62" i="57"/>
  <c r="J62" i="57"/>
  <c r="O62" i="57"/>
  <c r="I5" i="57"/>
  <c r="K5" i="57"/>
  <c r="O5" i="57"/>
  <c r="N5" i="57"/>
  <c r="J5" i="57"/>
  <c r="M5" i="57"/>
  <c r="L5" i="57"/>
  <c r="O33" i="57"/>
  <c r="M33" i="57"/>
  <c r="I33" i="57"/>
  <c r="L33" i="57"/>
  <c r="K33" i="57"/>
  <c r="N33" i="57"/>
  <c r="J33" i="57"/>
  <c r="O55" i="57"/>
  <c r="M55" i="57"/>
  <c r="J55" i="57"/>
  <c r="N55" i="57"/>
  <c r="K55" i="57"/>
  <c r="I55" i="57"/>
  <c r="L55" i="57"/>
  <c r="M118" i="57"/>
  <c r="K118" i="57"/>
  <c r="L118" i="57"/>
  <c r="J118" i="57"/>
  <c r="O118" i="57"/>
  <c r="I118" i="57"/>
  <c r="N118" i="57"/>
  <c r="J26" i="57"/>
  <c r="I26" i="57"/>
  <c r="O26" i="57"/>
  <c r="N26" i="57"/>
  <c r="M26" i="57"/>
  <c r="L26" i="57"/>
  <c r="K26" i="57"/>
  <c r="O48" i="57"/>
  <c r="N48" i="57"/>
  <c r="M48" i="57"/>
  <c r="L48" i="57"/>
  <c r="K48" i="57"/>
  <c r="J48" i="57"/>
  <c r="I48" i="57"/>
  <c r="O87" i="57"/>
  <c r="N87" i="57"/>
  <c r="L87" i="57"/>
  <c r="M87" i="57"/>
  <c r="K87" i="57"/>
  <c r="J87" i="57"/>
  <c r="I87" i="57"/>
  <c r="O172" i="57"/>
  <c r="N172" i="57"/>
  <c r="L172" i="57"/>
  <c r="K172" i="57"/>
  <c r="M172" i="57"/>
  <c r="J172" i="57"/>
  <c r="I172" i="57"/>
  <c r="K19" i="57"/>
  <c r="M19" i="57"/>
  <c r="L19" i="57"/>
  <c r="I19" i="57"/>
  <c r="O19" i="57"/>
  <c r="N19" i="57"/>
  <c r="J19" i="57"/>
  <c r="K41" i="57"/>
  <c r="O41" i="57"/>
  <c r="M41" i="57"/>
  <c r="N41" i="57"/>
  <c r="L41" i="57"/>
  <c r="J41" i="57"/>
  <c r="I41" i="57"/>
  <c r="K63" i="57"/>
  <c r="I63" i="57"/>
  <c r="M63" i="57"/>
  <c r="O63" i="57"/>
  <c r="L63" i="57"/>
  <c r="N63" i="57"/>
  <c r="J63" i="57"/>
  <c r="K141" i="57"/>
  <c r="I141" i="57"/>
  <c r="J141" i="57"/>
  <c r="O141" i="57"/>
  <c r="N141" i="57"/>
  <c r="L141" i="57"/>
  <c r="M141" i="57"/>
  <c r="I6" i="57"/>
  <c r="N6" i="57"/>
  <c r="M6" i="57"/>
  <c r="K6" i="57"/>
  <c r="L6" i="57"/>
  <c r="J6" i="57"/>
  <c r="O6" i="57"/>
  <c r="L34" i="57"/>
  <c r="K34" i="57"/>
  <c r="M34" i="57"/>
  <c r="I34" i="57"/>
  <c r="N34" i="57"/>
  <c r="J34" i="57"/>
  <c r="O34" i="57"/>
  <c r="J56" i="57"/>
  <c r="I56" i="57"/>
  <c r="O56" i="57"/>
  <c r="N56" i="57"/>
  <c r="L56" i="57"/>
  <c r="M56" i="57"/>
  <c r="K56" i="57"/>
  <c r="J119" i="57"/>
  <c r="N119" i="57"/>
  <c r="M119" i="57"/>
  <c r="O119" i="57"/>
  <c r="I119" i="57"/>
  <c r="L119" i="57"/>
  <c r="K119" i="57"/>
  <c r="O27" i="57"/>
  <c r="L27" i="57"/>
  <c r="K27" i="57"/>
  <c r="J27" i="57"/>
  <c r="N27" i="57"/>
  <c r="M27" i="57"/>
  <c r="I27" i="57"/>
  <c r="O49" i="57"/>
  <c r="L49" i="57"/>
  <c r="K49" i="57"/>
  <c r="N49" i="57"/>
  <c r="M49" i="57"/>
  <c r="J49" i="57"/>
  <c r="I49" i="57"/>
  <c r="O88" i="57"/>
  <c r="L88" i="57"/>
  <c r="K88" i="57"/>
  <c r="N88" i="57"/>
  <c r="M88" i="57"/>
  <c r="J88" i="57"/>
  <c r="I88" i="57"/>
  <c r="O175" i="57"/>
  <c r="L175" i="57"/>
  <c r="K175" i="57"/>
  <c r="N175" i="57"/>
  <c r="M175" i="57"/>
  <c r="J175" i="57"/>
  <c r="I175" i="57"/>
  <c r="I20" i="57"/>
  <c r="L20" i="57"/>
  <c r="O20" i="57"/>
  <c r="N20" i="57"/>
  <c r="M20" i="57"/>
  <c r="K20" i="57"/>
  <c r="J20" i="57"/>
  <c r="I42" i="57"/>
  <c r="J42" i="57"/>
  <c r="N42" i="57"/>
  <c r="O42" i="57"/>
  <c r="M42" i="57"/>
  <c r="L42" i="57"/>
  <c r="K42" i="57"/>
  <c r="I64" i="57"/>
  <c r="O64" i="57"/>
  <c r="N64" i="57"/>
  <c r="M64" i="57"/>
  <c r="J64" i="57"/>
  <c r="L64" i="57"/>
  <c r="K64" i="57"/>
  <c r="I142" i="57"/>
  <c r="O142" i="57"/>
  <c r="N142" i="57"/>
  <c r="M142" i="57"/>
  <c r="L142" i="57"/>
  <c r="J142" i="57"/>
  <c r="K142" i="57"/>
  <c r="O7" i="57"/>
  <c r="M7" i="57"/>
  <c r="K7" i="57"/>
  <c r="L7" i="57"/>
  <c r="J7" i="57"/>
  <c r="I7" i="57"/>
  <c r="N7" i="57"/>
  <c r="O35" i="57"/>
  <c r="N35" i="57"/>
  <c r="I35" i="57"/>
  <c r="J35" i="57"/>
  <c r="L35" i="57"/>
  <c r="K35" i="57"/>
  <c r="M35" i="57"/>
  <c r="O57" i="57"/>
  <c r="N57" i="57"/>
  <c r="J57" i="57"/>
  <c r="I57" i="57"/>
  <c r="M57" i="57"/>
  <c r="L57" i="57"/>
  <c r="K57" i="57"/>
  <c r="O120" i="57"/>
  <c r="N120" i="57"/>
  <c r="M120" i="57"/>
  <c r="J120" i="57"/>
  <c r="L120" i="57"/>
  <c r="K120" i="57"/>
  <c r="I120" i="57"/>
  <c r="N28" i="57"/>
  <c r="O28" i="57"/>
  <c r="L28" i="57"/>
  <c r="J28" i="57"/>
  <c r="K28" i="57"/>
  <c r="M28" i="57"/>
  <c r="I28" i="57"/>
  <c r="L89" i="57"/>
  <c r="K89" i="57"/>
  <c r="M89" i="57"/>
  <c r="O89" i="57"/>
  <c r="N89" i="57"/>
  <c r="J89" i="57"/>
  <c r="I89" i="57"/>
  <c r="N50" i="57"/>
  <c r="L50" i="57"/>
  <c r="M50" i="57"/>
  <c r="J50" i="57"/>
  <c r="K50" i="57"/>
  <c r="O50" i="57"/>
  <c r="I50" i="57"/>
  <c r="J21" i="57"/>
  <c r="I21" i="57"/>
  <c r="O21" i="57"/>
  <c r="M21" i="57"/>
  <c r="N21" i="57"/>
  <c r="L21" i="57"/>
  <c r="K21" i="57"/>
  <c r="J43" i="57"/>
  <c r="O43" i="57"/>
  <c r="N43" i="57"/>
  <c r="L43" i="57"/>
  <c r="K43" i="57"/>
  <c r="M43" i="57"/>
  <c r="I43" i="57"/>
  <c r="J65" i="57"/>
  <c r="I65" i="57"/>
  <c r="O65" i="57"/>
  <c r="M65" i="57"/>
  <c r="L65" i="57"/>
  <c r="K65" i="57"/>
  <c r="N65" i="57"/>
  <c r="J151" i="57"/>
  <c r="O151" i="57"/>
  <c r="N151" i="57"/>
  <c r="M151" i="57"/>
  <c r="K151" i="57"/>
  <c r="I151" i="57"/>
  <c r="L151" i="57"/>
  <c r="N14" i="57"/>
  <c r="K14" i="57"/>
  <c r="J14" i="57"/>
  <c r="I14" i="57"/>
  <c r="O14" i="57"/>
  <c r="M14" i="57"/>
  <c r="L14" i="57"/>
  <c r="N36" i="57"/>
  <c r="K36" i="57"/>
  <c r="I36" i="57"/>
  <c r="O36" i="57"/>
  <c r="J36" i="57"/>
  <c r="M36" i="57"/>
  <c r="L36" i="57"/>
  <c r="N58" i="57"/>
  <c r="K58" i="57"/>
  <c r="I58" i="57"/>
  <c r="M58" i="57"/>
  <c r="J58" i="57"/>
  <c r="L58" i="57"/>
  <c r="O58" i="57"/>
  <c r="N121" i="57"/>
  <c r="K121" i="57"/>
  <c r="J121" i="57"/>
  <c r="I121" i="57"/>
  <c r="M121" i="57"/>
  <c r="O121" i="57"/>
  <c r="L121" i="57"/>
  <c r="U12" i="54"/>
  <c r="U32" i="54"/>
  <c r="U28" i="54"/>
  <c r="U22" i="54"/>
  <c r="U17" i="54"/>
  <c r="U8" i="54"/>
  <c r="E17" i="50"/>
  <c r="N5" i="63" s="1"/>
  <c r="AM46" i="45"/>
  <c r="AN46" i="45" s="1"/>
  <c r="AO46" i="45" s="1"/>
  <c r="AM41" i="45"/>
  <c r="AN41" i="45" s="1"/>
  <c r="AO41" i="45" s="1"/>
  <c r="AM37" i="45"/>
  <c r="AN37" i="45" s="1"/>
  <c r="AO37" i="45" s="1"/>
  <c r="AM39" i="45"/>
  <c r="AN39" i="45" s="1"/>
  <c r="AO39" i="45" s="1"/>
  <c r="AM45" i="45"/>
  <c r="AN45" i="45" s="1"/>
  <c r="AO45" i="45" s="1"/>
  <c r="AM44" i="45"/>
  <c r="AN44" i="45" s="1"/>
  <c r="AO44" i="45" s="1"/>
  <c r="AM38" i="45"/>
  <c r="AN38" i="45" s="1"/>
  <c r="AO38" i="45" s="1"/>
  <c r="AM42" i="45"/>
  <c r="AN42" i="45" s="1"/>
  <c r="AO42" i="45" s="1"/>
  <c r="AM34" i="45"/>
  <c r="AN34" i="45" s="1"/>
  <c r="AO34" i="45" s="1"/>
  <c r="AM29" i="45"/>
  <c r="AN29" i="45" s="1"/>
  <c r="AO29" i="45" s="1"/>
  <c r="AM33" i="45"/>
  <c r="AN33" i="45" s="1"/>
  <c r="AO33" i="45" s="1"/>
  <c r="AM35" i="45"/>
  <c r="AN35" i="45" s="1"/>
  <c r="AO35" i="45" s="1"/>
  <c r="AM27" i="45"/>
  <c r="AN27" i="45" s="1"/>
  <c r="AO27" i="45" s="1"/>
  <c r="AM22" i="45"/>
  <c r="AN22" i="45" s="1"/>
  <c r="AO22" i="45" s="1"/>
  <c r="AM9" i="45"/>
  <c r="AN9" i="45" s="1"/>
  <c r="AO9" i="45" s="1"/>
  <c r="AM14" i="45"/>
  <c r="AN14" i="45" s="1"/>
  <c r="AO14" i="45" s="1"/>
  <c r="AM11" i="45"/>
  <c r="AN11" i="45" s="1"/>
  <c r="AO11" i="45" s="1"/>
  <c r="AM13" i="45"/>
  <c r="AN13" i="45" s="1"/>
  <c r="AO13" i="45" s="1"/>
  <c r="AM10" i="45"/>
  <c r="AN10" i="45" s="1"/>
  <c r="AO10" i="45" s="1"/>
  <c r="AM15" i="45"/>
  <c r="AN15" i="45" s="1"/>
  <c r="AO15" i="45" s="1"/>
  <c r="M6" i="51"/>
  <c r="M6" i="49"/>
  <c r="M6" i="34"/>
  <c r="AE41" i="44"/>
  <c r="T41" i="44"/>
  <c r="X41" i="44" s="1"/>
  <c r="AB41" i="44" s="1"/>
  <c r="AF41" i="44"/>
  <c r="W41" i="44"/>
  <c r="AE42" i="44"/>
  <c r="T42" i="44"/>
  <c r="X42" i="44" s="1"/>
  <c r="AB42" i="44" s="1"/>
  <c r="AF42" i="44"/>
  <c r="W42" i="44"/>
  <c r="AE43" i="44"/>
  <c r="T43" i="44"/>
  <c r="X43" i="44" s="1"/>
  <c r="AB43" i="44" s="1"/>
  <c r="W43" i="44"/>
  <c r="AE44" i="44"/>
  <c r="T44" i="44"/>
  <c r="X44" i="44" s="1"/>
  <c r="AB44" i="44" s="1"/>
  <c r="AF44" i="44"/>
  <c r="W44" i="44"/>
  <c r="AE45" i="44"/>
  <c r="T45" i="44"/>
  <c r="X45" i="44" s="1"/>
  <c r="AB45" i="44" s="1"/>
  <c r="AF45" i="44"/>
  <c r="W45" i="44"/>
  <c r="AE46" i="44"/>
  <c r="T46" i="44"/>
  <c r="X46" i="44" s="1"/>
  <c r="AB46" i="44" s="1"/>
  <c r="AF46" i="44"/>
  <c r="W46" i="44"/>
  <c r="AE47" i="44"/>
  <c r="T47" i="44"/>
  <c r="X47" i="44" s="1"/>
  <c r="AB47" i="44" s="1"/>
  <c r="AF47" i="44"/>
  <c r="W47" i="44"/>
  <c r="AE48" i="44"/>
  <c r="T48" i="44"/>
  <c r="X48" i="44" s="1"/>
  <c r="AB48" i="44" s="1"/>
  <c r="AF48" i="44"/>
  <c r="W48" i="44"/>
  <c r="AE49" i="44"/>
  <c r="T49" i="44"/>
  <c r="X49" i="44" s="1"/>
  <c r="AB49" i="44" s="1"/>
  <c r="AF49" i="44"/>
  <c r="W49" i="44"/>
  <c r="AE50" i="44"/>
  <c r="T50" i="44"/>
  <c r="AA50" i="44"/>
  <c r="AE51" i="44"/>
  <c r="T51" i="44"/>
  <c r="AA51" i="44"/>
  <c r="AE52" i="44"/>
  <c r="T52" i="44"/>
  <c r="AA52" i="44"/>
  <c r="Y96" i="46"/>
  <c r="Y95" i="46"/>
  <c r="Z95" i="46" s="1"/>
  <c r="Y94" i="46"/>
  <c r="Y93" i="46"/>
  <c r="Y92" i="46"/>
  <c r="Y91" i="46"/>
  <c r="Y90" i="46"/>
  <c r="Y89" i="46"/>
  <c r="Y86" i="46"/>
  <c r="Y85" i="46"/>
  <c r="Z85" i="46" s="1"/>
  <c r="Y84" i="46"/>
  <c r="Z84" i="46" s="1"/>
  <c r="Y83" i="46"/>
  <c r="Y82" i="46"/>
  <c r="Y81" i="46"/>
  <c r="Y78" i="46"/>
  <c r="Y77" i="46"/>
  <c r="Y76" i="46"/>
  <c r="Y75" i="46"/>
  <c r="Z75" i="46" s="1"/>
  <c r="Y67" i="46"/>
  <c r="Z67" i="46" s="1"/>
  <c r="Y66" i="46"/>
  <c r="Z66" i="46" s="1"/>
  <c r="Y63" i="46"/>
  <c r="Y60" i="46"/>
  <c r="Z60" i="46" s="1"/>
  <c r="Y59" i="46"/>
  <c r="Y58" i="46"/>
  <c r="Z58" i="46" s="1"/>
  <c r="Y57" i="46"/>
  <c r="Y53" i="46"/>
  <c r="AB53" i="46" s="1"/>
  <c r="Y52" i="46"/>
  <c r="Y47" i="46"/>
  <c r="Z47" i="46" s="1"/>
  <c r="Y46" i="46"/>
  <c r="Y45" i="46"/>
  <c r="Z45" i="46" s="1"/>
  <c r="Y44" i="46"/>
  <c r="Y43" i="46"/>
  <c r="AB43" i="46" s="1"/>
  <c r="AG43" i="46" s="1"/>
  <c r="AH43" i="46" s="1"/>
  <c r="Y42" i="46"/>
  <c r="AB42" i="46" s="1"/>
  <c r="Y41" i="46"/>
  <c r="AB41" i="46" s="1"/>
  <c r="AG41" i="46" s="1"/>
  <c r="AH41" i="46" s="1"/>
  <c r="Y40" i="46"/>
  <c r="AB40" i="46" s="1"/>
  <c r="Y39" i="46"/>
  <c r="AB39" i="46" s="1"/>
  <c r="Y38" i="46"/>
  <c r="Y37" i="46"/>
  <c r="AB37" i="46" s="1"/>
  <c r="Y36" i="46"/>
  <c r="AB36" i="46" s="1"/>
  <c r="Y35" i="46"/>
  <c r="AB35" i="46" s="1"/>
  <c r="Y34" i="46"/>
  <c r="AB34" i="46" s="1"/>
  <c r="AG34" i="46" s="1"/>
  <c r="AH34" i="46" s="1"/>
  <c r="Y33" i="46"/>
  <c r="AB33" i="46" s="1"/>
  <c r="Y32" i="46"/>
  <c r="AB32" i="46" s="1"/>
  <c r="Y30" i="46"/>
  <c r="Y29" i="46"/>
  <c r="Z29" i="46" s="1"/>
  <c r="Y28" i="46"/>
  <c r="Z28" i="46" s="1"/>
  <c r="Y27" i="46"/>
  <c r="Y23" i="46"/>
  <c r="AB23" i="46" s="1"/>
  <c r="AG23" i="46" s="1"/>
  <c r="AH23" i="46" s="1"/>
  <c r="Y22" i="46"/>
  <c r="Y21" i="46"/>
  <c r="Y20" i="46"/>
  <c r="AB20" i="46" s="1"/>
  <c r="Y19" i="46"/>
  <c r="AB19" i="46" s="1"/>
  <c r="Y18" i="46"/>
  <c r="AB18" i="46" s="1"/>
  <c r="Y17" i="46"/>
  <c r="AB17" i="46" s="1"/>
  <c r="Y16" i="46"/>
  <c r="AB16" i="46" s="1"/>
  <c r="Y15" i="46"/>
  <c r="AB15" i="46" s="1"/>
  <c r="Y14" i="46"/>
  <c r="AB14" i="46" s="1"/>
  <c r="AG14" i="46" s="1"/>
  <c r="AH14" i="46" s="1"/>
  <c r="Y13" i="46"/>
  <c r="Y12" i="46"/>
  <c r="Y11" i="46"/>
  <c r="Z11" i="46" s="1"/>
  <c r="Y10" i="46"/>
  <c r="Y9" i="46"/>
  <c r="Z9" i="46" s="1"/>
  <c r="Y8" i="46"/>
  <c r="Y7" i="46"/>
  <c r="Z7" i="46" s="1"/>
  <c r="D25" i="47"/>
  <c r="E25" i="47" s="1"/>
  <c r="AA96" i="46"/>
  <c r="AA95" i="46"/>
  <c r="AA94" i="46"/>
  <c r="AA93" i="46"/>
  <c r="AA92" i="46"/>
  <c r="AA91" i="46"/>
  <c r="AA90" i="46"/>
  <c r="AA89" i="46"/>
  <c r="AA86" i="46"/>
  <c r="AA85" i="46"/>
  <c r="AA84" i="46"/>
  <c r="AA83" i="46"/>
  <c r="AA82" i="46"/>
  <c r="AA81" i="46"/>
  <c r="AA80" i="46"/>
  <c r="AA78" i="46"/>
  <c r="AA77" i="46"/>
  <c r="AA76" i="46"/>
  <c r="AA75" i="46"/>
  <c r="AA67" i="46"/>
  <c r="AA66" i="46"/>
  <c r="AA63" i="46"/>
  <c r="AA60" i="46"/>
  <c r="AA59" i="46"/>
  <c r="AA58" i="46"/>
  <c r="AA57" i="46"/>
  <c r="AA52" i="46"/>
  <c r="AA47" i="46"/>
  <c r="AA46" i="46"/>
  <c r="AA45" i="46"/>
  <c r="AA44" i="46"/>
  <c r="AA30" i="46"/>
  <c r="AA29" i="46"/>
  <c r="AA28" i="46"/>
  <c r="AA27" i="46"/>
  <c r="AA13" i="46"/>
  <c r="AA12" i="46"/>
  <c r="AA11" i="46"/>
  <c r="AA10" i="46"/>
  <c r="AA9" i="46"/>
  <c r="AA8" i="46"/>
  <c r="AA7" i="46"/>
  <c r="J4" i="46"/>
  <c r="G46" i="45"/>
  <c r="G45" i="45"/>
  <c r="G44" i="45"/>
  <c r="G43" i="45"/>
  <c r="G42" i="45"/>
  <c r="G41" i="45"/>
  <c r="G40" i="45"/>
  <c r="G39" i="45"/>
  <c r="G38" i="45"/>
  <c r="G37" i="45"/>
  <c r="G35" i="45"/>
  <c r="G34" i="45"/>
  <c r="G33" i="45"/>
  <c r="G32" i="45"/>
  <c r="G31" i="45"/>
  <c r="G30" i="45"/>
  <c r="G29" i="45"/>
  <c r="G27" i="45"/>
  <c r="G26" i="45"/>
  <c r="K4" i="46"/>
  <c r="H46" i="45"/>
  <c r="H45" i="45"/>
  <c r="H44" i="45"/>
  <c r="H43" i="45"/>
  <c r="H42" i="45"/>
  <c r="H41" i="45"/>
  <c r="H40" i="45"/>
  <c r="H39" i="45"/>
  <c r="H38" i="45"/>
  <c r="H37" i="45"/>
  <c r="H35" i="45"/>
  <c r="H34" i="45"/>
  <c r="H33" i="45"/>
  <c r="H32" i="45"/>
  <c r="H31" i="45"/>
  <c r="H30" i="45"/>
  <c r="H29" i="45"/>
  <c r="H27" i="45"/>
  <c r="H26" i="45"/>
  <c r="AE46" i="45"/>
  <c r="AE45" i="45"/>
  <c r="AE44" i="45"/>
  <c r="AE43" i="45"/>
  <c r="AE42" i="45"/>
  <c r="AE41" i="45"/>
  <c r="AE40" i="45"/>
  <c r="AF40" i="45" s="1"/>
  <c r="AE39" i="45"/>
  <c r="AE38" i="45"/>
  <c r="AE37" i="45"/>
  <c r="AE35" i="45"/>
  <c r="AE34" i="45"/>
  <c r="AE33" i="45"/>
  <c r="AE32" i="45"/>
  <c r="AF32" i="45" s="1"/>
  <c r="AK32" i="45" s="1"/>
  <c r="AM32" i="45" s="1"/>
  <c r="AN32" i="45" s="1"/>
  <c r="AE31" i="45"/>
  <c r="AF31" i="45" s="1"/>
  <c r="AE30" i="45"/>
  <c r="AF30" i="45" s="1"/>
  <c r="AE29" i="45"/>
  <c r="AE27" i="45"/>
  <c r="AE26" i="45"/>
  <c r="AF26" i="45" s="1"/>
  <c r="AE24" i="45"/>
  <c r="AE23" i="45"/>
  <c r="AE22" i="45"/>
  <c r="AE21" i="45"/>
  <c r="AE20" i="45"/>
  <c r="AE19" i="45"/>
  <c r="AF19" i="45" s="1"/>
  <c r="AG19" i="45" s="1"/>
  <c r="AH19" i="45" s="1"/>
  <c r="AE18" i="45"/>
  <c r="AF18" i="45" s="1"/>
  <c r="AG18" i="45" s="1"/>
  <c r="AE16" i="45"/>
  <c r="AE15" i="45"/>
  <c r="AE14" i="45"/>
  <c r="AE13" i="45"/>
  <c r="AE12" i="45"/>
  <c r="AE11" i="45"/>
  <c r="AE10" i="45"/>
  <c r="AE9" i="45"/>
  <c r="AE8" i="45"/>
  <c r="AE7" i="45"/>
  <c r="U7" i="45"/>
  <c r="AD7" i="45"/>
  <c r="AA7" i="45"/>
  <c r="AC7" i="45" s="1"/>
  <c r="T8" i="45"/>
  <c r="U8" i="45" s="1"/>
  <c r="AD8" i="45"/>
  <c r="AA8" i="45"/>
  <c r="AC8" i="45"/>
  <c r="T9" i="45"/>
  <c r="U9" i="45" s="1"/>
  <c r="AD9" i="45"/>
  <c r="AA9" i="45"/>
  <c r="T10" i="45"/>
  <c r="U10" i="45" s="1"/>
  <c r="AD10" i="45"/>
  <c r="AA10" i="45"/>
  <c r="T11" i="45"/>
  <c r="U11" i="45" s="1"/>
  <c r="AD11" i="45"/>
  <c r="AA11" i="45"/>
  <c r="T12" i="45"/>
  <c r="U12" i="45" s="1"/>
  <c r="AD12" i="45"/>
  <c r="AA12" i="45"/>
  <c r="AC12" i="45" s="1"/>
  <c r="T13" i="45"/>
  <c r="U13" i="45" s="1"/>
  <c r="AD13" i="45"/>
  <c r="AA13" i="45"/>
  <c r="T14" i="45"/>
  <c r="U14" i="45" s="1"/>
  <c r="AD14" i="45"/>
  <c r="AA14" i="45"/>
  <c r="T15" i="45"/>
  <c r="U15" i="45" s="1"/>
  <c r="AD15" i="45"/>
  <c r="AA15" i="45"/>
  <c r="T16" i="45"/>
  <c r="U16" i="45" s="1"/>
  <c r="AD16" i="45"/>
  <c r="AA16" i="45"/>
  <c r="AC16" i="45"/>
  <c r="U19" i="45"/>
  <c r="X19" i="45"/>
  <c r="AD20" i="45"/>
  <c r="AA20" i="45"/>
  <c r="AC20" i="45"/>
  <c r="U21" i="45"/>
  <c r="AD21" i="45"/>
  <c r="AA21" i="45"/>
  <c r="AC21" i="45"/>
  <c r="U22" i="45"/>
  <c r="AD22" i="45"/>
  <c r="AA22" i="45"/>
  <c r="AD23" i="45"/>
  <c r="AA23" i="45"/>
  <c r="AC23" i="45"/>
  <c r="AD24" i="45"/>
  <c r="AA24" i="45"/>
  <c r="AC24" i="45"/>
  <c r="U26" i="45"/>
  <c r="U27" i="45"/>
  <c r="AD27" i="45"/>
  <c r="AA27" i="45"/>
  <c r="U31" i="45"/>
  <c r="AD31" i="45"/>
  <c r="AA31" i="45"/>
  <c r="AC31" i="45" s="1"/>
  <c r="U32" i="45"/>
  <c r="U33" i="45"/>
  <c r="AD33" i="45"/>
  <c r="AA33" i="45"/>
  <c r="AD34" i="45"/>
  <c r="AA34" i="45"/>
  <c r="AD35" i="45"/>
  <c r="AA35" i="45"/>
  <c r="AD41" i="45"/>
  <c r="AA41" i="45"/>
  <c r="AD42" i="45"/>
  <c r="AA42" i="45"/>
  <c r="AD43" i="45"/>
  <c r="AA43" i="45"/>
  <c r="AC43" i="45"/>
  <c r="AD45" i="45"/>
  <c r="AA45" i="45"/>
  <c r="AD46" i="45"/>
  <c r="AA46" i="45"/>
  <c r="AF7" i="46"/>
  <c r="AD7" i="46"/>
  <c r="Z8" i="46"/>
  <c r="AF8" i="46"/>
  <c r="AK8" i="46" s="1"/>
  <c r="AD8" i="46"/>
  <c r="AF9" i="46"/>
  <c r="AD9" i="46"/>
  <c r="AF11" i="46"/>
  <c r="AD11" i="46"/>
  <c r="Z12" i="46"/>
  <c r="AF12" i="46"/>
  <c r="AK12" i="46" s="1"/>
  <c r="AD12" i="46"/>
  <c r="AF15" i="46"/>
  <c r="AD15" i="46"/>
  <c r="AF16" i="46"/>
  <c r="AD16" i="46"/>
  <c r="AF17" i="46"/>
  <c r="AK17" i="46" s="1"/>
  <c r="AD17" i="46"/>
  <c r="AF19" i="46"/>
  <c r="AK19" i="46" s="1"/>
  <c r="AD19" i="46"/>
  <c r="AF28" i="46"/>
  <c r="AD28" i="46"/>
  <c r="AF29" i="46"/>
  <c r="AD29" i="46"/>
  <c r="AF33" i="46"/>
  <c r="AD33" i="46"/>
  <c r="AF35" i="46"/>
  <c r="AK35" i="46" s="1"/>
  <c r="AD35" i="46"/>
  <c r="Z36" i="46"/>
  <c r="AF36" i="46"/>
  <c r="AD36" i="46"/>
  <c r="AF37" i="46"/>
  <c r="AD37" i="46"/>
  <c r="AF39" i="46"/>
  <c r="AD39" i="46"/>
  <c r="AF40" i="46"/>
  <c r="AD40" i="46"/>
  <c r="Z46" i="46"/>
  <c r="AF46" i="46"/>
  <c r="AK46" i="46" s="1"/>
  <c r="AD46" i="46"/>
  <c r="Z53" i="46"/>
  <c r="AF53" i="46"/>
  <c r="AK53" i="46" s="1"/>
  <c r="AD53" i="46"/>
  <c r="AF54" i="46"/>
  <c r="AD54" i="46"/>
  <c r="AF56" i="46"/>
  <c r="AD56" i="46"/>
  <c r="AF60" i="46"/>
  <c r="AK60" i="46" s="1"/>
  <c r="AD60" i="46"/>
  <c r="AF62" i="46"/>
  <c r="AK62" i="46" s="1"/>
  <c r="AD62" i="46"/>
  <c r="AF64" i="46"/>
  <c r="AK64" i="46" s="1"/>
  <c r="AD64" i="46"/>
  <c r="AF66" i="46"/>
  <c r="AD66" i="46"/>
  <c r="AF70" i="46"/>
  <c r="AK70" i="46" s="1"/>
  <c r="AD70" i="46"/>
  <c r="AF75" i="46"/>
  <c r="AD75" i="46"/>
  <c r="Z81" i="46"/>
  <c r="AF81" i="46"/>
  <c r="AK81" i="46" s="1"/>
  <c r="AD81" i="46"/>
  <c r="Z82" i="46"/>
  <c r="AF82" i="46"/>
  <c r="AK82" i="46" s="1"/>
  <c r="AD82" i="46"/>
  <c r="Z83" i="46"/>
  <c r="AF83" i="46"/>
  <c r="AK83" i="46" s="1"/>
  <c r="AD83" i="46"/>
  <c r="AF84" i="46"/>
  <c r="AK84" i="46" s="1"/>
  <c r="AD84" i="46"/>
  <c r="AF85" i="46"/>
  <c r="AK85" i="46" s="1"/>
  <c r="AD85" i="46"/>
  <c r="AF87" i="46"/>
  <c r="AD87" i="46"/>
  <c r="AF88" i="46"/>
  <c r="AD88" i="46"/>
  <c r="Z89" i="46"/>
  <c r="AF89" i="46"/>
  <c r="AK89" i="46" s="1"/>
  <c r="AD89" i="46"/>
  <c r="Z90" i="46"/>
  <c r="AF90" i="46"/>
  <c r="AK90" i="46" s="1"/>
  <c r="AD90" i="46"/>
  <c r="Z91" i="46"/>
  <c r="AF91" i="46"/>
  <c r="AK91" i="46" s="1"/>
  <c r="AD91" i="46"/>
  <c r="Z92" i="46"/>
  <c r="AF92" i="46"/>
  <c r="AD92" i="46"/>
  <c r="Z93" i="46"/>
  <c r="AF93" i="46"/>
  <c r="AD93" i="46"/>
  <c r="Z94" i="46"/>
  <c r="AF94" i="46"/>
  <c r="AK94" i="46" s="1"/>
  <c r="AD94" i="46"/>
  <c r="AF95" i="46"/>
  <c r="AD95" i="46"/>
  <c r="Z96" i="46"/>
  <c r="AF96" i="46"/>
  <c r="AK96" i="46" s="1"/>
  <c r="AD96" i="46"/>
  <c r="AF97" i="46"/>
  <c r="AK97" i="46" s="1"/>
  <c r="AD97" i="46"/>
  <c r="M5" i="51"/>
  <c r="M5" i="49"/>
  <c r="M5" i="34"/>
  <c r="G20" i="62"/>
  <c r="G21" i="62"/>
  <c r="H10" i="48"/>
  <c r="J10" i="48" s="1"/>
  <c r="H6" i="48"/>
  <c r="J6" i="48" s="1"/>
  <c r="H5" i="48"/>
  <c r="J5" i="48" s="1"/>
  <c r="H4" i="48"/>
  <c r="J4" i="48" s="1"/>
  <c r="H11" i="48"/>
  <c r="J11" i="48" s="1"/>
  <c r="B19" i="68"/>
  <c r="F19" i="68" s="1"/>
  <c r="F7" i="68"/>
  <c r="AG87" i="46" l="1"/>
  <c r="AH87" i="46" s="1"/>
  <c r="AK87" i="46"/>
  <c r="AM87" i="46" s="1"/>
  <c r="AN87" i="46" s="1"/>
  <c r="X80" i="46"/>
  <c r="AG88" i="46"/>
  <c r="AH88" i="46" s="1"/>
  <c r="AK88" i="46"/>
  <c r="AM88" i="46" s="1"/>
  <c r="AN88" i="46" s="1"/>
  <c r="AG56" i="46"/>
  <c r="AH56" i="46" s="1"/>
  <c r="AK56" i="46"/>
  <c r="AM56" i="46" s="1"/>
  <c r="AN56" i="46" s="1"/>
  <c r="AG54" i="46"/>
  <c r="AH54" i="46" s="1"/>
  <c r="AK54" i="46"/>
  <c r="AM54" i="46" s="1"/>
  <c r="AN54" i="46" s="1"/>
  <c r="X43" i="46"/>
  <c r="AO43" i="46" s="1"/>
  <c r="AG32" i="45"/>
  <c r="AH32" i="45" s="1"/>
  <c r="T33" i="83"/>
  <c r="G7" i="71" s="1"/>
  <c r="C15" i="51"/>
  <c r="C14" i="51"/>
  <c r="C16" i="51"/>
  <c r="T33" i="86"/>
  <c r="M7" i="71" s="1"/>
  <c r="T31" i="84"/>
  <c r="AK21" i="46"/>
  <c r="AM21" i="46" s="1"/>
  <c r="AN21" i="46" s="1"/>
  <c r="AO21" i="46" s="1"/>
  <c r="Z35" i="46"/>
  <c r="AB38" i="46"/>
  <c r="Z38" i="46"/>
  <c r="Z33" i="46"/>
  <c r="AK40" i="46"/>
  <c r="AK47" i="46"/>
  <c r="AM47" i="46" s="1"/>
  <c r="AN47" i="46" s="1"/>
  <c r="Z40" i="46"/>
  <c r="AK39" i="46"/>
  <c r="Z39" i="46"/>
  <c r="Z17" i="46"/>
  <c r="AB21" i="46"/>
  <c r="Z21" i="46"/>
  <c r="AG31" i="45"/>
  <c r="AH31" i="45" s="1"/>
  <c r="Z19" i="46"/>
  <c r="AB22" i="46"/>
  <c r="AK22" i="46" s="1"/>
  <c r="AM22" i="46" s="1"/>
  <c r="AN22" i="46" s="1"/>
  <c r="Z22" i="46"/>
  <c r="AK19" i="45"/>
  <c r="AM19" i="45" s="1"/>
  <c r="AN19" i="45" s="1"/>
  <c r="AO19" i="45" s="1"/>
  <c r="AK37" i="46"/>
  <c r="AG96" i="46"/>
  <c r="AH96" i="46" s="1"/>
  <c r="AG94" i="46"/>
  <c r="AH94" i="46" s="1"/>
  <c r="Z37" i="46"/>
  <c r="AG84" i="46"/>
  <c r="AH84" i="46" s="1"/>
  <c r="AK36" i="46"/>
  <c r="X31" i="45"/>
  <c r="X32" i="45"/>
  <c r="AO32" i="45" s="1"/>
  <c r="AK31" i="45"/>
  <c r="AM31" i="45" s="1"/>
  <c r="AN31" i="45" s="1"/>
  <c r="P51" i="45"/>
  <c r="D20" i="59" s="1"/>
  <c r="U54" i="45"/>
  <c r="P14" i="59" s="1"/>
  <c r="P101" i="46"/>
  <c r="D21" i="59" s="1"/>
  <c r="X38" i="46"/>
  <c r="U104" i="46"/>
  <c r="P15" i="59" s="1"/>
  <c r="T33" i="85"/>
  <c r="K7" i="71" s="1"/>
  <c r="T33" i="87"/>
  <c r="O7" i="71" s="1"/>
  <c r="T28" i="84"/>
  <c r="T13" i="84"/>
  <c r="T16" i="84"/>
  <c r="T22" i="84"/>
  <c r="T33" i="88"/>
  <c r="Q7" i="71" s="1"/>
  <c r="W21" i="46"/>
  <c r="W32" i="45"/>
  <c r="R63" i="46"/>
  <c r="S63" i="46" s="1"/>
  <c r="X7" i="46"/>
  <c r="W7" i="46"/>
  <c r="R7" i="46"/>
  <c r="S7" i="46" s="1"/>
  <c r="R62" i="46"/>
  <c r="S62" i="46" s="1"/>
  <c r="F27" i="68"/>
  <c r="AM62" i="46"/>
  <c r="AN62" i="46" s="1"/>
  <c r="AG62" i="46"/>
  <c r="AH62" i="46" s="1"/>
  <c r="AG16" i="46"/>
  <c r="AH16" i="46" s="1"/>
  <c r="AK16" i="46"/>
  <c r="AM16" i="46" s="1"/>
  <c r="AN16" i="46" s="1"/>
  <c r="AG15" i="46"/>
  <c r="AH15" i="46" s="1"/>
  <c r="AK15" i="46"/>
  <c r="AM15" i="46" s="1"/>
  <c r="AN15" i="46" s="1"/>
  <c r="AG75" i="46"/>
  <c r="AH75" i="46" s="1"/>
  <c r="AK75" i="46"/>
  <c r="AG33" i="46"/>
  <c r="AH33" i="46" s="1"/>
  <c r="AK33" i="46"/>
  <c r="AM33" i="46" s="1"/>
  <c r="AN33" i="46" s="1"/>
  <c r="AG9" i="46"/>
  <c r="AH9" i="46" s="1"/>
  <c r="AK9" i="46"/>
  <c r="AM9" i="46" s="1"/>
  <c r="AN9" i="46" s="1"/>
  <c r="AG28" i="46"/>
  <c r="AH28" i="46" s="1"/>
  <c r="AK28" i="46"/>
  <c r="AG21" i="46"/>
  <c r="AH21" i="46" s="1"/>
  <c r="R98" i="46"/>
  <c r="S98" i="46" s="1"/>
  <c r="AG97" i="46"/>
  <c r="AH97" i="46" s="1"/>
  <c r="AM97" i="46"/>
  <c r="AN97" i="46" s="1"/>
  <c r="R93" i="46"/>
  <c r="S93" i="46" s="1"/>
  <c r="R85" i="46"/>
  <c r="S85" i="46" s="1"/>
  <c r="R88" i="46"/>
  <c r="S88" i="46" s="1"/>
  <c r="R96" i="46"/>
  <c r="S96" i="46" s="1"/>
  <c r="R91" i="46"/>
  <c r="S91" i="46" s="1"/>
  <c r="R87" i="46"/>
  <c r="S87" i="46" s="1"/>
  <c r="R83" i="46"/>
  <c r="S83" i="46" s="1"/>
  <c r="R80" i="46"/>
  <c r="S80" i="46" s="1"/>
  <c r="R95" i="46"/>
  <c r="S95" i="46" s="1"/>
  <c r="R90" i="46"/>
  <c r="S90" i="46" s="1"/>
  <c r="R89" i="46"/>
  <c r="S89" i="46" s="1"/>
  <c r="R94" i="46"/>
  <c r="S94" i="46" s="1"/>
  <c r="R92" i="46"/>
  <c r="S92" i="46" s="1"/>
  <c r="R81" i="46"/>
  <c r="S81" i="46" s="1"/>
  <c r="R82" i="46"/>
  <c r="S82" i="46" s="1"/>
  <c r="R84" i="46"/>
  <c r="S84" i="46" s="1"/>
  <c r="R97" i="46"/>
  <c r="S97" i="46" s="1"/>
  <c r="R86" i="46"/>
  <c r="S86" i="46" s="1"/>
  <c r="AG64" i="46"/>
  <c r="AH64" i="46" s="1"/>
  <c r="AM64" i="46"/>
  <c r="AN64" i="46" s="1"/>
  <c r="R64" i="46"/>
  <c r="S64" i="46" s="1"/>
  <c r="R73" i="46"/>
  <c r="S73" i="46" s="1"/>
  <c r="R70" i="46"/>
  <c r="S70" i="46" s="1"/>
  <c r="R72" i="46"/>
  <c r="S72" i="46" s="1"/>
  <c r="R68" i="46"/>
  <c r="S68" i="46" s="1"/>
  <c r="AG70" i="46"/>
  <c r="AH70" i="46" s="1"/>
  <c r="R78" i="46"/>
  <c r="S78" i="46" s="1"/>
  <c r="R67" i="46"/>
  <c r="S67" i="46" s="1"/>
  <c r="R69" i="46"/>
  <c r="S69" i="46" s="1"/>
  <c r="R77" i="46"/>
  <c r="S77" i="46" s="1"/>
  <c r="R74" i="46"/>
  <c r="S74" i="46" s="1"/>
  <c r="R76" i="46"/>
  <c r="S76" i="46" s="1"/>
  <c r="R66" i="46"/>
  <c r="S66" i="46" s="1"/>
  <c r="R71" i="46"/>
  <c r="S71" i="46" s="1"/>
  <c r="R75" i="46"/>
  <c r="S75" i="46" s="1"/>
  <c r="R58" i="46"/>
  <c r="S58" i="46" s="1"/>
  <c r="R57" i="46"/>
  <c r="S57" i="46" s="1"/>
  <c r="R56" i="46"/>
  <c r="S56" i="46" s="1"/>
  <c r="R59" i="46"/>
  <c r="S59" i="46" s="1"/>
  <c r="X58" i="46"/>
  <c r="R60" i="46"/>
  <c r="S60" i="46" s="1"/>
  <c r="R54" i="46"/>
  <c r="S54" i="46" s="1"/>
  <c r="R53" i="46"/>
  <c r="S53" i="46" s="1"/>
  <c r="R50" i="46"/>
  <c r="S50" i="46" s="1"/>
  <c r="R52" i="46"/>
  <c r="S52" i="46" s="1"/>
  <c r="R49" i="46"/>
  <c r="S49" i="46" s="1"/>
  <c r="R51" i="46"/>
  <c r="S51" i="46" s="1"/>
  <c r="AG53" i="46"/>
  <c r="AH53" i="46" s="1"/>
  <c r="R42" i="46"/>
  <c r="S42" i="46" s="1"/>
  <c r="R47" i="46"/>
  <c r="S47" i="46" s="1"/>
  <c r="R46" i="46"/>
  <c r="S46" i="46" s="1"/>
  <c r="AG40" i="46"/>
  <c r="AH40" i="46" s="1"/>
  <c r="R35" i="46"/>
  <c r="S35" i="46" s="1"/>
  <c r="AG39" i="46"/>
  <c r="AH39" i="46" s="1"/>
  <c r="R43" i="46"/>
  <c r="S43" i="46" s="1"/>
  <c r="R38" i="46"/>
  <c r="S38" i="46" s="1"/>
  <c r="R34" i="46"/>
  <c r="S34" i="46" s="1"/>
  <c r="AG37" i="46"/>
  <c r="AH37" i="46" s="1"/>
  <c r="R39" i="46"/>
  <c r="S39" i="46" s="1"/>
  <c r="R41" i="46"/>
  <c r="S41" i="46" s="1"/>
  <c r="AG36" i="46"/>
  <c r="AH36" i="46" s="1"/>
  <c r="R40" i="46"/>
  <c r="S40" i="46" s="1"/>
  <c r="R32" i="46"/>
  <c r="S32" i="46" s="1"/>
  <c r="R33" i="46"/>
  <c r="S33" i="46" s="1"/>
  <c r="R37" i="46"/>
  <c r="S37" i="46" s="1"/>
  <c r="AG35" i="46"/>
  <c r="AH35" i="46" s="1"/>
  <c r="R44" i="46"/>
  <c r="S44" i="46" s="1"/>
  <c r="R36" i="46"/>
  <c r="S36" i="46" s="1"/>
  <c r="W47" i="46"/>
  <c r="R45" i="46"/>
  <c r="S45" i="46" s="1"/>
  <c r="X45" i="46"/>
  <c r="X32" i="46"/>
  <c r="AO32" i="46" s="1"/>
  <c r="R28" i="46"/>
  <c r="S28" i="46" s="1"/>
  <c r="R27" i="46"/>
  <c r="S27" i="46" s="1"/>
  <c r="R30" i="46"/>
  <c r="S30" i="46" s="1"/>
  <c r="R29" i="46"/>
  <c r="S29" i="46" s="1"/>
  <c r="R22" i="46"/>
  <c r="S22" i="46" s="1"/>
  <c r="R16" i="46"/>
  <c r="S16" i="46" s="1"/>
  <c r="R18" i="46"/>
  <c r="S18" i="46" s="1"/>
  <c r="R25" i="46"/>
  <c r="S25" i="46" s="1"/>
  <c r="R24" i="46"/>
  <c r="S24" i="46" s="1"/>
  <c r="R17" i="46"/>
  <c r="S17" i="46" s="1"/>
  <c r="R15" i="46"/>
  <c r="S15" i="46" s="1"/>
  <c r="R20" i="46"/>
  <c r="S20" i="46" s="1"/>
  <c r="R12" i="46"/>
  <c r="S12" i="46" s="1"/>
  <c r="W22" i="46"/>
  <c r="R10" i="46"/>
  <c r="S10" i="46" s="1"/>
  <c r="R8" i="46"/>
  <c r="S8" i="46" s="1"/>
  <c r="R19" i="46"/>
  <c r="S19" i="46" s="1"/>
  <c r="R21" i="46"/>
  <c r="S21" i="46" s="1"/>
  <c r="R13" i="46"/>
  <c r="S13" i="46" s="1"/>
  <c r="AG19" i="46"/>
  <c r="AH19" i="46" s="1"/>
  <c r="R14" i="46"/>
  <c r="S14" i="46" s="1"/>
  <c r="R11" i="46"/>
  <c r="S11" i="46" s="1"/>
  <c r="X18" i="46"/>
  <c r="AO18" i="46" s="1"/>
  <c r="R9" i="46"/>
  <c r="S9" i="46" s="1"/>
  <c r="AG17" i="46"/>
  <c r="AH17" i="46" s="1"/>
  <c r="R23" i="46"/>
  <c r="S23" i="46" s="1"/>
  <c r="X78" i="46"/>
  <c r="AO78" i="46" s="1"/>
  <c r="X52" i="46"/>
  <c r="AO52" i="46" s="1"/>
  <c r="X86" i="46"/>
  <c r="AO86" i="46" s="1"/>
  <c r="X44" i="46"/>
  <c r="AO44" i="46" s="1"/>
  <c r="X14" i="46"/>
  <c r="AO14" i="46" s="1"/>
  <c r="AK40" i="45"/>
  <c r="AM40" i="45" s="1"/>
  <c r="AN40" i="45" s="1"/>
  <c r="AG40" i="45"/>
  <c r="AH40" i="45" s="1"/>
  <c r="W31" i="45"/>
  <c r="AK30" i="45"/>
  <c r="AM30" i="45" s="1"/>
  <c r="AN30" i="45" s="1"/>
  <c r="AG30" i="45"/>
  <c r="AH30" i="45" s="1"/>
  <c r="AK26" i="45"/>
  <c r="AM26" i="45" s="1"/>
  <c r="AN26" i="45" s="1"/>
  <c r="AG26" i="45"/>
  <c r="AH26" i="45" s="1"/>
  <c r="W19" i="45"/>
  <c r="AK18" i="45"/>
  <c r="AM18" i="45" s="1"/>
  <c r="AN18" i="45" s="1"/>
  <c r="AH18" i="45"/>
  <c r="S19" i="45"/>
  <c r="R19" i="45"/>
  <c r="S24" i="45"/>
  <c r="R24" i="45"/>
  <c r="S38" i="45"/>
  <c r="R38" i="45"/>
  <c r="S31" i="45"/>
  <c r="R31" i="45"/>
  <c r="X7" i="45"/>
  <c r="S7" i="45"/>
  <c r="S45" i="45"/>
  <c r="R45" i="45"/>
  <c r="S30" i="45"/>
  <c r="R30" i="45"/>
  <c r="S21" i="45"/>
  <c r="R21" i="45"/>
  <c r="S14" i="45"/>
  <c r="R14" i="45"/>
  <c r="S43" i="45"/>
  <c r="R43" i="45"/>
  <c r="S35" i="45"/>
  <c r="R35" i="45"/>
  <c r="S26" i="45"/>
  <c r="R26" i="45"/>
  <c r="W12" i="45"/>
  <c r="S12" i="45"/>
  <c r="R12" i="45"/>
  <c r="S22" i="45"/>
  <c r="R22" i="45"/>
  <c r="S44" i="45"/>
  <c r="R44" i="45"/>
  <c r="S15" i="45"/>
  <c r="R15" i="45"/>
  <c r="S37" i="45"/>
  <c r="R37" i="45"/>
  <c r="S29" i="45"/>
  <c r="R29" i="45"/>
  <c r="S11" i="45"/>
  <c r="R11" i="45"/>
  <c r="S27" i="45"/>
  <c r="R27" i="45"/>
  <c r="S10" i="45"/>
  <c r="R10" i="45"/>
  <c r="S42" i="45"/>
  <c r="R42" i="45"/>
  <c r="S34" i="45"/>
  <c r="R34" i="45"/>
  <c r="S20" i="45"/>
  <c r="R20" i="45"/>
  <c r="S9" i="45"/>
  <c r="R9" i="45"/>
  <c r="S41" i="45"/>
  <c r="R41" i="45"/>
  <c r="S33" i="45"/>
  <c r="R33" i="45"/>
  <c r="S18" i="45"/>
  <c r="R18" i="45"/>
  <c r="S40" i="45"/>
  <c r="R40" i="45"/>
  <c r="S32" i="45"/>
  <c r="R32" i="45"/>
  <c r="S8" i="45"/>
  <c r="R8" i="45"/>
  <c r="S46" i="45"/>
  <c r="R46" i="45"/>
  <c r="S13" i="45"/>
  <c r="R13" i="45"/>
  <c r="S39" i="45"/>
  <c r="R39" i="45"/>
  <c r="S23" i="45"/>
  <c r="R23" i="45"/>
  <c r="S16" i="45"/>
  <c r="R16" i="45"/>
  <c r="AF12" i="45"/>
  <c r="AG12" i="45" s="1"/>
  <c r="AH12" i="45" s="1"/>
  <c r="AF7" i="45"/>
  <c r="AG7" i="45" s="1"/>
  <c r="AH7" i="45" s="1"/>
  <c r="AK12" i="45"/>
  <c r="AM12" i="45" s="1"/>
  <c r="AN12" i="45" s="1"/>
  <c r="W7" i="45"/>
  <c r="X12" i="45"/>
  <c r="V22" i="45"/>
  <c r="V23" i="45"/>
  <c r="K30" i="45"/>
  <c r="V30" i="45" s="1"/>
  <c r="K31" i="45"/>
  <c r="V31" i="45" s="1"/>
  <c r="K32" i="45"/>
  <c r="V32" i="45" s="1"/>
  <c r="V11" i="45"/>
  <c r="V115" i="57"/>
  <c r="AC115" i="57" s="1"/>
  <c r="I115" i="78" s="1"/>
  <c r="H115" i="78"/>
  <c r="V21" i="57"/>
  <c r="AC21" i="57" s="1"/>
  <c r="I21" i="78" s="1"/>
  <c r="H21" i="78"/>
  <c r="V28" i="57"/>
  <c r="AC28" i="57" s="1"/>
  <c r="I28" i="78" s="1"/>
  <c r="H28" i="78"/>
  <c r="V35" i="57"/>
  <c r="AC35" i="57" s="1"/>
  <c r="I35" i="78" s="1"/>
  <c r="H35" i="78"/>
  <c r="V62" i="57"/>
  <c r="AC62" i="57" s="1"/>
  <c r="I62" i="78" s="1"/>
  <c r="H62" i="78"/>
  <c r="V60" i="57"/>
  <c r="AC60" i="57" s="1"/>
  <c r="I60" i="78" s="1"/>
  <c r="H60" i="78"/>
  <c r="V67" i="57"/>
  <c r="AC67" i="57" s="1"/>
  <c r="I67" i="78" s="1"/>
  <c r="H67" i="78"/>
  <c r="V39" i="57"/>
  <c r="AC39" i="57" s="1"/>
  <c r="I39" i="78" s="1"/>
  <c r="H39" i="78"/>
  <c r="V24" i="57"/>
  <c r="AC24" i="57" s="1"/>
  <c r="I24" i="78" s="1"/>
  <c r="H24" i="78"/>
  <c r="V16" i="57"/>
  <c r="AC16" i="57" s="1"/>
  <c r="I16" i="78" s="1"/>
  <c r="H16" i="78"/>
  <c r="V122" i="57"/>
  <c r="AC122" i="57" s="1"/>
  <c r="I122" i="78" s="1"/>
  <c r="H122" i="78"/>
  <c r="V66" i="57"/>
  <c r="AC66" i="57" s="1"/>
  <c r="I66" i="78" s="1"/>
  <c r="H66" i="78"/>
  <c r="V119" i="57"/>
  <c r="AC119" i="57" s="1"/>
  <c r="I119" i="78" s="1"/>
  <c r="H119" i="78"/>
  <c r="V41" i="57"/>
  <c r="AC41" i="57" s="1"/>
  <c r="I41" i="78" s="1"/>
  <c r="H41" i="78"/>
  <c r="V87" i="57"/>
  <c r="AC87" i="57" s="1"/>
  <c r="I87" i="78" s="1"/>
  <c r="H87" i="78"/>
  <c r="V29" i="57"/>
  <c r="AC29" i="57" s="1"/>
  <c r="I29" i="78" s="1"/>
  <c r="H29" i="78"/>
  <c r="V151" i="57"/>
  <c r="AC151" i="57" s="1"/>
  <c r="I151" i="78" s="1"/>
  <c r="H151" i="78"/>
  <c r="V42" i="57"/>
  <c r="AC42" i="57" s="1"/>
  <c r="I42" i="78" s="1"/>
  <c r="H42" i="78"/>
  <c r="V25" i="57"/>
  <c r="AC25" i="57" s="1"/>
  <c r="I25" i="78" s="1"/>
  <c r="H25" i="78"/>
  <c r="V50" i="57"/>
  <c r="AC50" i="57" s="1"/>
  <c r="I50" i="78" s="1"/>
  <c r="H50" i="78"/>
  <c r="V168" i="57"/>
  <c r="AC168" i="57" s="1"/>
  <c r="I168" i="78" s="1"/>
  <c r="H168" i="78"/>
  <c r="V38" i="57"/>
  <c r="AC38" i="57" s="1"/>
  <c r="I38" i="78" s="1"/>
  <c r="H38" i="78"/>
  <c r="V54" i="57"/>
  <c r="AC54" i="57" s="1"/>
  <c r="I54" i="78" s="1"/>
  <c r="H54" i="78"/>
  <c r="V37" i="57"/>
  <c r="AC37" i="57" s="1"/>
  <c r="I37" i="78" s="1"/>
  <c r="H37" i="78"/>
  <c r="V88" i="57"/>
  <c r="AC88" i="57" s="1"/>
  <c r="I88" i="78" s="1"/>
  <c r="H88" i="78"/>
  <c r="V19" i="57"/>
  <c r="AC19" i="57" s="1"/>
  <c r="I19" i="78" s="1"/>
  <c r="H19" i="78"/>
  <c r="V31" i="57"/>
  <c r="AC31" i="57" s="1"/>
  <c r="I31" i="78" s="1"/>
  <c r="H31" i="78"/>
  <c r="V45" i="57"/>
  <c r="AC45" i="57" s="1"/>
  <c r="I45" i="78" s="1"/>
  <c r="H45" i="78"/>
  <c r="V7" i="57"/>
  <c r="AC7" i="57" s="1"/>
  <c r="I7" i="78" s="1"/>
  <c r="H7" i="78"/>
  <c r="V141" i="57"/>
  <c r="AC141" i="57" s="1"/>
  <c r="I141" i="78" s="1"/>
  <c r="H141" i="78"/>
  <c r="V55" i="57"/>
  <c r="AC55" i="57" s="1"/>
  <c r="I55" i="78" s="1"/>
  <c r="H55" i="78"/>
  <c r="V116" i="57"/>
  <c r="AC116" i="57" s="1"/>
  <c r="I116" i="78" s="1"/>
  <c r="H116" i="78"/>
  <c r="V59" i="57"/>
  <c r="AC59" i="57" s="1"/>
  <c r="I59" i="78" s="1"/>
  <c r="H59" i="78"/>
  <c r="V44" i="57"/>
  <c r="AC44" i="57" s="1"/>
  <c r="I44" i="78" s="1"/>
  <c r="H44" i="78"/>
  <c r="V36" i="57"/>
  <c r="AC36" i="57" s="1"/>
  <c r="I36" i="78" s="1"/>
  <c r="H36" i="78"/>
  <c r="V65" i="57"/>
  <c r="AC65" i="57" s="1"/>
  <c r="I65" i="78" s="1"/>
  <c r="H65" i="78"/>
  <c r="V120" i="57"/>
  <c r="AC120" i="57" s="1"/>
  <c r="I120" i="78" s="1"/>
  <c r="H120" i="78"/>
  <c r="V48" i="57"/>
  <c r="AC48" i="57" s="1"/>
  <c r="I48" i="78" s="1"/>
  <c r="H48" i="78"/>
  <c r="V40" i="57"/>
  <c r="AC40" i="57" s="1"/>
  <c r="I40" i="78" s="1"/>
  <c r="H40" i="78"/>
  <c r="V56" i="57"/>
  <c r="AC56" i="57" s="1"/>
  <c r="I56" i="78" s="1"/>
  <c r="H56" i="78"/>
  <c r="V140" i="57"/>
  <c r="AC140" i="57" s="1"/>
  <c r="I140" i="78" s="1"/>
  <c r="H140" i="78"/>
  <c r="V32" i="57"/>
  <c r="AC32" i="57" s="1"/>
  <c r="I32" i="78" s="1"/>
  <c r="H32" i="78"/>
  <c r="V164" i="57"/>
  <c r="AC164" i="57" s="1"/>
  <c r="I164" i="78" s="1"/>
  <c r="H164" i="78"/>
  <c r="V20" i="57"/>
  <c r="AC20" i="57" s="1"/>
  <c r="I20" i="78" s="1"/>
  <c r="H20" i="78"/>
  <c r="V85" i="57"/>
  <c r="AC85" i="57" s="1"/>
  <c r="I85" i="78" s="1"/>
  <c r="H85" i="78"/>
  <c r="V162" i="57"/>
  <c r="AC162" i="57" s="1"/>
  <c r="I162" i="78" s="1"/>
  <c r="H162" i="78"/>
  <c r="V52" i="57"/>
  <c r="AC52" i="57" s="1"/>
  <c r="I52" i="78" s="1"/>
  <c r="H52" i="78"/>
  <c r="V49" i="57"/>
  <c r="AC49" i="57" s="1"/>
  <c r="I49" i="78" s="1"/>
  <c r="H49" i="78"/>
  <c r="V34" i="57"/>
  <c r="AC34" i="57" s="1"/>
  <c r="I34" i="78" s="1"/>
  <c r="H34" i="78"/>
  <c r="V17" i="57"/>
  <c r="AC17" i="57" s="1"/>
  <c r="I17" i="78" s="1"/>
  <c r="H17" i="78"/>
  <c r="V53" i="57"/>
  <c r="AC53" i="57" s="1"/>
  <c r="I53" i="78" s="1"/>
  <c r="H53" i="78"/>
  <c r="V46" i="57"/>
  <c r="AC46" i="57" s="1"/>
  <c r="I46" i="78" s="1"/>
  <c r="H46" i="78"/>
  <c r="V138" i="57"/>
  <c r="AC138" i="57" s="1"/>
  <c r="I138" i="78" s="1"/>
  <c r="H138" i="78"/>
  <c r="V113" i="57"/>
  <c r="AC113" i="57" s="1"/>
  <c r="I113" i="78" s="1"/>
  <c r="H113" i="78"/>
  <c r="V89" i="57"/>
  <c r="AC89" i="57" s="1"/>
  <c r="I89" i="78" s="1"/>
  <c r="H89" i="78"/>
  <c r="V142" i="57"/>
  <c r="AC142" i="57" s="1"/>
  <c r="I142" i="78" s="1"/>
  <c r="H142" i="78"/>
  <c r="V26" i="57"/>
  <c r="AC26" i="57" s="1"/>
  <c r="I26" i="78" s="1"/>
  <c r="H26" i="78"/>
  <c r="V121" i="57"/>
  <c r="AC121" i="57" s="1"/>
  <c r="I121" i="78" s="1"/>
  <c r="H121" i="78"/>
  <c r="V14" i="57"/>
  <c r="AC14" i="57" s="1"/>
  <c r="I14" i="78" s="1"/>
  <c r="H14" i="78"/>
  <c r="V63" i="57"/>
  <c r="AC63" i="57" s="1"/>
  <c r="I63" i="78" s="1"/>
  <c r="H63" i="78"/>
  <c r="V33" i="57"/>
  <c r="AC33" i="57" s="1"/>
  <c r="I33" i="78" s="1"/>
  <c r="H33" i="78"/>
  <c r="V153" i="57"/>
  <c r="AC153" i="57" s="1"/>
  <c r="I153" i="78" s="1"/>
  <c r="H153" i="78"/>
  <c r="V117" i="57"/>
  <c r="AC117" i="57" s="1"/>
  <c r="I117" i="78" s="1"/>
  <c r="H117" i="78"/>
  <c r="V23" i="57"/>
  <c r="AC23" i="57" s="1"/>
  <c r="I23" i="78" s="1"/>
  <c r="H23" i="78"/>
  <c r="V15" i="57"/>
  <c r="AC15" i="57" s="1"/>
  <c r="I15" i="78" s="1"/>
  <c r="H15" i="78"/>
  <c r="V57" i="57"/>
  <c r="AC57" i="57" s="1"/>
  <c r="I57" i="78" s="1"/>
  <c r="H57" i="78"/>
  <c r="V43" i="57"/>
  <c r="AC43" i="57" s="1"/>
  <c r="I43" i="78" s="1"/>
  <c r="H43" i="78"/>
  <c r="V172" i="57"/>
  <c r="AC172" i="57" s="1"/>
  <c r="I172" i="78" s="1"/>
  <c r="H172" i="78"/>
  <c r="V61" i="57"/>
  <c r="AC61" i="57" s="1"/>
  <c r="I61" i="78" s="1"/>
  <c r="H61" i="78"/>
  <c r="V30" i="57"/>
  <c r="AC30" i="57" s="1"/>
  <c r="I30" i="78" s="1"/>
  <c r="H30" i="78"/>
  <c r="V118" i="57"/>
  <c r="AC118" i="57" s="1"/>
  <c r="I118" i="78" s="1"/>
  <c r="H118" i="78"/>
  <c r="V18" i="57"/>
  <c r="AC18" i="57" s="1"/>
  <c r="I18" i="78" s="1"/>
  <c r="H18" i="78"/>
  <c r="V47" i="57"/>
  <c r="AC47" i="57" s="1"/>
  <c r="I47" i="78" s="1"/>
  <c r="H47" i="78"/>
  <c r="V27" i="57"/>
  <c r="AC27" i="57" s="1"/>
  <c r="I27" i="78" s="1"/>
  <c r="H27" i="78"/>
  <c r="V6" i="57"/>
  <c r="AC6" i="57" s="1"/>
  <c r="I6" i="78" s="1"/>
  <c r="H6" i="78"/>
  <c r="V5" i="57"/>
  <c r="AC5" i="57" s="1"/>
  <c r="I5" i="78" s="1"/>
  <c r="H5" i="78"/>
  <c r="V68" i="57"/>
  <c r="AC68" i="57" s="1"/>
  <c r="I68" i="78" s="1"/>
  <c r="H68" i="78"/>
  <c r="V51" i="57"/>
  <c r="AC51" i="57" s="1"/>
  <c r="I51" i="78" s="1"/>
  <c r="H51" i="78"/>
  <c r="V58" i="57"/>
  <c r="AC58" i="57" s="1"/>
  <c r="I58" i="78" s="1"/>
  <c r="H58" i="78"/>
  <c r="V64" i="57"/>
  <c r="AC64" i="57" s="1"/>
  <c r="I64" i="78" s="1"/>
  <c r="H64" i="78"/>
  <c r="V175" i="57"/>
  <c r="AC175" i="57" s="1"/>
  <c r="I175" i="78" s="1"/>
  <c r="H175" i="78"/>
  <c r="V22" i="57"/>
  <c r="AC22" i="57" s="1"/>
  <c r="I22" i="78" s="1"/>
  <c r="H22" i="78"/>
  <c r="U65" i="57"/>
  <c r="AB65" i="57" s="1"/>
  <c r="I65" i="77" s="1"/>
  <c r="H65" i="77"/>
  <c r="S88" i="57"/>
  <c r="Z88" i="57" s="1"/>
  <c r="I88" i="75" s="1"/>
  <c r="H88" i="75"/>
  <c r="U55" i="57"/>
  <c r="AB55" i="57" s="1"/>
  <c r="I55" i="77" s="1"/>
  <c r="H55" i="77"/>
  <c r="Q115" i="57"/>
  <c r="X115" i="57" s="1"/>
  <c r="I115" i="73" s="1"/>
  <c r="H115" i="73"/>
  <c r="T29" i="57"/>
  <c r="AA29" i="57" s="1"/>
  <c r="I29" i="76" s="1"/>
  <c r="H29" i="76"/>
  <c r="T44" i="57"/>
  <c r="AA44" i="57" s="1"/>
  <c r="I44" i="76" s="1"/>
  <c r="H44" i="76"/>
  <c r="S36" i="57"/>
  <c r="Z36" i="57" s="1"/>
  <c r="I36" i="75" s="1"/>
  <c r="H36" i="75"/>
  <c r="R7" i="57"/>
  <c r="Y7" i="57" s="1"/>
  <c r="I7" i="74" s="1"/>
  <c r="H7" i="74"/>
  <c r="S141" i="57"/>
  <c r="Z141" i="57" s="1"/>
  <c r="I141" i="75" s="1"/>
  <c r="H141" i="75"/>
  <c r="R116" i="57"/>
  <c r="Y116" i="57" s="1"/>
  <c r="I116" i="74" s="1"/>
  <c r="H116" i="74"/>
  <c r="U141" i="57"/>
  <c r="AB141" i="57" s="1"/>
  <c r="I141" i="77" s="1"/>
  <c r="H141" i="77"/>
  <c r="T55" i="57"/>
  <c r="AA55" i="57" s="1"/>
  <c r="I55" i="76" s="1"/>
  <c r="H55" i="76"/>
  <c r="Q116" i="57"/>
  <c r="X116" i="57" s="1"/>
  <c r="I116" i="73" s="1"/>
  <c r="H116" i="73"/>
  <c r="R29" i="57"/>
  <c r="Y29" i="57" s="1"/>
  <c r="I29" i="74" s="1"/>
  <c r="H29" i="74"/>
  <c r="S164" i="57"/>
  <c r="Z164" i="57" s="1"/>
  <c r="I164" i="75" s="1"/>
  <c r="H164" i="75"/>
  <c r="S56" i="57"/>
  <c r="Z56" i="57" s="1"/>
  <c r="I56" i="75" s="1"/>
  <c r="H56" i="75"/>
  <c r="U85" i="57"/>
  <c r="AB85" i="57" s="1"/>
  <c r="I85" i="77" s="1"/>
  <c r="H85" i="77"/>
  <c r="S115" i="57"/>
  <c r="Z115" i="57" s="1"/>
  <c r="I115" i="75" s="1"/>
  <c r="H115" i="75"/>
  <c r="U37" i="57"/>
  <c r="AB37" i="57" s="1"/>
  <c r="I37" i="77" s="1"/>
  <c r="H37" i="77"/>
  <c r="R142" i="57"/>
  <c r="Y142" i="57" s="1"/>
  <c r="I142" i="74" s="1"/>
  <c r="H142" i="74"/>
  <c r="T49" i="57"/>
  <c r="AA49" i="57" s="1"/>
  <c r="I49" i="76" s="1"/>
  <c r="H49" i="76"/>
  <c r="Q141" i="57"/>
  <c r="X141" i="57" s="1"/>
  <c r="I141" i="73" s="1"/>
  <c r="H141" i="73"/>
  <c r="Q33" i="57"/>
  <c r="X33" i="57" s="1"/>
  <c r="I33" i="73" s="1"/>
  <c r="H33" i="73"/>
  <c r="R153" i="57"/>
  <c r="Y153" i="57" s="1"/>
  <c r="I153" i="74" s="1"/>
  <c r="H153" i="74"/>
  <c r="Q164" i="57"/>
  <c r="X164" i="57" s="1"/>
  <c r="I164" i="73" s="1"/>
  <c r="H164" i="73"/>
  <c r="S45" i="57"/>
  <c r="Z45" i="57" s="1"/>
  <c r="I45" i="75" s="1"/>
  <c r="H45" i="75"/>
  <c r="R19" i="57"/>
  <c r="Y19" i="57" s="1"/>
  <c r="I19" i="74" s="1"/>
  <c r="H19" i="74"/>
  <c r="U33" i="57"/>
  <c r="AB33" i="57" s="1"/>
  <c r="I33" i="77" s="1"/>
  <c r="H33" i="77"/>
  <c r="S52" i="57"/>
  <c r="Z52" i="57" s="1"/>
  <c r="I52" i="75" s="1"/>
  <c r="H52" i="75"/>
  <c r="R15" i="57"/>
  <c r="Y15" i="57" s="1"/>
  <c r="I15" i="74" s="1"/>
  <c r="H15" i="74"/>
  <c r="S142" i="57"/>
  <c r="Z142" i="57" s="1"/>
  <c r="I142" i="75" s="1"/>
  <c r="H142" i="75"/>
  <c r="U20" i="57"/>
  <c r="AB20" i="57" s="1"/>
  <c r="I20" i="77" s="1"/>
  <c r="H20" i="77"/>
  <c r="R141" i="57"/>
  <c r="Y141" i="57" s="1"/>
  <c r="I141" i="74" s="1"/>
  <c r="H141" i="74"/>
  <c r="R33" i="57"/>
  <c r="Y33" i="57" s="1"/>
  <c r="I33" i="74" s="1"/>
  <c r="H33" i="74"/>
  <c r="U40" i="57"/>
  <c r="AB40" i="57" s="1"/>
  <c r="I40" i="77" s="1"/>
  <c r="H40" i="77"/>
  <c r="U116" i="57"/>
  <c r="AB116" i="57" s="1"/>
  <c r="I116" i="77" s="1"/>
  <c r="H116" i="77"/>
  <c r="T52" i="57"/>
  <c r="AA52" i="57" s="1"/>
  <c r="I52" i="76" s="1"/>
  <c r="H52" i="76"/>
  <c r="S23" i="57"/>
  <c r="Z23" i="57" s="1"/>
  <c r="I23" i="75" s="1"/>
  <c r="H23" i="75"/>
  <c r="U15" i="57"/>
  <c r="AB15" i="57" s="1"/>
  <c r="I15" i="77" s="1"/>
  <c r="H15" i="77"/>
  <c r="T43" i="57"/>
  <c r="AA43" i="57" s="1"/>
  <c r="I43" i="76" s="1"/>
  <c r="H43" i="76"/>
  <c r="U89" i="57"/>
  <c r="AB89" i="57" s="1"/>
  <c r="I89" i="77" s="1"/>
  <c r="H89" i="77"/>
  <c r="U142" i="57"/>
  <c r="AB142" i="57" s="1"/>
  <c r="I142" i="77" s="1"/>
  <c r="H142" i="77"/>
  <c r="S20" i="57"/>
  <c r="Z20" i="57" s="1"/>
  <c r="I20" i="75" s="1"/>
  <c r="H20" i="75"/>
  <c r="U63" i="57"/>
  <c r="AB63" i="57" s="1"/>
  <c r="I63" i="77" s="1"/>
  <c r="H63" i="77"/>
  <c r="U153" i="57"/>
  <c r="AB153" i="57" s="1"/>
  <c r="I153" i="77" s="1"/>
  <c r="H153" i="77"/>
  <c r="S32" i="57"/>
  <c r="Z32" i="57" s="1"/>
  <c r="I32" i="75" s="1"/>
  <c r="H32" i="75"/>
  <c r="S121" i="57"/>
  <c r="Z121" i="57" s="1"/>
  <c r="I121" i="75" s="1"/>
  <c r="H121" i="75"/>
  <c r="T14" i="57"/>
  <c r="AA14" i="57" s="1"/>
  <c r="I14" i="76" s="1"/>
  <c r="H14" i="76"/>
  <c r="R43" i="57"/>
  <c r="Y43" i="57" s="1"/>
  <c r="I43" i="74" s="1"/>
  <c r="H43" i="74"/>
  <c r="R52" i="57"/>
  <c r="Y52" i="57" s="1"/>
  <c r="I52" i="74" s="1"/>
  <c r="H52" i="74"/>
  <c r="R23" i="57"/>
  <c r="Y23" i="57" s="1"/>
  <c r="I23" i="74" s="1"/>
  <c r="H23" i="74"/>
  <c r="R17" i="57"/>
  <c r="Y17" i="57" s="1"/>
  <c r="I17" i="74" s="1"/>
  <c r="H17" i="74"/>
  <c r="Q162" i="57"/>
  <c r="X162" i="57" s="1"/>
  <c r="I162" i="73" s="1"/>
  <c r="H162" i="73"/>
  <c r="S61" i="57"/>
  <c r="Z61" i="57" s="1"/>
  <c r="I61" i="75" s="1"/>
  <c r="H61" i="75"/>
  <c r="S138" i="57"/>
  <c r="Z138" i="57" s="1"/>
  <c r="I138" i="75" s="1"/>
  <c r="H138" i="75"/>
  <c r="T113" i="57"/>
  <c r="AA113" i="57" s="1"/>
  <c r="I113" i="76" s="1"/>
  <c r="H113" i="76"/>
  <c r="R89" i="57"/>
  <c r="Y89" i="57" s="1"/>
  <c r="I89" i="74" s="1"/>
  <c r="H89" i="74"/>
  <c r="R64" i="57"/>
  <c r="Y64" i="57" s="1"/>
  <c r="I64" i="74" s="1"/>
  <c r="H64" i="74"/>
  <c r="Q175" i="57"/>
  <c r="X175" i="57" s="1"/>
  <c r="I175" i="73" s="1"/>
  <c r="H175" i="73"/>
  <c r="U27" i="57"/>
  <c r="AB27" i="57" s="1"/>
  <c r="I27" i="77" s="1"/>
  <c r="H27" i="77"/>
  <c r="T63" i="57"/>
  <c r="AA63" i="57" s="1"/>
  <c r="I63" i="76" s="1"/>
  <c r="H63" i="76"/>
  <c r="U172" i="57"/>
  <c r="AB172" i="57" s="1"/>
  <c r="I172" i="77" s="1"/>
  <c r="H172" i="77"/>
  <c r="Q26" i="57"/>
  <c r="X26" i="57" s="1"/>
  <c r="I26" i="73" s="1"/>
  <c r="H26" i="73"/>
  <c r="S5" i="57"/>
  <c r="Z5" i="57" s="1"/>
  <c r="I5" i="75" s="1"/>
  <c r="H5" i="75"/>
  <c r="Q18" i="57"/>
  <c r="X18" i="57" s="1"/>
  <c r="I18" i="73" s="1"/>
  <c r="H18" i="73"/>
  <c r="T47" i="57"/>
  <c r="AA47" i="57" s="1"/>
  <c r="I47" i="76" s="1"/>
  <c r="H47" i="76"/>
  <c r="S17" i="57"/>
  <c r="Z17" i="57" s="1"/>
  <c r="I17" i="75" s="1"/>
  <c r="H17" i="75"/>
  <c r="S53" i="57"/>
  <c r="Z53" i="57" s="1"/>
  <c r="I53" i="75" s="1"/>
  <c r="H53" i="75"/>
  <c r="Q52" i="57"/>
  <c r="X52" i="57" s="1"/>
  <c r="I52" i="73" s="1"/>
  <c r="H52" i="73"/>
  <c r="U61" i="57"/>
  <c r="AB61" i="57" s="1"/>
  <c r="I61" i="77" s="1"/>
  <c r="H61" i="77"/>
  <c r="R46" i="57"/>
  <c r="Y46" i="57" s="1"/>
  <c r="I46" i="74" s="1"/>
  <c r="H46" i="74"/>
  <c r="Q138" i="57"/>
  <c r="X138" i="57" s="1"/>
  <c r="I138" i="73" s="1"/>
  <c r="H138" i="73"/>
  <c r="U23" i="57"/>
  <c r="AB23" i="57" s="1"/>
  <c r="I23" i="77" s="1"/>
  <c r="H23" i="77"/>
  <c r="Q15" i="57"/>
  <c r="X15" i="57" s="1"/>
  <c r="I15" i="73" s="1"/>
  <c r="H15" i="73"/>
  <c r="T51" i="57"/>
  <c r="AA51" i="57" s="1"/>
  <c r="I51" i="76" s="1"/>
  <c r="H51" i="76"/>
  <c r="Q14" i="57"/>
  <c r="X14" i="57" s="1"/>
  <c r="I14" i="73" s="1"/>
  <c r="H14" i="73"/>
  <c r="S89" i="57"/>
  <c r="Z89" i="57" s="1"/>
  <c r="I89" i="75" s="1"/>
  <c r="H89" i="75"/>
  <c r="T35" i="57"/>
  <c r="AA35" i="57" s="1"/>
  <c r="I35" i="76" s="1"/>
  <c r="H35" i="76"/>
  <c r="S64" i="57"/>
  <c r="Z64" i="57" s="1"/>
  <c r="I64" i="75" s="1"/>
  <c r="H64" i="75"/>
  <c r="T175" i="57"/>
  <c r="AA175" i="57" s="1"/>
  <c r="I175" i="76" s="1"/>
  <c r="H175" i="76"/>
  <c r="Q27" i="57"/>
  <c r="X27" i="57" s="1"/>
  <c r="I27" i="73" s="1"/>
  <c r="H27" i="73"/>
  <c r="T34" i="57"/>
  <c r="AA34" i="57" s="1"/>
  <c r="I34" i="76" s="1"/>
  <c r="H34" i="76"/>
  <c r="U118" i="57"/>
  <c r="AB118" i="57" s="1"/>
  <c r="I118" i="77" s="1"/>
  <c r="H118" i="77"/>
  <c r="T5" i="57"/>
  <c r="AA5" i="57" s="1"/>
  <c r="I5" i="76" s="1"/>
  <c r="H5" i="76"/>
  <c r="R18" i="57"/>
  <c r="Y18" i="57" s="1"/>
  <c r="I18" i="74" s="1"/>
  <c r="H18" i="74"/>
  <c r="R47" i="57"/>
  <c r="Y47" i="57" s="1"/>
  <c r="I47" i="74" s="1"/>
  <c r="H47" i="74"/>
  <c r="T17" i="57"/>
  <c r="AA17" i="57" s="1"/>
  <c r="I17" i="76" s="1"/>
  <c r="H17" i="76"/>
  <c r="T53" i="57"/>
  <c r="AA53" i="57" s="1"/>
  <c r="I53" i="76" s="1"/>
  <c r="H53" i="76"/>
  <c r="T162" i="57"/>
  <c r="AA162" i="57" s="1"/>
  <c r="I162" i="76" s="1"/>
  <c r="H162" i="76"/>
  <c r="T30" i="57"/>
  <c r="AA30" i="57" s="1"/>
  <c r="I30" i="76" s="1"/>
  <c r="H30" i="76"/>
  <c r="S22" i="57"/>
  <c r="Z22" i="57" s="1"/>
  <c r="I22" i="75" s="1"/>
  <c r="H22" i="75"/>
  <c r="R117" i="57"/>
  <c r="Y117" i="57" s="1"/>
  <c r="I117" i="74" s="1"/>
  <c r="H117" i="74"/>
  <c r="T46" i="57"/>
  <c r="AA46" i="57" s="1"/>
  <c r="I46" i="76" s="1"/>
  <c r="H46" i="76"/>
  <c r="U138" i="57"/>
  <c r="AB138" i="57" s="1"/>
  <c r="I138" i="77" s="1"/>
  <c r="H138" i="77"/>
  <c r="T23" i="57"/>
  <c r="AA23" i="57" s="1"/>
  <c r="I23" i="76" s="1"/>
  <c r="H23" i="76"/>
  <c r="S51" i="57"/>
  <c r="Z51" i="57" s="1"/>
  <c r="I51" i="75" s="1"/>
  <c r="H51" i="75"/>
  <c r="T58" i="57"/>
  <c r="AA58" i="57" s="1"/>
  <c r="I58" i="76" s="1"/>
  <c r="H58" i="76"/>
  <c r="U7" i="57"/>
  <c r="AB7" i="57" s="1"/>
  <c r="I7" i="77" s="1"/>
  <c r="H7" i="77"/>
  <c r="T88" i="57"/>
  <c r="AA88" i="57" s="1"/>
  <c r="I88" i="76" s="1"/>
  <c r="H88" i="76"/>
  <c r="R54" i="57"/>
  <c r="Y54" i="57" s="1"/>
  <c r="I54" i="74" s="1"/>
  <c r="H54" i="74"/>
  <c r="Q16" i="57"/>
  <c r="X16" i="57" s="1"/>
  <c r="I16" i="73" s="1"/>
  <c r="H16" i="73"/>
  <c r="R44" i="57"/>
  <c r="Y44" i="57" s="1"/>
  <c r="I44" i="74" s="1"/>
  <c r="H44" i="74"/>
  <c r="Q21" i="57"/>
  <c r="X21" i="57" s="1"/>
  <c r="I21" i="73" s="1"/>
  <c r="H21" i="73"/>
  <c r="T42" i="57"/>
  <c r="AA42" i="57" s="1"/>
  <c r="I42" i="76" s="1"/>
  <c r="H42" i="76"/>
  <c r="U88" i="57"/>
  <c r="AB88" i="57" s="1"/>
  <c r="I88" i="77" s="1"/>
  <c r="H88" i="77"/>
  <c r="T119" i="57"/>
  <c r="AA119" i="57" s="1"/>
  <c r="I119" i="76" s="1"/>
  <c r="H119" i="76"/>
  <c r="U6" i="57"/>
  <c r="AB6" i="57" s="1"/>
  <c r="I6" i="77" s="1"/>
  <c r="H6" i="77"/>
  <c r="U62" i="57"/>
  <c r="AB62" i="57" s="1"/>
  <c r="I62" i="77" s="1"/>
  <c r="H62" i="77"/>
  <c r="T168" i="57"/>
  <c r="AA168" i="57" s="1"/>
  <c r="I168" i="76" s="1"/>
  <c r="H168" i="76"/>
  <c r="S68" i="57"/>
  <c r="Z68" i="57" s="1"/>
  <c r="I68" i="75" s="1"/>
  <c r="H68" i="75"/>
  <c r="Q29" i="57"/>
  <c r="X29" i="57" s="1"/>
  <c r="I29" i="73" s="1"/>
  <c r="H29" i="73"/>
  <c r="R58" i="57"/>
  <c r="Y58" i="57" s="1"/>
  <c r="I58" i="74" s="1"/>
  <c r="H58" i="74"/>
  <c r="R120" i="57"/>
  <c r="Y120" i="57" s="1"/>
  <c r="I120" i="74" s="1"/>
  <c r="H120" i="74"/>
  <c r="R88" i="57"/>
  <c r="Y88" i="57" s="1"/>
  <c r="I88" i="74" s="1"/>
  <c r="H88" i="74"/>
  <c r="Q19" i="57"/>
  <c r="X19" i="57" s="1"/>
  <c r="I19" i="73" s="1"/>
  <c r="H19" i="73"/>
  <c r="U54" i="57"/>
  <c r="AB54" i="57" s="1"/>
  <c r="I54" i="77" s="1"/>
  <c r="H54" i="77"/>
  <c r="T39" i="57"/>
  <c r="AA39" i="57" s="1"/>
  <c r="I39" i="76" s="1"/>
  <c r="H39" i="76"/>
  <c r="S37" i="57"/>
  <c r="Z37" i="57" s="1"/>
  <c r="I37" i="75" s="1"/>
  <c r="H37" i="75"/>
  <c r="U58" i="57"/>
  <c r="AB58" i="57" s="1"/>
  <c r="I58" i="77" s="1"/>
  <c r="H58" i="77"/>
  <c r="U42" i="57"/>
  <c r="AB42" i="57" s="1"/>
  <c r="I42" i="77" s="1"/>
  <c r="H42" i="77"/>
  <c r="Q25" i="57"/>
  <c r="X25" i="57" s="1"/>
  <c r="I25" i="73" s="1"/>
  <c r="H25" i="73"/>
  <c r="Q59" i="57"/>
  <c r="X59" i="57" s="1"/>
  <c r="I59" i="73" s="1"/>
  <c r="H59" i="73"/>
  <c r="R65" i="57"/>
  <c r="Y65" i="57" s="1"/>
  <c r="I65" i="74" s="1"/>
  <c r="H65" i="74"/>
  <c r="R115" i="57"/>
  <c r="Y115" i="57" s="1"/>
  <c r="I115" i="74" s="1"/>
  <c r="H115" i="74"/>
  <c r="U29" i="57"/>
  <c r="AB29" i="57" s="1"/>
  <c r="I29" i="77" s="1"/>
  <c r="H29" i="77"/>
  <c r="R164" i="57"/>
  <c r="Y164" i="57" s="1"/>
  <c r="I164" i="74" s="1"/>
  <c r="P164" i="74" s="1"/>
  <c r="R164" i="74" s="1"/>
  <c r="H164" i="74"/>
  <c r="S65" i="57"/>
  <c r="Z65" i="57" s="1"/>
  <c r="I65" i="75" s="1"/>
  <c r="H65" i="75"/>
  <c r="T115" i="57"/>
  <c r="AA115" i="57" s="1"/>
  <c r="I115" i="76" s="1"/>
  <c r="H115" i="76"/>
  <c r="T32" i="57"/>
  <c r="AA32" i="57" s="1"/>
  <c r="I32" i="76" s="1"/>
  <c r="H32" i="76"/>
  <c r="Q31" i="57"/>
  <c r="X31" i="57" s="1"/>
  <c r="I31" i="73" s="1"/>
  <c r="H31" i="73"/>
  <c r="S116" i="57"/>
  <c r="Z116" i="57" s="1"/>
  <c r="I116" i="75" s="1"/>
  <c r="H116" i="75"/>
  <c r="Q140" i="57"/>
  <c r="X140" i="57" s="1"/>
  <c r="I140" i="73" s="1"/>
  <c r="H140" i="73"/>
  <c r="S31" i="57"/>
  <c r="Z31" i="57" s="1"/>
  <c r="I31" i="75" s="1"/>
  <c r="H31" i="75"/>
  <c r="T31" i="57"/>
  <c r="AA31" i="57" s="1"/>
  <c r="I31" i="76" s="1"/>
  <c r="H31" i="76"/>
  <c r="Q65" i="57"/>
  <c r="X65" i="57" s="1"/>
  <c r="I65" i="73" s="1"/>
  <c r="H65" i="73"/>
  <c r="U31" i="57"/>
  <c r="AB31" i="57" s="1"/>
  <c r="I31" i="77" s="1"/>
  <c r="H31" i="77"/>
  <c r="U151" i="57"/>
  <c r="AB151" i="57" s="1"/>
  <c r="I151" i="77" s="1"/>
  <c r="H151" i="77"/>
  <c r="U28" i="57"/>
  <c r="AB28" i="57" s="1"/>
  <c r="I28" i="77" s="1"/>
  <c r="H28" i="77"/>
  <c r="S42" i="57"/>
  <c r="Z42" i="57" s="1"/>
  <c r="I42" i="75" s="1"/>
  <c r="H42" i="75"/>
  <c r="T6" i="57"/>
  <c r="AA6" i="57" s="1"/>
  <c r="I6" i="76" s="1"/>
  <c r="H6" i="76"/>
  <c r="S55" i="57"/>
  <c r="Z55" i="57" s="1"/>
  <c r="I55" i="75" s="1"/>
  <c r="H55" i="75"/>
  <c r="Q62" i="57"/>
  <c r="X62" i="57" s="1"/>
  <c r="I62" i="73" s="1"/>
  <c r="H62" i="73"/>
  <c r="U60" i="57"/>
  <c r="AB60" i="57" s="1"/>
  <c r="I60" i="77" s="1"/>
  <c r="H60" i="77"/>
  <c r="T67" i="57"/>
  <c r="AA67" i="57" s="1"/>
  <c r="I67" i="76" s="1"/>
  <c r="H67" i="76"/>
  <c r="R59" i="57"/>
  <c r="Y59" i="57" s="1"/>
  <c r="I59" i="74" s="1"/>
  <c r="H59" i="74"/>
  <c r="S39" i="57"/>
  <c r="Z39" i="57" s="1"/>
  <c r="I39" i="75" s="1"/>
  <c r="H39" i="75"/>
  <c r="Q122" i="57"/>
  <c r="X122" i="57" s="1"/>
  <c r="I122" i="73" s="1"/>
  <c r="H122" i="73"/>
  <c r="R41" i="57"/>
  <c r="Y41" i="57" s="1"/>
  <c r="I41" i="74" s="1"/>
  <c r="H41" i="74"/>
  <c r="T25" i="57"/>
  <c r="AA25" i="57" s="1"/>
  <c r="I25" i="76" s="1"/>
  <c r="H25" i="76"/>
  <c r="S59" i="57"/>
  <c r="Z59" i="57" s="1"/>
  <c r="I59" i="75" s="1"/>
  <c r="H59" i="75"/>
  <c r="T54" i="57"/>
  <c r="AA54" i="57" s="1"/>
  <c r="I54" i="76" s="1"/>
  <c r="H54" i="76"/>
  <c r="R39" i="57"/>
  <c r="Y39" i="57" s="1"/>
  <c r="I39" i="74" s="1"/>
  <c r="H39" i="74"/>
  <c r="Q24" i="57"/>
  <c r="X24" i="57" s="1"/>
  <c r="I24" i="73" s="1"/>
  <c r="H24" i="73"/>
  <c r="R37" i="57"/>
  <c r="Y37" i="57" s="1"/>
  <c r="I37" i="74" s="1"/>
  <c r="H37" i="74"/>
  <c r="Q151" i="57"/>
  <c r="X151" i="57" s="1"/>
  <c r="I151" i="73" s="1"/>
  <c r="H151" i="73"/>
  <c r="U119" i="57"/>
  <c r="AB119" i="57" s="1"/>
  <c r="I119" i="77" s="1"/>
  <c r="H119" i="77"/>
  <c r="Q48" i="57"/>
  <c r="X48" i="57" s="1"/>
  <c r="I48" i="73" s="1"/>
  <c r="H48" i="73"/>
  <c r="R55" i="57"/>
  <c r="Y55" i="57" s="1"/>
  <c r="I55" i="74" s="1"/>
  <c r="H55" i="74"/>
  <c r="U168" i="57"/>
  <c r="AB168" i="57" s="1"/>
  <c r="I168" i="77" s="1"/>
  <c r="H168" i="77"/>
  <c r="U68" i="57"/>
  <c r="AB68" i="57" s="1"/>
  <c r="I68" i="77" s="1"/>
  <c r="H68" i="77"/>
  <c r="Q38" i="57"/>
  <c r="X38" i="57" s="1"/>
  <c r="I38" i="73" s="1"/>
  <c r="H38" i="73"/>
  <c r="S29" i="57"/>
  <c r="Z29" i="57" s="1"/>
  <c r="I29" i="75" s="1"/>
  <c r="H29" i="75"/>
  <c r="R24" i="57"/>
  <c r="Y24" i="57" s="1"/>
  <c r="I24" i="74" s="1"/>
  <c r="H24" i="74"/>
  <c r="S44" i="57"/>
  <c r="Z44" i="57" s="1"/>
  <c r="I44" i="75" s="1"/>
  <c r="H44" i="75"/>
  <c r="S120" i="57"/>
  <c r="Z120" i="57" s="1"/>
  <c r="I120" i="75" s="1"/>
  <c r="H120" i="75"/>
  <c r="S7" i="57"/>
  <c r="Z7" i="57" s="1"/>
  <c r="I7" i="75" s="1"/>
  <c r="H7" i="75"/>
  <c r="Q119" i="57"/>
  <c r="X119" i="57" s="1"/>
  <c r="I119" i="73" s="1"/>
  <c r="H119" i="73"/>
  <c r="T141" i="57"/>
  <c r="AA141" i="57" s="1"/>
  <c r="I141" i="76" s="1"/>
  <c r="H141" i="76"/>
  <c r="U19" i="57"/>
  <c r="AB19" i="57" s="1"/>
  <c r="I19" i="77" s="1"/>
  <c r="H19" i="77"/>
  <c r="R48" i="57"/>
  <c r="Y48" i="57" s="1"/>
  <c r="I48" i="74" s="1"/>
  <c r="H48" i="74"/>
  <c r="R62" i="57"/>
  <c r="Y62" i="57" s="1"/>
  <c r="I62" i="74" s="1"/>
  <c r="H62" i="74"/>
  <c r="R31" i="57"/>
  <c r="Y31" i="57" s="1"/>
  <c r="I31" i="74" s="1"/>
  <c r="H31" i="74"/>
  <c r="U45" i="57"/>
  <c r="AB45" i="57" s="1"/>
  <c r="I45" i="77" s="1"/>
  <c r="H45" i="77"/>
  <c r="S62" i="57"/>
  <c r="Z62" i="57" s="1"/>
  <c r="I62" i="75" s="1"/>
  <c r="H62" i="75"/>
  <c r="T59" i="57"/>
  <c r="AA59" i="57" s="1"/>
  <c r="I59" i="76" s="1"/>
  <c r="H59" i="76"/>
  <c r="U44" i="57"/>
  <c r="AB44" i="57" s="1"/>
  <c r="I44" i="77" s="1"/>
  <c r="H44" i="77"/>
  <c r="T36" i="57"/>
  <c r="AA36" i="57" s="1"/>
  <c r="I36" i="76" s="1"/>
  <c r="H36" i="76"/>
  <c r="Q50" i="57"/>
  <c r="X50" i="57" s="1"/>
  <c r="I50" i="73" s="1"/>
  <c r="H50" i="73"/>
  <c r="T120" i="57"/>
  <c r="AA120" i="57" s="1"/>
  <c r="I120" i="76" s="1"/>
  <c r="H120" i="76"/>
  <c r="T48" i="57"/>
  <c r="AA48" i="57" s="1"/>
  <c r="I48" i="76" s="1"/>
  <c r="H48" i="76"/>
  <c r="S85" i="57"/>
  <c r="Z85" i="57" s="1"/>
  <c r="I85" i="75" s="1"/>
  <c r="H85" i="75"/>
  <c r="T38" i="57"/>
  <c r="AA38" i="57" s="1"/>
  <c r="I38" i="76" s="1"/>
  <c r="H38" i="76"/>
  <c r="R32" i="57"/>
  <c r="Y32" i="57" s="1"/>
  <c r="I32" i="74" s="1"/>
  <c r="H32" i="74"/>
  <c r="T37" i="57"/>
  <c r="AA37" i="57" s="1"/>
  <c r="I37" i="76" s="1"/>
  <c r="H37" i="76"/>
  <c r="T50" i="57"/>
  <c r="AA50" i="57" s="1"/>
  <c r="I50" i="76" s="1"/>
  <c r="H50" i="76"/>
  <c r="S19" i="57"/>
  <c r="Z19" i="57" s="1"/>
  <c r="I19" i="75" s="1"/>
  <c r="H19" i="75"/>
  <c r="S50" i="57"/>
  <c r="Z50" i="57" s="1"/>
  <c r="I50" i="75" s="1"/>
  <c r="H50" i="75"/>
  <c r="R20" i="57"/>
  <c r="Y20" i="57" s="1"/>
  <c r="I20" i="74" s="1"/>
  <c r="H20" i="74"/>
  <c r="U56" i="57"/>
  <c r="AB56" i="57" s="1"/>
  <c r="I56" i="77" s="1"/>
  <c r="H56" i="77"/>
  <c r="T19" i="57"/>
  <c r="AA19" i="57" s="1"/>
  <c r="I19" i="76" s="1"/>
  <c r="H19" i="76"/>
  <c r="R85" i="57"/>
  <c r="Y85" i="57" s="1"/>
  <c r="I85" i="74" s="1"/>
  <c r="H85" i="74"/>
  <c r="U38" i="57"/>
  <c r="AB38" i="57" s="1"/>
  <c r="I38" i="77" s="1"/>
  <c r="H38" i="77"/>
  <c r="U32" i="57"/>
  <c r="AB32" i="57" s="1"/>
  <c r="I32" i="77" s="1"/>
  <c r="H32" i="77"/>
  <c r="U50" i="57"/>
  <c r="AB50" i="57" s="1"/>
  <c r="I50" i="77" s="1"/>
  <c r="H50" i="77"/>
  <c r="U49" i="57"/>
  <c r="AB49" i="57" s="1"/>
  <c r="I49" i="77" s="1"/>
  <c r="H49" i="77"/>
  <c r="Q40" i="57"/>
  <c r="X40" i="57" s="1"/>
  <c r="I40" i="73" s="1"/>
  <c r="H40" i="73"/>
  <c r="S57" i="57"/>
  <c r="Z57" i="57" s="1"/>
  <c r="I57" i="75" s="1"/>
  <c r="H57" i="75"/>
  <c r="R49" i="57"/>
  <c r="Y49" i="57" s="1"/>
  <c r="I49" i="74" s="1"/>
  <c r="H49" i="74"/>
  <c r="S26" i="57"/>
  <c r="Z26" i="57" s="1"/>
  <c r="I26" i="75" s="1"/>
  <c r="H26" i="75"/>
  <c r="R162" i="57"/>
  <c r="Y162" i="57" s="1"/>
  <c r="I162" i="74" s="1"/>
  <c r="H162" i="74"/>
  <c r="T57" i="57"/>
  <c r="AA57" i="57" s="1"/>
  <c r="I57" i="76" s="1"/>
  <c r="H57" i="76"/>
  <c r="S49" i="57"/>
  <c r="Z49" i="57" s="1"/>
  <c r="I49" i="75" s="1"/>
  <c r="H49" i="75"/>
  <c r="Q63" i="57"/>
  <c r="X63" i="57" s="1"/>
  <c r="I63" i="73" s="1"/>
  <c r="H63" i="73"/>
  <c r="T26" i="57"/>
  <c r="AA26" i="57" s="1"/>
  <c r="I26" i="76" s="1"/>
  <c r="H26" i="76"/>
  <c r="R53" i="57"/>
  <c r="Y53" i="57" s="1"/>
  <c r="I53" i="74" s="1"/>
  <c r="H53" i="74"/>
  <c r="T153" i="57"/>
  <c r="AA153" i="57" s="1"/>
  <c r="I153" i="76" s="1"/>
  <c r="H153" i="76"/>
  <c r="Q23" i="57"/>
  <c r="X23" i="57" s="1"/>
  <c r="I23" i="73" s="1"/>
  <c r="H23" i="73"/>
  <c r="T172" i="57"/>
  <c r="AA172" i="57" s="1"/>
  <c r="I172" i="76" s="1"/>
  <c r="H172" i="76"/>
  <c r="S40" i="57"/>
  <c r="Z40" i="57" s="1"/>
  <c r="I40" i="75" s="1"/>
  <c r="H40" i="75"/>
  <c r="Q85" i="57"/>
  <c r="X85" i="57" s="1"/>
  <c r="I85" i="73" s="1"/>
  <c r="H85" i="73"/>
  <c r="S162" i="57"/>
  <c r="Z162" i="57" s="1"/>
  <c r="I162" i="75" s="1"/>
  <c r="H162" i="75"/>
  <c r="S140" i="57"/>
  <c r="Z140" i="57" s="1"/>
  <c r="I140" i="75" s="1"/>
  <c r="H140" i="75"/>
  <c r="Q57" i="57"/>
  <c r="X57" i="57" s="1"/>
  <c r="I57" i="73" s="1"/>
  <c r="H57" i="73"/>
  <c r="R172" i="57"/>
  <c r="Y172" i="57" s="1"/>
  <c r="I172" i="74" s="1"/>
  <c r="H172" i="74"/>
  <c r="T33" i="57"/>
  <c r="AA33" i="57" s="1"/>
  <c r="I33" i="76" s="1"/>
  <c r="H33" i="76"/>
  <c r="T40" i="57"/>
  <c r="AA40" i="57" s="1"/>
  <c r="I40" i="76" s="1"/>
  <c r="H40" i="76"/>
  <c r="Q17" i="57"/>
  <c r="X17" i="57" s="1"/>
  <c r="I17" i="73" s="1"/>
  <c r="H17" i="73"/>
  <c r="Q153" i="57"/>
  <c r="X153" i="57" s="1"/>
  <c r="I153" i="73" s="1"/>
  <c r="H153" i="73"/>
  <c r="Q61" i="57"/>
  <c r="X61" i="57" s="1"/>
  <c r="I61" i="73" s="1"/>
  <c r="H61" i="73"/>
  <c r="Q46" i="57"/>
  <c r="X46" i="57" s="1"/>
  <c r="I46" i="73" s="1"/>
  <c r="H46" i="73"/>
  <c r="T138" i="57"/>
  <c r="AA138" i="57" s="1"/>
  <c r="I138" i="76" s="1"/>
  <c r="H138" i="76"/>
  <c r="S113" i="57"/>
  <c r="Z113" i="57" s="1"/>
  <c r="I113" i="75" s="1"/>
  <c r="H113" i="75"/>
  <c r="S43" i="57"/>
  <c r="Z43" i="57" s="1"/>
  <c r="I43" i="75" s="1"/>
  <c r="H43" i="75"/>
  <c r="U34" i="57"/>
  <c r="AB34" i="57" s="1"/>
  <c r="I34" i="77" s="1"/>
  <c r="H34" i="77"/>
  <c r="U43" i="57"/>
  <c r="AB43" i="57" s="1"/>
  <c r="I43" i="77" s="1"/>
  <c r="H43" i="77"/>
  <c r="R14" i="57"/>
  <c r="Y14" i="57" s="1"/>
  <c r="I14" i="74" s="1"/>
  <c r="H14" i="74"/>
  <c r="Q43" i="57"/>
  <c r="X43" i="57" s="1"/>
  <c r="I43" i="73" s="1"/>
  <c r="H43" i="73"/>
  <c r="R35" i="57"/>
  <c r="Y35" i="57" s="1"/>
  <c r="I35" i="74" s="1"/>
  <c r="H35" i="74"/>
  <c r="U175" i="57"/>
  <c r="AB175" i="57" s="1"/>
  <c r="I175" i="77" s="1"/>
  <c r="H175" i="77"/>
  <c r="R27" i="57"/>
  <c r="Y27" i="57" s="1"/>
  <c r="I27" i="74" s="1"/>
  <c r="H27" i="74"/>
  <c r="R34" i="57"/>
  <c r="Y34" i="57" s="1"/>
  <c r="I34" i="74" s="1"/>
  <c r="H34" i="74"/>
  <c r="R63" i="57"/>
  <c r="Y63" i="57" s="1"/>
  <c r="I63" i="74" s="1"/>
  <c r="H63" i="74"/>
  <c r="Q5" i="57"/>
  <c r="X5" i="57" s="1"/>
  <c r="I5" i="73" s="1"/>
  <c r="H5" i="73"/>
  <c r="U47" i="57"/>
  <c r="AB47" i="57" s="1"/>
  <c r="I47" i="77" s="1"/>
  <c r="H47" i="77"/>
  <c r="U17" i="57"/>
  <c r="AB17" i="57" s="1"/>
  <c r="I17" i="77" s="1"/>
  <c r="H17" i="77"/>
  <c r="U53" i="57"/>
  <c r="AB53" i="57" s="1"/>
  <c r="I53" i="77" s="1"/>
  <c r="H53" i="77"/>
  <c r="Q67" i="57"/>
  <c r="X67" i="57" s="1"/>
  <c r="I67" i="73" s="1"/>
  <c r="H67" i="73"/>
  <c r="R22" i="57"/>
  <c r="Y22" i="57" s="1"/>
  <c r="I22" i="74" s="1"/>
  <c r="H22" i="74"/>
  <c r="T61" i="57"/>
  <c r="AA61" i="57" s="1"/>
  <c r="I61" i="76" s="1"/>
  <c r="H61" i="76"/>
  <c r="R66" i="57"/>
  <c r="Y66" i="57" s="1"/>
  <c r="I66" i="74" s="1"/>
  <c r="H66" i="74"/>
  <c r="T28" i="57"/>
  <c r="AA28" i="57" s="1"/>
  <c r="I28" i="76" s="1"/>
  <c r="H28" i="76"/>
  <c r="R67" i="57"/>
  <c r="Y67" i="57" s="1"/>
  <c r="I67" i="74" s="1"/>
  <c r="H67" i="74"/>
  <c r="T117" i="57"/>
  <c r="AA117" i="57" s="1"/>
  <c r="I117" i="76" s="1"/>
  <c r="H117" i="76"/>
  <c r="S46" i="57"/>
  <c r="Z46" i="57" s="1"/>
  <c r="I46" i="75" s="1"/>
  <c r="H46" i="75"/>
  <c r="S122" i="57"/>
  <c r="Z122" i="57" s="1"/>
  <c r="I122" i="75" s="1"/>
  <c r="H122" i="75"/>
  <c r="S151" i="57"/>
  <c r="Z151" i="57" s="1"/>
  <c r="I151" i="75" s="1"/>
  <c r="H151" i="75"/>
  <c r="Q35" i="57"/>
  <c r="X35" i="57" s="1"/>
  <c r="I35" i="73" s="1"/>
  <c r="H35" i="73"/>
  <c r="Q60" i="57"/>
  <c r="X60" i="57" s="1"/>
  <c r="I60" i="73" s="1"/>
  <c r="H60" i="73"/>
  <c r="U67" i="57"/>
  <c r="AB67" i="57" s="1"/>
  <c r="I67" i="77" s="1"/>
  <c r="H67" i="77"/>
  <c r="U22" i="57"/>
  <c r="AB22" i="57" s="1"/>
  <c r="I22" i="77" s="1"/>
  <c r="H22" i="77"/>
  <c r="U117" i="57"/>
  <c r="AB117" i="57" s="1"/>
  <c r="I117" i="77" s="1"/>
  <c r="H117" i="77"/>
  <c r="T24" i="57"/>
  <c r="AA24" i="57" s="1"/>
  <c r="I24" i="76" s="1"/>
  <c r="H24" i="76"/>
  <c r="T66" i="57"/>
  <c r="AA66" i="57" s="1"/>
  <c r="I66" i="76" s="1"/>
  <c r="H66" i="76"/>
  <c r="Q6" i="57"/>
  <c r="X6" i="57" s="1"/>
  <c r="I6" i="73" s="1"/>
  <c r="H6" i="73"/>
  <c r="T87" i="57"/>
  <c r="AA87" i="57" s="1"/>
  <c r="I87" i="76" s="1"/>
  <c r="H87" i="76"/>
  <c r="S118" i="57"/>
  <c r="Z118" i="57" s="1"/>
  <c r="I118" i="75" s="1"/>
  <c r="H118" i="75"/>
  <c r="T18" i="57"/>
  <c r="AA18" i="57" s="1"/>
  <c r="I18" i="76" s="1"/>
  <c r="H18" i="76"/>
  <c r="Q68" i="57"/>
  <c r="X68" i="57" s="1"/>
  <c r="I68" i="73" s="1"/>
  <c r="H68" i="73"/>
  <c r="Q22" i="57"/>
  <c r="X22" i="57" s="1"/>
  <c r="I22" i="73" s="1"/>
  <c r="H22" i="73"/>
  <c r="U39" i="57"/>
  <c r="AB39" i="57" s="1"/>
  <c r="I39" i="77" s="1"/>
  <c r="H39" i="77"/>
  <c r="T16" i="57"/>
  <c r="AA16" i="57" s="1"/>
  <c r="I16" i="76" s="1"/>
  <c r="H16" i="76"/>
  <c r="U66" i="57"/>
  <c r="AB66" i="57" s="1"/>
  <c r="I66" i="77" s="1"/>
  <c r="H66" i="77"/>
  <c r="S58" i="57"/>
  <c r="Z58" i="57" s="1"/>
  <c r="I58" i="75" s="1"/>
  <c r="H58" i="75"/>
  <c r="R151" i="57"/>
  <c r="Y151" i="57" s="1"/>
  <c r="I151" i="74" s="1"/>
  <c r="H151" i="74"/>
  <c r="T21" i="57"/>
  <c r="AA21" i="57" s="1"/>
  <c r="I21" i="76" s="1"/>
  <c r="H21" i="76"/>
  <c r="S28" i="57"/>
  <c r="Z28" i="57" s="1"/>
  <c r="I28" i="75" s="1"/>
  <c r="H28" i="75"/>
  <c r="U35" i="57"/>
  <c r="AB35" i="57" s="1"/>
  <c r="I35" i="77" s="1"/>
  <c r="H35" i="77"/>
  <c r="S119" i="57"/>
  <c r="Z119" i="57" s="1"/>
  <c r="I119" i="75" s="1"/>
  <c r="H119" i="75"/>
  <c r="S6" i="57"/>
  <c r="Z6" i="57" s="1"/>
  <c r="I6" i="75" s="1"/>
  <c r="H6" i="75"/>
  <c r="U41" i="57"/>
  <c r="AB41" i="57" s="1"/>
  <c r="I41" i="77" s="1"/>
  <c r="H41" i="77"/>
  <c r="S87" i="57"/>
  <c r="Z87" i="57" s="1"/>
  <c r="I87" i="75" s="1"/>
  <c r="H87" i="75"/>
  <c r="R118" i="57"/>
  <c r="Y118" i="57" s="1"/>
  <c r="I118" i="74" s="1"/>
  <c r="H118" i="74"/>
  <c r="S25" i="57"/>
  <c r="Z25" i="57" s="1"/>
  <c r="I25" i="75" s="1"/>
  <c r="H25" i="75"/>
  <c r="R68" i="57"/>
  <c r="Y68" i="57" s="1"/>
  <c r="I68" i="74" s="1"/>
  <c r="H68" i="74"/>
  <c r="S60" i="57"/>
  <c r="Z60" i="57" s="1"/>
  <c r="I60" i="75" s="1"/>
  <c r="H60" i="75"/>
  <c r="S67" i="57"/>
  <c r="Z67" i="57" s="1"/>
  <c r="I67" i="75" s="1"/>
  <c r="H67" i="75"/>
  <c r="Q39" i="57"/>
  <c r="X39" i="57" s="1"/>
  <c r="I39" i="73" s="1"/>
  <c r="H39" i="73"/>
  <c r="U24" i="57"/>
  <c r="AB24" i="57" s="1"/>
  <c r="I24" i="77" s="1"/>
  <c r="H24" i="77"/>
  <c r="U16" i="57"/>
  <c r="AB16" i="57" s="1"/>
  <c r="I16" i="77" s="1"/>
  <c r="H16" i="77"/>
  <c r="U122" i="57"/>
  <c r="AB122" i="57" s="1"/>
  <c r="I122" i="77" s="1"/>
  <c r="H122" i="77"/>
  <c r="Q66" i="57"/>
  <c r="X66" i="57" s="1"/>
  <c r="I66" i="73" s="1"/>
  <c r="H66" i="73"/>
  <c r="Q51" i="57"/>
  <c r="X51" i="57" s="1"/>
  <c r="I51" i="73" s="1"/>
  <c r="H51" i="73"/>
  <c r="R168" i="57"/>
  <c r="Y168" i="57" s="1"/>
  <c r="I168" i="74" s="1"/>
  <c r="Q7" i="57"/>
  <c r="X7" i="57" s="1"/>
  <c r="I7" i="73" s="1"/>
  <c r="H7" i="73"/>
  <c r="Q45" i="57"/>
  <c r="X45" i="57" s="1"/>
  <c r="I45" i="73" s="1"/>
  <c r="H45" i="73"/>
  <c r="R50" i="57"/>
  <c r="Y50" i="57" s="1"/>
  <c r="I50" i="74" s="1"/>
  <c r="H50" i="74"/>
  <c r="Q120" i="57"/>
  <c r="X120" i="57" s="1"/>
  <c r="I120" i="73" s="1"/>
  <c r="H120" i="73"/>
  <c r="Q42" i="57"/>
  <c r="X42" i="57" s="1"/>
  <c r="I42" i="73" s="1"/>
  <c r="H42" i="73"/>
  <c r="R56" i="57"/>
  <c r="Y56" i="57" s="1"/>
  <c r="I56" i="74" s="1"/>
  <c r="H56" i="74"/>
  <c r="S48" i="57"/>
  <c r="Z48" i="57" s="1"/>
  <c r="I48" i="75" s="1"/>
  <c r="H48" i="75"/>
  <c r="Q55" i="57"/>
  <c r="X55" i="57" s="1"/>
  <c r="I55" i="73" s="1"/>
  <c r="H55" i="73"/>
  <c r="Q168" i="57"/>
  <c r="X168" i="57" s="1"/>
  <c r="I168" i="73" s="1"/>
  <c r="H168" i="73"/>
  <c r="R38" i="57"/>
  <c r="Y38" i="57" s="1"/>
  <c r="I38" i="74" s="1"/>
  <c r="H38" i="74"/>
  <c r="S54" i="57"/>
  <c r="Z54" i="57" s="1"/>
  <c r="I54" i="75" s="1"/>
  <c r="H54" i="75"/>
  <c r="Q37" i="57"/>
  <c r="X37" i="57" s="1"/>
  <c r="I37" i="73" s="1"/>
  <c r="H37" i="73"/>
  <c r="T7" i="57"/>
  <c r="AA7" i="57" s="1"/>
  <c r="I7" i="76" s="1"/>
  <c r="H7" i="76"/>
  <c r="T56" i="57"/>
  <c r="AA56" i="57" s="1"/>
  <c r="I56" i="76" s="1"/>
  <c r="H56" i="76"/>
  <c r="T62" i="57"/>
  <c r="AA62" i="57" s="1"/>
  <c r="I62" i="76" s="1"/>
  <c r="H62" i="76"/>
  <c r="U59" i="57"/>
  <c r="AB59" i="57" s="1"/>
  <c r="I59" i="77" s="1"/>
  <c r="H59" i="77"/>
  <c r="Q44" i="57"/>
  <c r="X44" i="57" s="1"/>
  <c r="I44" i="73" s="1"/>
  <c r="H44" i="73"/>
  <c r="Q36" i="57"/>
  <c r="X36" i="57" s="1"/>
  <c r="I36" i="73" s="1"/>
  <c r="H36" i="73"/>
  <c r="T65" i="57"/>
  <c r="AA65" i="57" s="1"/>
  <c r="I65" i="76" s="1"/>
  <c r="H65" i="76"/>
  <c r="U120" i="57"/>
  <c r="AB120" i="57" s="1"/>
  <c r="I120" i="77" s="1"/>
  <c r="H120" i="77"/>
  <c r="Q20" i="57"/>
  <c r="X20" i="57" s="1"/>
  <c r="I20" i="73" s="1"/>
  <c r="H20" i="73"/>
  <c r="Q49" i="57"/>
  <c r="X49" i="57" s="1"/>
  <c r="I49" i="73" s="1"/>
  <c r="H49" i="73"/>
  <c r="U48" i="57"/>
  <c r="AB48" i="57" s="1"/>
  <c r="I48" i="77" s="1"/>
  <c r="H48" i="77"/>
  <c r="S38" i="57"/>
  <c r="Z38" i="57" s="1"/>
  <c r="I38" i="75" s="1"/>
  <c r="H38" i="75"/>
  <c r="U140" i="57"/>
  <c r="AB140" i="57" s="1"/>
  <c r="I140" i="77" s="1"/>
  <c r="H140" i="77"/>
  <c r="T164" i="57"/>
  <c r="AA164" i="57" s="1"/>
  <c r="I164" i="76" s="1"/>
  <c r="H164" i="76"/>
  <c r="R45" i="57"/>
  <c r="Y45" i="57" s="1"/>
  <c r="I45" i="74" s="1"/>
  <c r="H45" i="74"/>
  <c r="U115" i="57"/>
  <c r="AB115" i="57" s="1"/>
  <c r="I115" i="77" s="1"/>
  <c r="H115" i="77"/>
  <c r="Q113" i="57"/>
  <c r="X113" i="57" s="1"/>
  <c r="I113" i="73" s="1"/>
  <c r="H113" i="73"/>
  <c r="R57" i="57"/>
  <c r="Y57" i="57" s="1"/>
  <c r="I57" i="74" s="1"/>
  <c r="H57" i="74"/>
  <c r="Q142" i="57"/>
  <c r="X142" i="57" s="1"/>
  <c r="I142" i="73" s="1"/>
  <c r="H142" i="73"/>
  <c r="T20" i="57"/>
  <c r="AA20" i="57" s="1"/>
  <c r="I20" i="76" s="1"/>
  <c r="H20" i="76"/>
  <c r="R26" i="57"/>
  <c r="Y26" i="57" s="1"/>
  <c r="I26" i="74" s="1"/>
  <c r="H26" i="74"/>
  <c r="T85" i="57"/>
  <c r="AA85" i="57" s="1"/>
  <c r="I85" i="76" s="1"/>
  <c r="H85" i="76"/>
  <c r="T116" i="57"/>
  <c r="AA116" i="57" s="1"/>
  <c r="I116" i="76" s="1"/>
  <c r="H116" i="76"/>
  <c r="S153" i="57"/>
  <c r="Z153" i="57" s="1"/>
  <c r="I153" i="75" s="1"/>
  <c r="H153" i="75"/>
  <c r="U164" i="57"/>
  <c r="AB164" i="57" s="1"/>
  <c r="I164" i="77" s="1"/>
  <c r="H164" i="77"/>
  <c r="T45" i="57"/>
  <c r="AA45" i="57" s="1"/>
  <c r="I45" i="76" s="1"/>
  <c r="H45" i="76"/>
  <c r="R36" i="57"/>
  <c r="Y36" i="57" s="1"/>
  <c r="I36" i="74" s="1"/>
  <c r="H36" i="74"/>
  <c r="R113" i="57"/>
  <c r="Y113" i="57" s="1"/>
  <c r="I113" i="74" s="1"/>
  <c r="H113" i="74"/>
  <c r="U36" i="57"/>
  <c r="AB36" i="57" s="1"/>
  <c r="I36" i="77" s="1"/>
  <c r="H36" i="77"/>
  <c r="Q89" i="57"/>
  <c r="X89" i="57" s="1"/>
  <c r="I89" i="73" s="1"/>
  <c r="H89" i="73"/>
  <c r="T142" i="57"/>
  <c r="AA142" i="57" s="1"/>
  <c r="I142" i="76" s="1"/>
  <c r="H142" i="76"/>
  <c r="Q56" i="57"/>
  <c r="X56" i="57" s="1"/>
  <c r="I56" i="73" s="1"/>
  <c r="H56" i="73"/>
  <c r="Q172" i="57"/>
  <c r="X172" i="57" s="1"/>
  <c r="I172" i="73" s="1"/>
  <c r="H172" i="73"/>
  <c r="S33" i="57"/>
  <c r="Z33" i="57" s="1"/>
  <c r="I33" i="75" s="1"/>
  <c r="H33" i="75"/>
  <c r="R40" i="57"/>
  <c r="Y40" i="57" s="1"/>
  <c r="I40" i="74" s="1"/>
  <c r="H40" i="74"/>
  <c r="R140" i="57"/>
  <c r="Y140" i="57" s="1"/>
  <c r="I140" i="74" s="1"/>
  <c r="H140" i="74"/>
  <c r="Q32" i="57"/>
  <c r="X32" i="57" s="1"/>
  <c r="I32" i="73" s="1"/>
  <c r="H32" i="73"/>
  <c r="R138" i="57"/>
  <c r="Y138" i="57" s="1"/>
  <c r="I138" i="74" s="1"/>
  <c r="H138" i="74"/>
  <c r="U113" i="57"/>
  <c r="AB113" i="57" s="1"/>
  <c r="I113" i="77" s="1"/>
  <c r="H113" i="77"/>
  <c r="S14" i="57"/>
  <c r="Z14" i="57" s="1"/>
  <c r="I14" i="75" s="1"/>
  <c r="H14" i="75"/>
  <c r="U26" i="57"/>
  <c r="AB26" i="57" s="1"/>
  <c r="I26" i="77" s="1"/>
  <c r="H26" i="77"/>
  <c r="S15" i="57"/>
  <c r="Z15" i="57" s="1"/>
  <c r="I15" i="75" s="1"/>
  <c r="H15" i="75"/>
  <c r="Q34" i="57"/>
  <c r="X34" i="57" s="1"/>
  <c r="I34" i="73" s="1"/>
  <c r="H34" i="73"/>
  <c r="S63" i="57"/>
  <c r="Z63" i="57" s="1"/>
  <c r="I63" i="75" s="1"/>
  <c r="H63" i="75"/>
  <c r="U162" i="57"/>
  <c r="AB162" i="57" s="1"/>
  <c r="I162" i="77" s="1"/>
  <c r="H162" i="77"/>
  <c r="T140" i="57"/>
  <c r="AA140" i="57" s="1"/>
  <c r="I140" i="76" s="1"/>
  <c r="H140" i="76"/>
  <c r="T15" i="57"/>
  <c r="AA15" i="57" s="1"/>
  <c r="I15" i="76" s="1"/>
  <c r="H15" i="76"/>
  <c r="T89" i="57"/>
  <c r="AA89" i="57" s="1"/>
  <c r="I89" i="76" s="1"/>
  <c r="H89" i="76"/>
  <c r="U57" i="57"/>
  <c r="AB57" i="57" s="1"/>
  <c r="I57" i="77" s="1"/>
  <c r="H57" i="77"/>
  <c r="T27" i="57"/>
  <c r="AA27" i="57" s="1"/>
  <c r="I27" i="76" s="1"/>
  <c r="H27" i="76"/>
  <c r="S172" i="57"/>
  <c r="Z172" i="57" s="1"/>
  <c r="I172" i="75" s="1"/>
  <c r="H172" i="75"/>
  <c r="S47" i="57"/>
  <c r="Z47" i="57" s="1"/>
  <c r="I47" i="75" s="1"/>
  <c r="H47" i="75"/>
  <c r="Q53" i="57"/>
  <c r="X53" i="57" s="1"/>
  <c r="I53" i="73" s="1"/>
  <c r="H53" i="73"/>
  <c r="U52" i="57"/>
  <c r="AB52" i="57" s="1"/>
  <c r="I52" i="77" s="1"/>
  <c r="H52" i="77"/>
  <c r="T121" i="57"/>
  <c r="AA121" i="57" s="1"/>
  <c r="I121" i="76" s="1"/>
  <c r="H121" i="76"/>
  <c r="Q121" i="57"/>
  <c r="X121" i="57" s="1"/>
  <c r="I121" i="73" s="1"/>
  <c r="H121" i="73"/>
  <c r="Q64" i="57"/>
  <c r="X64" i="57" s="1"/>
  <c r="I64" i="73" s="1"/>
  <c r="H64" i="73"/>
  <c r="U18" i="57"/>
  <c r="AB18" i="57" s="1"/>
  <c r="I18" i="77" s="1"/>
  <c r="H18" i="77"/>
  <c r="Q117" i="57"/>
  <c r="X117" i="57" s="1"/>
  <c r="I117" i="73" s="1"/>
  <c r="H117" i="73"/>
  <c r="U46" i="57"/>
  <c r="AB46" i="57" s="1"/>
  <c r="I46" i="77" s="1"/>
  <c r="H46" i="77"/>
  <c r="R122" i="57"/>
  <c r="Y122" i="57" s="1"/>
  <c r="I122" i="74" s="1"/>
  <c r="H122" i="74"/>
  <c r="U51" i="57"/>
  <c r="AB51" i="57" s="1"/>
  <c r="I51" i="77" s="1"/>
  <c r="H51" i="77"/>
  <c r="R121" i="57"/>
  <c r="Y121" i="57" s="1"/>
  <c r="I121" i="74" s="1"/>
  <c r="H121" i="74"/>
  <c r="U14" i="57"/>
  <c r="AB14" i="57" s="1"/>
  <c r="I14" i="77" s="1"/>
  <c r="H14" i="77"/>
  <c r="R21" i="57"/>
  <c r="Y21" i="57" s="1"/>
  <c r="I21" i="74" s="1"/>
  <c r="H21" i="74"/>
  <c r="S35" i="57"/>
  <c r="Z35" i="57" s="1"/>
  <c r="I35" i="75" s="1"/>
  <c r="H35" i="75"/>
  <c r="T64" i="57"/>
  <c r="AA64" i="57" s="1"/>
  <c r="I64" i="76" s="1"/>
  <c r="H64" i="76"/>
  <c r="R175" i="57"/>
  <c r="Y175" i="57" s="1"/>
  <c r="I175" i="74" s="1"/>
  <c r="H175" i="74"/>
  <c r="S27" i="57"/>
  <c r="Z27" i="57" s="1"/>
  <c r="I27" i="75" s="1"/>
  <c r="H27" i="75"/>
  <c r="S34" i="57"/>
  <c r="Z34" i="57" s="1"/>
  <c r="I34" i="75" s="1"/>
  <c r="H34" i="75"/>
  <c r="Q87" i="57"/>
  <c r="X87" i="57" s="1"/>
  <c r="I87" i="73" s="1"/>
  <c r="H87" i="73"/>
  <c r="U5" i="57"/>
  <c r="AB5" i="57" s="1"/>
  <c r="I5" i="77" s="1"/>
  <c r="H5" i="77"/>
  <c r="T60" i="57"/>
  <c r="AA60" i="57" s="1"/>
  <c r="I60" i="76" s="1"/>
  <c r="H60" i="76"/>
  <c r="R30" i="57"/>
  <c r="Y30" i="57" s="1"/>
  <c r="I30" i="74" s="1"/>
  <c r="H30" i="74"/>
  <c r="T22" i="57"/>
  <c r="AA22" i="57" s="1"/>
  <c r="I22" i="76" s="1"/>
  <c r="H22" i="76"/>
  <c r="R61" i="57"/>
  <c r="Y61" i="57" s="1"/>
  <c r="I61" i="74" s="1"/>
  <c r="H61" i="74"/>
  <c r="R16" i="57"/>
  <c r="Y16" i="57" s="1"/>
  <c r="I16" i="74" s="1"/>
  <c r="H16" i="74"/>
  <c r="S66" i="57"/>
  <c r="Z66" i="57" s="1"/>
  <c r="I66" i="75" s="1"/>
  <c r="H66" i="75"/>
  <c r="U121" i="57"/>
  <c r="AB121" i="57" s="1"/>
  <c r="I121" i="77" s="1"/>
  <c r="H121" i="77"/>
  <c r="S21" i="57"/>
  <c r="Z21" i="57" s="1"/>
  <c r="I21" i="75" s="1"/>
  <c r="H21" i="75"/>
  <c r="R28" i="57"/>
  <c r="Y28" i="57" s="1"/>
  <c r="I28" i="74" s="1"/>
  <c r="H28" i="74"/>
  <c r="U64" i="57"/>
  <c r="AB64" i="57" s="1"/>
  <c r="I64" i="77" s="1"/>
  <c r="H64" i="77"/>
  <c r="S175" i="57"/>
  <c r="Z175" i="57" s="1"/>
  <c r="I175" i="75" s="1"/>
  <c r="H175" i="75"/>
  <c r="Q41" i="57"/>
  <c r="X41" i="57" s="1"/>
  <c r="I41" i="73" s="1"/>
  <c r="H41" i="73"/>
  <c r="R87" i="57"/>
  <c r="Y87" i="57" s="1"/>
  <c r="I87" i="74" s="1"/>
  <c r="H87" i="74"/>
  <c r="Q118" i="57"/>
  <c r="X118" i="57" s="1"/>
  <c r="I118" i="73" s="1"/>
  <c r="H118" i="73"/>
  <c r="S18" i="57"/>
  <c r="Z18" i="57" s="1"/>
  <c r="I18" i="75" s="1"/>
  <c r="H18" i="75"/>
  <c r="Q47" i="57"/>
  <c r="X47" i="57" s="1"/>
  <c r="I47" i="73" s="1"/>
  <c r="H47" i="73"/>
  <c r="S30" i="57"/>
  <c r="Z30" i="57" s="1"/>
  <c r="I30" i="75" s="1"/>
  <c r="H30" i="75"/>
  <c r="S16" i="57"/>
  <c r="Z16" i="57" s="1"/>
  <c r="I16" i="75" s="1"/>
  <c r="H16" i="75"/>
  <c r="U21" i="57"/>
  <c r="AB21" i="57" s="1"/>
  <c r="I21" i="77" s="1"/>
  <c r="H21" i="77"/>
  <c r="Q28" i="57"/>
  <c r="X28" i="57" s="1"/>
  <c r="I28" i="73" s="1"/>
  <c r="H28" i="73"/>
  <c r="R119" i="57"/>
  <c r="Y119" i="57" s="1"/>
  <c r="I119" i="74" s="1"/>
  <c r="H119" i="74"/>
  <c r="S41" i="57"/>
  <c r="Z41" i="57" s="1"/>
  <c r="I41" i="75" s="1"/>
  <c r="H41" i="75"/>
  <c r="R5" i="57"/>
  <c r="Y5" i="57" s="1"/>
  <c r="I5" i="74" s="1"/>
  <c r="P5" i="74" s="1"/>
  <c r="H5" i="74"/>
  <c r="R25" i="57"/>
  <c r="Y25" i="57" s="1"/>
  <c r="I25" i="74" s="1"/>
  <c r="H25" i="74"/>
  <c r="R60" i="57"/>
  <c r="Y60" i="57" s="1"/>
  <c r="I60" i="74" s="1"/>
  <c r="H60" i="74"/>
  <c r="U30" i="57"/>
  <c r="AB30" i="57" s="1"/>
  <c r="I30" i="77" s="1"/>
  <c r="H30" i="77"/>
  <c r="S117" i="57"/>
  <c r="Z117" i="57" s="1"/>
  <c r="I117" i="75" s="1"/>
  <c r="H117" i="75"/>
  <c r="S24" i="57"/>
  <c r="Z24" i="57" s="1"/>
  <c r="I24" i="75" s="1"/>
  <c r="H24" i="75"/>
  <c r="T122" i="57"/>
  <c r="AA122" i="57" s="1"/>
  <c r="I122" i="76" s="1"/>
  <c r="H122" i="76"/>
  <c r="R51" i="57"/>
  <c r="Y51" i="57" s="1"/>
  <c r="I51" i="74" s="1"/>
  <c r="H51" i="74"/>
  <c r="Q58" i="57"/>
  <c r="X58" i="57" s="1"/>
  <c r="I58" i="73" s="1"/>
  <c r="H58" i="73"/>
  <c r="T151" i="57"/>
  <c r="AA151" i="57" s="1"/>
  <c r="I151" i="76" s="1"/>
  <c r="H151" i="76"/>
  <c r="R42" i="57"/>
  <c r="Y42" i="57" s="1"/>
  <c r="I42" i="74" s="1"/>
  <c r="H42" i="74"/>
  <c r="Q88" i="57"/>
  <c r="X88" i="57" s="1"/>
  <c r="I88" i="73" s="1"/>
  <c r="H88" i="73"/>
  <c r="R6" i="57"/>
  <c r="Y6" i="57" s="1"/>
  <c r="I6" i="74" s="1"/>
  <c r="H6" i="74"/>
  <c r="T41" i="57"/>
  <c r="AA41" i="57" s="1"/>
  <c r="I41" i="76" s="1"/>
  <c r="H41" i="76"/>
  <c r="U87" i="57"/>
  <c r="AB87" i="57" s="1"/>
  <c r="I87" i="77" s="1"/>
  <c r="H87" i="77"/>
  <c r="T118" i="57"/>
  <c r="AA118" i="57" s="1"/>
  <c r="I118" i="76" s="1"/>
  <c r="H118" i="76"/>
  <c r="S168" i="57"/>
  <c r="Z168" i="57" s="1"/>
  <c r="I168" i="75" s="1"/>
  <c r="H168" i="75"/>
  <c r="U25" i="57"/>
  <c r="AB25" i="57" s="1"/>
  <c r="I25" i="77" s="1"/>
  <c r="H25" i="77"/>
  <c r="T68" i="57"/>
  <c r="AA68" i="57" s="1"/>
  <c r="I68" i="76" s="1"/>
  <c r="H68" i="76"/>
  <c r="Q30" i="57"/>
  <c r="X30" i="57" s="1"/>
  <c r="I30" i="73" s="1"/>
  <c r="H30" i="73"/>
  <c r="Q54" i="57"/>
  <c r="X54" i="57" s="1"/>
  <c r="I54" i="73" s="1"/>
  <c r="H54" i="73"/>
  <c r="P21" i="57"/>
  <c r="W21" i="57" s="1"/>
  <c r="I21" i="72" s="1"/>
  <c r="H21" i="72"/>
  <c r="P25" i="57"/>
  <c r="W25" i="57" s="1"/>
  <c r="I25" i="72" s="1"/>
  <c r="H25" i="72"/>
  <c r="P68" i="57"/>
  <c r="W68" i="57" s="1"/>
  <c r="I68" i="72" s="1"/>
  <c r="H68" i="72"/>
  <c r="P24" i="57"/>
  <c r="W24" i="57" s="1"/>
  <c r="I24" i="72" s="1"/>
  <c r="H24" i="72"/>
  <c r="P58" i="57"/>
  <c r="W58" i="57" s="1"/>
  <c r="I58" i="72" s="1"/>
  <c r="H58" i="72"/>
  <c r="P120" i="57"/>
  <c r="W120" i="57" s="1"/>
  <c r="I120" i="72" s="1"/>
  <c r="H120" i="72"/>
  <c r="P7" i="57"/>
  <c r="W7" i="57" s="1"/>
  <c r="I7" i="72" s="1"/>
  <c r="H7" i="72"/>
  <c r="P48" i="57"/>
  <c r="W48" i="57" s="1"/>
  <c r="I48" i="72" s="1"/>
  <c r="H48" i="72"/>
  <c r="P55" i="57"/>
  <c r="W55" i="57" s="1"/>
  <c r="I55" i="72" s="1"/>
  <c r="H55" i="72"/>
  <c r="P60" i="57"/>
  <c r="W60" i="57" s="1"/>
  <c r="I60" i="72" s="1"/>
  <c r="H60" i="72"/>
  <c r="P16" i="57"/>
  <c r="W16" i="57" s="1"/>
  <c r="I16" i="72" s="1"/>
  <c r="H16" i="72"/>
  <c r="P44" i="57"/>
  <c r="W44" i="57" s="1"/>
  <c r="I44" i="72" s="1"/>
  <c r="H44" i="72"/>
  <c r="P50" i="57"/>
  <c r="W50" i="57" s="1"/>
  <c r="I50" i="72" s="1"/>
  <c r="H50" i="72"/>
  <c r="P6" i="57"/>
  <c r="W6" i="57" s="1"/>
  <c r="I6" i="72" s="1"/>
  <c r="H6" i="72"/>
  <c r="P62" i="57"/>
  <c r="W62" i="57" s="1"/>
  <c r="I62" i="72" s="1"/>
  <c r="H62" i="72"/>
  <c r="P115" i="57"/>
  <c r="W115" i="57" s="1"/>
  <c r="I115" i="72" s="1"/>
  <c r="H115" i="72"/>
  <c r="P59" i="57"/>
  <c r="W59" i="57" s="1"/>
  <c r="I59" i="72" s="1"/>
  <c r="H59" i="72"/>
  <c r="P39" i="57"/>
  <c r="W39" i="57" s="1"/>
  <c r="I39" i="72" s="1"/>
  <c r="H39" i="72"/>
  <c r="P31" i="57"/>
  <c r="W31" i="57" s="1"/>
  <c r="I31" i="72" s="1"/>
  <c r="H31" i="72"/>
  <c r="P113" i="57"/>
  <c r="W113" i="57" s="1"/>
  <c r="I113" i="72" s="1"/>
  <c r="H113" i="72"/>
  <c r="P89" i="57"/>
  <c r="W89" i="57" s="1"/>
  <c r="I89" i="72" s="1"/>
  <c r="H89" i="72"/>
  <c r="P56" i="57"/>
  <c r="W56" i="57" s="1"/>
  <c r="I56" i="72" s="1"/>
  <c r="H56" i="72"/>
  <c r="P172" i="57"/>
  <c r="W172" i="57" s="1"/>
  <c r="I172" i="72" s="1"/>
  <c r="H172" i="72"/>
  <c r="P85" i="57"/>
  <c r="W85" i="57" s="1"/>
  <c r="I85" i="72" s="1"/>
  <c r="H85" i="72"/>
  <c r="P153" i="57"/>
  <c r="W153" i="57" s="1"/>
  <c r="I153" i="72" s="1"/>
  <c r="H153" i="72"/>
  <c r="P140" i="57"/>
  <c r="W140" i="57" s="1"/>
  <c r="I140" i="72" s="1"/>
  <c r="H140" i="72"/>
  <c r="P32" i="57"/>
  <c r="W32" i="57" s="1"/>
  <c r="I32" i="72" s="1"/>
  <c r="H32" i="72"/>
  <c r="P15" i="57"/>
  <c r="W15" i="57" s="1"/>
  <c r="I15" i="72" s="1"/>
  <c r="H15" i="72"/>
  <c r="P45" i="57"/>
  <c r="W45" i="57" s="1"/>
  <c r="I45" i="72" s="1"/>
  <c r="H45" i="72"/>
  <c r="P164" i="57"/>
  <c r="W164" i="57" s="1"/>
  <c r="I164" i="72" s="1"/>
  <c r="H164" i="72"/>
  <c r="P57" i="57"/>
  <c r="W57" i="57" s="1"/>
  <c r="I57" i="72" s="1"/>
  <c r="H57" i="72"/>
  <c r="P33" i="57"/>
  <c r="W33" i="57" s="1"/>
  <c r="I33" i="72" s="1"/>
  <c r="H33" i="72"/>
  <c r="P52" i="57"/>
  <c r="W52" i="57" s="1"/>
  <c r="I52" i="72" s="1"/>
  <c r="H52" i="72"/>
  <c r="P23" i="57"/>
  <c r="W23" i="57" s="1"/>
  <c r="I23" i="72" s="1"/>
  <c r="H23" i="72"/>
  <c r="P29" i="57"/>
  <c r="W29" i="57" s="1"/>
  <c r="I29" i="72" s="1"/>
  <c r="H29" i="72"/>
  <c r="P175" i="57"/>
  <c r="W175" i="57" s="1"/>
  <c r="I175" i="72" s="1"/>
  <c r="H175" i="72"/>
  <c r="P14" i="57"/>
  <c r="W14" i="57" s="1"/>
  <c r="I14" i="72" s="1"/>
  <c r="H14" i="72"/>
  <c r="P34" i="57"/>
  <c r="W34" i="57" s="1"/>
  <c r="I34" i="72" s="1"/>
  <c r="H34" i="72"/>
  <c r="P162" i="57"/>
  <c r="W162" i="57" s="1"/>
  <c r="I162" i="72" s="1"/>
  <c r="H162" i="72"/>
  <c r="P22" i="57"/>
  <c r="W22" i="57" s="1"/>
  <c r="I22" i="72" s="1"/>
  <c r="H22" i="72"/>
  <c r="P117" i="57"/>
  <c r="W117" i="57" s="1"/>
  <c r="I117" i="72" s="1"/>
  <c r="H117" i="72"/>
  <c r="P40" i="57"/>
  <c r="W40" i="57" s="1"/>
  <c r="I40" i="72" s="1"/>
  <c r="H40" i="72"/>
  <c r="P121" i="57"/>
  <c r="W121" i="57" s="1"/>
  <c r="I121" i="72" s="1"/>
  <c r="H121" i="72"/>
  <c r="P116" i="57"/>
  <c r="W116" i="57" s="1"/>
  <c r="I116" i="72" s="1"/>
  <c r="H116" i="72"/>
  <c r="P42" i="57"/>
  <c r="W42" i="57" s="1"/>
  <c r="I42" i="72" s="1"/>
  <c r="H42" i="72"/>
  <c r="P36" i="57"/>
  <c r="W36" i="57" s="1"/>
  <c r="I36" i="72" s="1"/>
  <c r="H36" i="72"/>
  <c r="P65" i="57"/>
  <c r="W65" i="57" s="1"/>
  <c r="I65" i="72" s="1"/>
  <c r="H65" i="72"/>
  <c r="P141" i="57"/>
  <c r="W141" i="57" s="1"/>
  <c r="I141" i="72" s="1"/>
  <c r="H141" i="72"/>
  <c r="P20" i="57"/>
  <c r="W20" i="57" s="1"/>
  <c r="I20" i="72" s="1"/>
  <c r="H20" i="72"/>
  <c r="P27" i="57"/>
  <c r="W27" i="57" s="1"/>
  <c r="I27" i="72" s="1"/>
  <c r="H27" i="72"/>
  <c r="P53" i="57"/>
  <c r="W53" i="57" s="1"/>
  <c r="I53" i="72" s="1"/>
  <c r="H53" i="72"/>
  <c r="P26" i="57"/>
  <c r="W26" i="57" s="1"/>
  <c r="I26" i="72" s="1"/>
  <c r="H26" i="72"/>
  <c r="P18" i="57"/>
  <c r="W18" i="57" s="1"/>
  <c r="I18" i="72" s="1"/>
  <c r="H18" i="72"/>
  <c r="P63" i="57"/>
  <c r="W63" i="57" s="1"/>
  <c r="I63" i="72" s="1"/>
  <c r="H63" i="72"/>
  <c r="P66" i="57"/>
  <c r="W66" i="57" s="1"/>
  <c r="I66" i="72" s="1"/>
  <c r="H66" i="72"/>
  <c r="P28" i="57"/>
  <c r="W28" i="57" s="1"/>
  <c r="I28" i="72" s="1"/>
  <c r="H28" i="72"/>
  <c r="P87" i="57"/>
  <c r="W87" i="57" s="1"/>
  <c r="I87" i="72" s="1"/>
  <c r="H87" i="72"/>
  <c r="P118" i="57"/>
  <c r="W118" i="57" s="1"/>
  <c r="I118" i="72" s="1"/>
  <c r="H118" i="72"/>
  <c r="P138" i="57"/>
  <c r="W138" i="57" s="1"/>
  <c r="I138" i="72" s="1"/>
  <c r="H138" i="72"/>
  <c r="P41" i="57"/>
  <c r="W41" i="57" s="1"/>
  <c r="I41" i="72" s="1"/>
  <c r="H41" i="72"/>
  <c r="P17" i="57"/>
  <c r="W17" i="57" s="1"/>
  <c r="I17" i="72" s="1"/>
  <c r="H17" i="72"/>
  <c r="P51" i="57"/>
  <c r="W51" i="57" s="1"/>
  <c r="I51" i="72" s="1"/>
  <c r="H51" i="72"/>
  <c r="P61" i="57"/>
  <c r="W61" i="57" s="1"/>
  <c r="I61" i="72" s="1"/>
  <c r="H61" i="72"/>
  <c r="P122" i="57"/>
  <c r="W122" i="57" s="1"/>
  <c r="I122" i="72" s="1"/>
  <c r="H122" i="72"/>
  <c r="P19" i="57"/>
  <c r="W19" i="57" s="1"/>
  <c r="I19" i="72" s="1"/>
  <c r="H19" i="72"/>
  <c r="P38" i="57"/>
  <c r="W38" i="57" s="1"/>
  <c r="I38" i="72" s="1"/>
  <c r="H38" i="72"/>
  <c r="P46" i="57"/>
  <c r="W46" i="57" s="1"/>
  <c r="I46" i="72" s="1"/>
  <c r="H46" i="72"/>
  <c r="P35" i="57"/>
  <c r="W35" i="57" s="1"/>
  <c r="I35" i="72" s="1"/>
  <c r="H35" i="72"/>
  <c r="P67" i="57"/>
  <c r="W67" i="57" s="1"/>
  <c r="I67" i="72" s="1"/>
  <c r="H67" i="72"/>
  <c r="P119" i="57"/>
  <c r="W119" i="57" s="1"/>
  <c r="I119" i="72" s="1"/>
  <c r="H119" i="72"/>
  <c r="P49" i="57"/>
  <c r="W49" i="57" s="1"/>
  <c r="I49" i="72" s="1"/>
  <c r="H49" i="72"/>
  <c r="P37" i="57"/>
  <c r="W37" i="57" s="1"/>
  <c r="I37" i="72" s="1"/>
  <c r="H37" i="72"/>
  <c r="P43" i="57"/>
  <c r="W43" i="57" s="1"/>
  <c r="I43" i="72" s="1"/>
  <c r="H43" i="72"/>
  <c r="P47" i="57"/>
  <c r="W47" i="57" s="1"/>
  <c r="I47" i="72" s="1"/>
  <c r="H47" i="72"/>
  <c r="P142" i="57"/>
  <c r="W142" i="57" s="1"/>
  <c r="I142" i="72" s="1"/>
  <c r="H142" i="72"/>
  <c r="P151" i="57"/>
  <c r="W151" i="57" s="1"/>
  <c r="I151" i="72" s="1"/>
  <c r="H151" i="72"/>
  <c r="P64" i="57"/>
  <c r="W64" i="57" s="1"/>
  <c r="I64" i="72" s="1"/>
  <c r="H64" i="72"/>
  <c r="P88" i="57"/>
  <c r="W88" i="57" s="1"/>
  <c r="I88" i="72" s="1"/>
  <c r="H88" i="72"/>
  <c r="P5" i="57"/>
  <c r="W5" i="57" s="1"/>
  <c r="I5" i="72" s="1"/>
  <c r="H5" i="72"/>
  <c r="P168" i="57"/>
  <c r="W168" i="57" s="1"/>
  <c r="I168" i="72" s="1"/>
  <c r="H168" i="72"/>
  <c r="P30" i="57"/>
  <c r="W30" i="57" s="1"/>
  <c r="I30" i="72" s="1"/>
  <c r="H30" i="72"/>
  <c r="P54" i="57"/>
  <c r="W54" i="57" s="1"/>
  <c r="I54" i="72" s="1"/>
  <c r="H54" i="72"/>
  <c r="V12" i="45"/>
  <c r="K37" i="45"/>
  <c r="V37" i="45" s="1"/>
  <c r="V15" i="45"/>
  <c r="V16" i="45"/>
  <c r="K42" i="45"/>
  <c r="V42" i="45" s="1"/>
  <c r="X42" i="46"/>
  <c r="AO42" i="46" s="1"/>
  <c r="V18" i="45"/>
  <c r="K43" i="45"/>
  <c r="V43" i="45" s="1"/>
  <c r="K38" i="45"/>
  <c r="V38" i="45" s="1"/>
  <c r="X49" i="46"/>
  <c r="AO49" i="46" s="1"/>
  <c r="V14" i="45"/>
  <c r="K44" i="45"/>
  <c r="V44" i="45" s="1"/>
  <c r="K45" i="45"/>
  <c r="V45" i="45" s="1"/>
  <c r="X47" i="46"/>
  <c r="K29" i="45"/>
  <c r="V29" i="45" s="1"/>
  <c r="AF43" i="44"/>
  <c r="AH43" i="44" s="1"/>
  <c r="P36" i="54"/>
  <c r="P37" i="54" s="1"/>
  <c r="X98" i="46"/>
  <c r="AO98" i="46" s="1"/>
  <c r="X73" i="46"/>
  <c r="AO73" i="46" s="1"/>
  <c r="X68" i="46"/>
  <c r="AO68" i="46" s="1"/>
  <c r="X72" i="46"/>
  <c r="AO72" i="46" s="1"/>
  <c r="X67" i="46"/>
  <c r="X71" i="46"/>
  <c r="AO71" i="46" s="1"/>
  <c r="X63" i="46"/>
  <c r="AO63" i="46" s="1"/>
  <c r="X50" i="46"/>
  <c r="AO50" i="46" s="1"/>
  <c r="X51" i="46"/>
  <c r="AO51" i="46" s="1"/>
  <c r="X34" i="46"/>
  <c r="AO34" i="46" s="1"/>
  <c r="X30" i="46"/>
  <c r="AO30" i="46" s="1"/>
  <c r="X22" i="46"/>
  <c r="X23" i="46"/>
  <c r="AO23" i="46" s="1"/>
  <c r="X20" i="46"/>
  <c r="AO20" i="46" s="1"/>
  <c r="X13" i="46"/>
  <c r="AO13" i="46" s="1"/>
  <c r="X10" i="46"/>
  <c r="AO10" i="46" s="1"/>
  <c r="X24" i="46"/>
  <c r="AO24" i="46" s="1"/>
  <c r="V13" i="45"/>
  <c r="V24" i="45"/>
  <c r="K39" i="45"/>
  <c r="V39" i="45" s="1"/>
  <c r="K26" i="45"/>
  <c r="V26" i="45" s="1"/>
  <c r="K40" i="45"/>
  <c r="V40" i="45" s="1"/>
  <c r="K27" i="45"/>
  <c r="V27" i="45" s="1"/>
  <c r="K41" i="45"/>
  <c r="V41" i="45" s="1"/>
  <c r="AM12" i="46"/>
  <c r="AN12" i="46" s="1"/>
  <c r="Z16" i="46"/>
  <c r="W94" i="46"/>
  <c r="X94" i="46"/>
  <c r="W83" i="46"/>
  <c r="X83" i="46"/>
  <c r="W53" i="46"/>
  <c r="X53" i="46"/>
  <c r="W15" i="46"/>
  <c r="X15" i="46"/>
  <c r="W62" i="46"/>
  <c r="X62" i="46"/>
  <c r="X39" i="46"/>
  <c r="W39" i="46"/>
  <c r="W29" i="46"/>
  <c r="X29" i="46"/>
  <c r="W17" i="46"/>
  <c r="X17" i="46"/>
  <c r="Z15" i="46"/>
  <c r="X11" i="46"/>
  <c r="W11" i="46"/>
  <c r="X8" i="46"/>
  <c r="W8" i="46"/>
  <c r="W96" i="46"/>
  <c r="X96" i="46"/>
  <c r="X36" i="46"/>
  <c r="W36" i="46"/>
  <c r="X89" i="46"/>
  <c r="W89" i="46"/>
  <c r="W91" i="46"/>
  <c r="X91" i="46"/>
  <c r="W85" i="46"/>
  <c r="X85" i="46"/>
  <c r="W70" i="46"/>
  <c r="X70" i="46"/>
  <c r="W66" i="46"/>
  <c r="X66" i="46"/>
  <c r="W56" i="46"/>
  <c r="X56" i="46"/>
  <c r="AO56" i="46" s="1"/>
  <c r="W33" i="46"/>
  <c r="X33" i="46"/>
  <c r="X93" i="46"/>
  <c r="W93" i="46"/>
  <c r="W82" i="46"/>
  <c r="X82" i="46"/>
  <c r="W88" i="46"/>
  <c r="X88" i="46"/>
  <c r="AO88" i="46" s="1"/>
  <c r="X60" i="46"/>
  <c r="W60" i="46"/>
  <c r="W46" i="46"/>
  <c r="X46" i="46"/>
  <c r="W28" i="46"/>
  <c r="X28" i="46"/>
  <c r="W19" i="46"/>
  <c r="X19" i="46"/>
  <c r="W95" i="46"/>
  <c r="X95" i="46"/>
  <c r="W16" i="46"/>
  <c r="X16" i="46"/>
  <c r="X90" i="46"/>
  <c r="W90" i="46"/>
  <c r="W84" i="46"/>
  <c r="X84" i="46"/>
  <c r="X64" i="46"/>
  <c r="W64" i="46"/>
  <c r="W54" i="46"/>
  <c r="X54" i="46"/>
  <c r="AO54" i="46" s="1"/>
  <c r="W35" i="46"/>
  <c r="X35" i="46"/>
  <c r="W75" i="46"/>
  <c r="X75" i="46"/>
  <c r="X40" i="46"/>
  <c r="W40" i="46"/>
  <c r="W12" i="46"/>
  <c r="X12" i="46"/>
  <c r="W9" i="46"/>
  <c r="X9" i="46"/>
  <c r="W97" i="46"/>
  <c r="X97" i="46"/>
  <c r="X92" i="46"/>
  <c r="W92" i="46"/>
  <c r="X87" i="46"/>
  <c r="W87" i="46"/>
  <c r="X81" i="46"/>
  <c r="W81" i="46"/>
  <c r="X37" i="46"/>
  <c r="W37" i="46"/>
  <c r="W23" i="45"/>
  <c r="X23" i="45"/>
  <c r="X30" i="45"/>
  <c r="W30" i="45"/>
  <c r="W20" i="45"/>
  <c r="X20" i="45"/>
  <c r="X43" i="45"/>
  <c r="W43" i="45"/>
  <c r="X24" i="45"/>
  <c r="W24" i="45"/>
  <c r="W16" i="45"/>
  <c r="X16" i="45"/>
  <c r="W18" i="45"/>
  <c r="X18" i="45"/>
  <c r="W40" i="45"/>
  <c r="X40" i="45"/>
  <c r="W26" i="45"/>
  <c r="X26" i="45"/>
  <c r="W21" i="45"/>
  <c r="X21" i="45"/>
  <c r="X8" i="45"/>
  <c r="W8" i="45"/>
  <c r="V8" i="45"/>
  <c r="V19" i="45"/>
  <c r="K33" i="45"/>
  <c r="V33" i="45" s="1"/>
  <c r="K46" i="45"/>
  <c r="V46" i="45" s="1"/>
  <c r="V9" i="45"/>
  <c r="V20" i="45"/>
  <c r="K34" i="45"/>
  <c r="V34" i="45" s="1"/>
  <c r="V10" i="45"/>
  <c r="V21" i="45"/>
  <c r="K35" i="45"/>
  <c r="V35" i="45" s="1"/>
  <c r="J21" i="48"/>
  <c r="N4" i="63" s="1"/>
  <c r="N6" i="63" s="1"/>
  <c r="G25" i="62"/>
  <c r="N5" i="61" s="1"/>
  <c r="N6" i="61" s="1"/>
  <c r="AF8" i="45"/>
  <c r="AF16" i="45"/>
  <c r="AF20" i="45"/>
  <c r="AF21" i="45"/>
  <c r="AF23" i="45"/>
  <c r="AF24" i="45"/>
  <c r="AF43" i="45"/>
  <c r="K98" i="46"/>
  <c r="K97" i="46"/>
  <c r="K96" i="46"/>
  <c r="K95" i="46"/>
  <c r="K94" i="46"/>
  <c r="K93" i="46"/>
  <c r="K92" i="46"/>
  <c r="K91" i="46"/>
  <c r="K90" i="46"/>
  <c r="K89" i="46"/>
  <c r="K88" i="46"/>
  <c r="K87" i="46"/>
  <c r="K86" i="46"/>
  <c r="K85" i="46"/>
  <c r="K84" i="46"/>
  <c r="K83" i="46"/>
  <c r="K82" i="46"/>
  <c r="K81" i="46"/>
  <c r="K80" i="46"/>
  <c r="K78" i="46"/>
  <c r="K77" i="46"/>
  <c r="K76" i="46"/>
  <c r="K75" i="46"/>
  <c r="K74" i="46"/>
  <c r="K73" i="46"/>
  <c r="K72" i="46"/>
  <c r="K71" i="46"/>
  <c r="K70" i="46"/>
  <c r="K69" i="46"/>
  <c r="K68" i="46"/>
  <c r="K67" i="46"/>
  <c r="K66" i="46"/>
  <c r="K64" i="46"/>
  <c r="K63" i="46"/>
  <c r="K62" i="46"/>
  <c r="K60" i="46"/>
  <c r="K59" i="46"/>
  <c r="K58" i="46"/>
  <c r="K57" i="46"/>
  <c r="K56" i="46"/>
  <c r="K54" i="46"/>
  <c r="K53" i="46"/>
  <c r="K52" i="46"/>
  <c r="K51" i="46"/>
  <c r="K50" i="46"/>
  <c r="K49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0" i="46"/>
  <c r="K29" i="46"/>
  <c r="K28" i="46"/>
  <c r="K27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8" i="46"/>
  <c r="K7" i="46"/>
  <c r="L4" i="46"/>
  <c r="J98" i="46"/>
  <c r="J97" i="46"/>
  <c r="J96" i="46"/>
  <c r="J95" i="46"/>
  <c r="J94" i="46"/>
  <c r="J93" i="46"/>
  <c r="J92" i="46"/>
  <c r="J91" i="46"/>
  <c r="J90" i="46"/>
  <c r="J89" i="46"/>
  <c r="J88" i="46"/>
  <c r="J87" i="46"/>
  <c r="J86" i="46"/>
  <c r="J85" i="46"/>
  <c r="J84" i="46"/>
  <c r="J83" i="46"/>
  <c r="J82" i="46"/>
  <c r="J81" i="46"/>
  <c r="J80" i="46"/>
  <c r="J78" i="46"/>
  <c r="J77" i="46"/>
  <c r="J76" i="46"/>
  <c r="J75" i="46"/>
  <c r="J74" i="46"/>
  <c r="J73" i="46"/>
  <c r="J72" i="46"/>
  <c r="J71" i="46"/>
  <c r="J70" i="46"/>
  <c r="J69" i="46"/>
  <c r="J68" i="46"/>
  <c r="J67" i="46"/>
  <c r="J66" i="46"/>
  <c r="J64" i="46"/>
  <c r="J63" i="46"/>
  <c r="J62" i="46"/>
  <c r="J60" i="46"/>
  <c r="J59" i="46"/>
  <c r="J58" i="46"/>
  <c r="J57" i="46"/>
  <c r="J56" i="46"/>
  <c r="J54" i="46"/>
  <c r="J53" i="46"/>
  <c r="J52" i="46"/>
  <c r="J51" i="46"/>
  <c r="J50" i="46"/>
  <c r="J49" i="46"/>
  <c r="J47" i="46"/>
  <c r="J46" i="46"/>
  <c r="J45" i="46"/>
  <c r="J44" i="46"/>
  <c r="J43" i="46"/>
  <c r="J42" i="46"/>
  <c r="J41" i="46"/>
  <c r="J40" i="46"/>
  <c r="J39" i="46"/>
  <c r="J38" i="46"/>
  <c r="J37" i="46"/>
  <c r="J36" i="46"/>
  <c r="J35" i="46"/>
  <c r="J34" i="46"/>
  <c r="J33" i="46"/>
  <c r="J32" i="46"/>
  <c r="J30" i="46"/>
  <c r="J29" i="46"/>
  <c r="J28" i="46"/>
  <c r="J27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AB7" i="46"/>
  <c r="AK7" i="46" s="1"/>
  <c r="AM7" i="46" s="1"/>
  <c r="AB8" i="46"/>
  <c r="AG8" i="46" s="1"/>
  <c r="AH8" i="46" s="1"/>
  <c r="AB9" i="46"/>
  <c r="AB10" i="46"/>
  <c r="AG10" i="46" s="1"/>
  <c r="AH10" i="46" s="1"/>
  <c r="AB11" i="46"/>
  <c r="AB12" i="46"/>
  <c r="AG12" i="46" s="1"/>
  <c r="AH12" i="46" s="1"/>
  <c r="AB13" i="46"/>
  <c r="AG13" i="46" s="1"/>
  <c r="AH13" i="46" s="1"/>
  <c r="AB27" i="46"/>
  <c r="AG27" i="46" s="1"/>
  <c r="AH27" i="46" s="1"/>
  <c r="AB28" i="46"/>
  <c r="AB29" i="46"/>
  <c r="AG29" i="46" s="1"/>
  <c r="AH29" i="46" s="1"/>
  <c r="AB30" i="46"/>
  <c r="AG30" i="46" s="1"/>
  <c r="AH30" i="46" s="1"/>
  <c r="AB44" i="46"/>
  <c r="AG44" i="46" s="1"/>
  <c r="AH44" i="46" s="1"/>
  <c r="AB45" i="46"/>
  <c r="AG45" i="46" s="1"/>
  <c r="AH45" i="46" s="1"/>
  <c r="AB46" i="46"/>
  <c r="AG46" i="46" s="1"/>
  <c r="AH46" i="46" s="1"/>
  <c r="AB47" i="46"/>
  <c r="AG47" i="46" s="1"/>
  <c r="AH47" i="46" s="1"/>
  <c r="AB52" i="46"/>
  <c r="AG52" i="46" s="1"/>
  <c r="AH52" i="46" s="1"/>
  <c r="AB57" i="46"/>
  <c r="AG57" i="46" s="1"/>
  <c r="AH57" i="46" s="1"/>
  <c r="AB58" i="46"/>
  <c r="AB59" i="46"/>
  <c r="AG59" i="46" s="1"/>
  <c r="AH59" i="46" s="1"/>
  <c r="AB60" i="46"/>
  <c r="AM60" i="46" s="1"/>
  <c r="AN60" i="46" s="1"/>
  <c r="AB63" i="46"/>
  <c r="AG63" i="46" s="1"/>
  <c r="AH63" i="46" s="1"/>
  <c r="AB66" i="46"/>
  <c r="AG66" i="46" s="1"/>
  <c r="AH66" i="46" s="1"/>
  <c r="AB67" i="46"/>
  <c r="AG67" i="46" s="1"/>
  <c r="AH67" i="46" s="1"/>
  <c r="AB75" i="46"/>
  <c r="AB76" i="46"/>
  <c r="AG76" i="46" s="1"/>
  <c r="AH76" i="46" s="1"/>
  <c r="AB77" i="46"/>
  <c r="AG77" i="46" s="1"/>
  <c r="AH77" i="46" s="1"/>
  <c r="AB78" i="46"/>
  <c r="AG78" i="46" s="1"/>
  <c r="AH78" i="46" s="1"/>
  <c r="AB80" i="46"/>
  <c r="AB81" i="46"/>
  <c r="AM81" i="46" s="1"/>
  <c r="AN81" i="46" s="1"/>
  <c r="AB82" i="46"/>
  <c r="AG82" i="46" s="1"/>
  <c r="AH82" i="46" s="1"/>
  <c r="AB83" i="46"/>
  <c r="AM83" i="46" s="1"/>
  <c r="AN83" i="46" s="1"/>
  <c r="AB84" i="46"/>
  <c r="AM84" i="46" s="1"/>
  <c r="AN84" i="46" s="1"/>
  <c r="AB85" i="46"/>
  <c r="AG85" i="46" s="1"/>
  <c r="AH85" i="46" s="1"/>
  <c r="AB86" i="46"/>
  <c r="AG86" i="46" s="1"/>
  <c r="AH86" i="46" s="1"/>
  <c r="AB89" i="46"/>
  <c r="AM89" i="46" s="1"/>
  <c r="AN89" i="46" s="1"/>
  <c r="AB90" i="46"/>
  <c r="AM90" i="46" s="1"/>
  <c r="AN90" i="46" s="1"/>
  <c r="AB91" i="46"/>
  <c r="AG91" i="46" s="1"/>
  <c r="AH91" i="46" s="1"/>
  <c r="AB92" i="46"/>
  <c r="AG92" i="46" s="1"/>
  <c r="AH92" i="46" s="1"/>
  <c r="AB93" i="46"/>
  <c r="AB94" i="46"/>
  <c r="AB95" i="46"/>
  <c r="AG95" i="46" s="1"/>
  <c r="AH95" i="46" s="1"/>
  <c r="AB96" i="46"/>
  <c r="AM96" i="46" s="1"/>
  <c r="AN96" i="46" s="1"/>
  <c r="AF52" i="44"/>
  <c r="X52" i="44"/>
  <c r="AF51" i="44"/>
  <c r="X51" i="44"/>
  <c r="AF50" i="44"/>
  <c r="X50" i="44"/>
  <c r="AG49" i="44"/>
  <c r="AH49" i="44" s="1"/>
  <c r="AA49" i="44"/>
  <c r="AG48" i="44"/>
  <c r="AA48" i="44"/>
  <c r="AH48" i="44"/>
  <c r="AG47" i="44"/>
  <c r="AA47" i="44"/>
  <c r="AH47" i="44"/>
  <c r="AG46" i="44"/>
  <c r="AA46" i="44"/>
  <c r="AH46" i="44"/>
  <c r="AG45" i="44"/>
  <c r="AH45" i="44" s="1"/>
  <c r="AA45" i="44"/>
  <c r="AG44" i="44"/>
  <c r="AA44" i="44"/>
  <c r="AH44" i="44"/>
  <c r="AG43" i="44"/>
  <c r="AA43" i="44"/>
  <c r="AG42" i="44"/>
  <c r="AH42" i="44" s="1"/>
  <c r="AA42" i="44"/>
  <c r="AG41" i="44"/>
  <c r="AA41" i="44"/>
  <c r="AH41" i="44"/>
  <c r="M4" i="51"/>
  <c r="M4" i="49"/>
  <c r="M4" i="34"/>
  <c r="A13" i="35"/>
  <c r="G13" i="35" s="1"/>
  <c r="A12" i="35"/>
  <c r="G12" i="35" s="1"/>
  <c r="A11" i="35"/>
  <c r="G11" i="35" s="1"/>
  <c r="A10" i="35"/>
  <c r="G10" i="35" s="1"/>
  <c r="A9" i="35"/>
  <c r="G9" i="35" s="1"/>
  <c r="A7" i="35"/>
  <c r="G7" i="35" s="1"/>
  <c r="A6" i="35"/>
  <c r="G6" i="35" s="1"/>
  <c r="A5" i="35"/>
  <c r="G5" i="35" s="1"/>
  <c r="G4" i="35"/>
  <c r="R10" i="53" l="1"/>
  <c r="Q10" i="53"/>
  <c r="P10" i="53"/>
  <c r="U10" i="53"/>
  <c r="T10" i="53"/>
  <c r="S10" i="53"/>
  <c r="P62" i="76"/>
  <c r="R62" i="76" s="1"/>
  <c r="S62" i="76" s="1"/>
  <c r="P141" i="77"/>
  <c r="R141" i="77" s="1"/>
  <c r="S141" i="77" s="1"/>
  <c r="P58" i="75"/>
  <c r="R58" i="75" s="1"/>
  <c r="S58" i="75" s="1"/>
  <c r="P51" i="75"/>
  <c r="R51" i="75" s="1"/>
  <c r="S51" i="75" s="1"/>
  <c r="P39" i="77"/>
  <c r="R39" i="77" s="1"/>
  <c r="S39" i="77" s="1"/>
  <c r="P40" i="76"/>
  <c r="R40" i="76" s="1"/>
  <c r="S40" i="76" s="1"/>
  <c r="P31" i="74"/>
  <c r="R31" i="74" s="1"/>
  <c r="S31" i="74" s="1"/>
  <c r="P38" i="73"/>
  <c r="R38" i="73" s="1"/>
  <c r="S38" i="73" s="1"/>
  <c r="P59" i="75"/>
  <c r="R59" i="75" s="1"/>
  <c r="S59" i="75" s="1"/>
  <c r="P42" i="75"/>
  <c r="R42" i="75" s="1"/>
  <c r="S42" i="75" s="1"/>
  <c r="P115" i="76"/>
  <c r="R115" i="76" s="1"/>
  <c r="P39" i="76"/>
  <c r="R39" i="76" s="1"/>
  <c r="S39" i="76" s="1"/>
  <c r="P119" i="76"/>
  <c r="R119" i="76" s="1"/>
  <c r="S119" i="76" s="1"/>
  <c r="P23" i="76"/>
  <c r="R23" i="76" s="1"/>
  <c r="S23" i="76" s="1"/>
  <c r="P5" i="76"/>
  <c r="R5" i="76" s="1"/>
  <c r="P23" i="77"/>
  <c r="R23" i="77" s="1"/>
  <c r="S23" i="77" s="1"/>
  <c r="P172" i="77"/>
  <c r="R172" i="77" s="1"/>
  <c r="S172" i="77" s="1"/>
  <c r="P23" i="74"/>
  <c r="R23" i="74" s="1"/>
  <c r="S23" i="74" s="1"/>
  <c r="P43" i="76"/>
  <c r="R43" i="76" s="1"/>
  <c r="S43" i="76" s="1"/>
  <c r="P52" i="75"/>
  <c r="R52" i="75" s="1"/>
  <c r="S52" i="75" s="1"/>
  <c r="P115" i="75"/>
  <c r="R115" i="75" s="1"/>
  <c r="S115" i="75" s="1"/>
  <c r="P36" i="75"/>
  <c r="R36" i="75" s="1"/>
  <c r="S36" i="75" s="1"/>
  <c r="P41" i="76"/>
  <c r="R41" i="76" s="1"/>
  <c r="S41" i="76" s="1"/>
  <c r="P118" i="73"/>
  <c r="R118" i="73" s="1"/>
  <c r="S118" i="73" s="1"/>
  <c r="P22" i="76"/>
  <c r="R22" i="76" s="1"/>
  <c r="S22" i="76" s="1"/>
  <c r="P14" i="77"/>
  <c r="R14" i="77" s="1"/>
  <c r="S14" i="77" s="1"/>
  <c r="P53" i="73"/>
  <c r="R53" i="73" s="1"/>
  <c r="S53" i="73" s="1"/>
  <c r="P15" i="75"/>
  <c r="R15" i="75" s="1"/>
  <c r="S15" i="75" s="1"/>
  <c r="P142" i="76"/>
  <c r="R142" i="76" s="1"/>
  <c r="S142" i="76" s="1"/>
  <c r="P20" i="76"/>
  <c r="R20" i="76" s="1"/>
  <c r="S20" i="76" s="1"/>
  <c r="P20" i="73"/>
  <c r="R20" i="73" s="1"/>
  <c r="S20" i="73" s="1"/>
  <c r="P38" i="74"/>
  <c r="R38" i="74" s="1"/>
  <c r="S38" i="74" s="1"/>
  <c r="P51" i="74"/>
  <c r="R51" i="74" s="1"/>
  <c r="S51" i="74" s="1"/>
  <c r="P21" i="77"/>
  <c r="R21" i="77" s="1"/>
  <c r="S21" i="77" s="1"/>
  <c r="P21" i="75"/>
  <c r="R21" i="75" s="1"/>
  <c r="S21" i="75" s="1"/>
  <c r="P27" i="75"/>
  <c r="R27" i="75" s="1"/>
  <c r="S27" i="75" s="1"/>
  <c r="P18" i="77"/>
  <c r="R18" i="77" s="1"/>
  <c r="S18" i="77" s="1"/>
  <c r="P15" i="76"/>
  <c r="R15" i="76" s="1"/>
  <c r="S15" i="76" s="1"/>
  <c r="P164" i="77"/>
  <c r="R164" i="77" s="1"/>
  <c r="S164" i="77" s="1"/>
  <c r="P164" i="76"/>
  <c r="R164" i="76" s="1"/>
  <c r="P120" i="73"/>
  <c r="R120" i="73" s="1"/>
  <c r="S120" i="73" s="1"/>
  <c r="P60" i="75"/>
  <c r="R60" i="75" s="1"/>
  <c r="S60" i="75" s="1"/>
  <c r="P34" i="74"/>
  <c r="R34" i="74" s="1"/>
  <c r="S34" i="74" s="1"/>
  <c r="P50" i="75"/>
  <c r="R50" i="75" s="1"/>
  <c r="S50" i="75" s="1"/>
  <c r="P44" i="77"/>
  <c r="R44" i="77" s="1"/>
  <c r="S44" i="77" s="1"/>
  <c r="P37" i="74"/>
  <c r="R37" i="74" s="1"/>
  <c r="S37" i="74" s="1"/>
  <c r="P25" i="73"/>
  <c r="R25" i="73" s="1"/>
  <c r="S25" i="73" s="1"/>
  <c r="P68" i="75"/>
  <c r="R68" i="75" s="1"/>
  <c r="S68" i="75" s="1"/>
  <c r="P88" i="76"/>
  <c r="R88" i="76" s="1"/>
  <c r="S88" i="76" s="1"/>
  <c r="P89" i="75"/>
  <c r="R89" i="75" s="1"/>
  <c r="S89" i="75" s="1"/>
  <c r="P47" i="76"/>
  <c r="R47" i="76" s="1"/>
  <c r="S47" i="76" s="1"/>
  <c r="P138" i="75"/>
  <c r="R138" i="75" s="1"/>
  <c r="S138" i="75" s="1"/>
  <c r="P63" i="77"/>
  <c r="R63" i="77" s="1"/>
  <c r="S63" i="77" s="1"/>
  <c r="P141" i="74"/>
  <c r="R141" i="74" s="1"/>
  <c r="S141" i="74" s="1"/>
  <c r="P141" i="73"/>
  <c r="R141" i="73" s="1"/>
  <c r="S141" i="73" s="1"/>
  <c r="P25" i="77"/>
  <c r="R25" i="77" s="1"/>
  <c r="S25" i="77" s="1"/>
  <c r="P122" i="76"/>
  <c r="R122" i="76" s="1"/>
  <c r="S122" i="76" s="1"/>
  <c r="P16" i="75"/>
  <c r="R16" i="75" s="1"/>
  <c r="S16" i="75" s="1"/>
  <c r="P64" i="73"/>
  <c r="R64" i="73" s="1"/>
  <c r="S64" i="73" s="1"/>
  <c r="P40" i="74"/>
  <c r="R40" i="74" s="1"/>
  <c r="S40" i="74" s="1"/>
  <c r="P153" i="75"/>
  <c r="R153" i="75" s="1"/>
  <c r="S153" i="75" s="1"/>
  <c r="P140" i="77"/>
  <c r="R140" i="77" s="1"/>
  <c r="S140" i="77" s="1"/>
  <c r="P56" i="76"/>
  <c r="R56" i="76" s="1"/>
  <c r="S56" i="76" s="1"/>
  <c r="P28" i="76"/>
  <c r="R28" i="76" s="1"/>
  <c r="S28" i="76" s="1"/>
  <c r="P172" i="76"/>
  <c r="R172" i="76" s="1"/>
  <c r="S172" i="76" s="1"/>
  <c r="P59" i="76"/>
  <c r="R59" i="76" s="1"/>
  <c r="S59" i="76" s="1"/>
  <c r="P116" i="75"/>
  <c r="R116" i="75" s="1"/>
  <c r="S116" i="75" s="1"/>
  <c r="P168" i="76"/>
  <c r="R168" i="76" s="1"/>
  <c r="S168" i="76" s="1"/>
  <c r="P7" i="77"/>
  <c r="R7" i="77" s="1"/>
  <c r="S7" i="77" s="1"/>
  <c r="P17" i="76"/>
  <c r="R17" i="76" s="1"/>
  <c r="S17" i="76" s="1"/>
  <c r="P14" i="73"/>
  <c r="R14" i="73" s="1"/>
  <c r="S14" i="73" s="1"/>
  <c r="P20" i="75"/>
  <c r="R20" i="75" s="1"/>
  <c r="S20" i="75" s="1"/>
  <c r="P20" i="77"/>
  <c r="R20" i="77" s="1"/>
  <c r="S20" i="77" s="1"/>
  <c r="P49" i="76"/>
  <c r="R49" i="76" s="1"/>
  <c r="S49" i="76" s="1"/>
  <c r="P116" i="74"/>
  <c r="R116" i="74" s="1"/>
  <c r="S116" i="74" s="1"/>
  <c r="P30" i="75"/>
  <c r="R30" i="75" s="1"/>
  <c r="S30" i="75" s="1"/>
  <c r="P66" i="75"/>
  <c r="R66" i="75" s="1"/>
  <c r="S66" i="75" s="1"/>
  <c r="P64" i="76"/>
  <c r="R64" i="76" s="1"/>
  <c r="S64" i="76" s="1"/>
  <c r="P121" i="73"/>
  <c r="R121" i="73" s="1"/>
  <c r="S121" i="73" s="1"/>
  <c r="P162" i="77"/>
  <c r="R162" i="77" s="1"/>
  <c r="P33" i="75"/>
  <c r="R33" i="75" s="1"/>
  <c r="S33" i="75" s="1"/>
  <c r="P116" i="76"/>
  <c r="R116" i="76" s="1"/>
  <c r="S116" i="76" s="1"/>
  <c r="P38" i="75"/>
  <c r="R38" i="75" s="1"/>
  <c r="S38" i="75" s="1"/>
  <c r="P7" i="76"/>
  <c r="R7" i="76" s="1"/>
  <c r="S7" i="76" s="1"/>
  <c r="P45" i="73"/>
  <c r="R45" i="73" s="1"/>
  <c r="S45" i="73" s="1"/>
  <c r="P66" i="77"/>
  <c r="R66" i="77" s="1"/>
  <c r="S66" i="77" s="1"/>
  <c r="P153" i="73"/>
  <c r="R153" i="73" s="1"/>
  <c r="P40" i="73"/>
  <c r="R40" i="73" s="1"/>
  <c r="S40" i="73" s="1"/>
  <c r="P50" i="76"/>
  <c r="R50" i="76" s="1"/>
  <c r="S50" i="76" s="1"/>
  <c r="P62" i="75"/>
  <c r="R62" i="75" s="1"/>
  <c r="S62" i="75" s="1"/>
  <c r="P31" i="73"/>
  <c r="R31" i="73" s="1"/>
  <c r="S31" i="73" s="1"/>
  <c r="P51" i="76"/>
  <c r="R51" i="76" s="1"/>
  <c r="S51" i="76" s="1"/>
  <c r="P5" i="75"/>
  <c r="R5" i="75" s="1"/>
  <c r="S5" i="75" s="1"/>
  <c r="P162" i="73"/>
  <c r="R162" i="73" s="1"/>
  <c r="S162" i="73" s="1"/>
  <c r="P142" i="77"/>
  <c r="R142" i="77" s="1"/>
  <c r="S142" i="77" s="1"/>
  <c r="P142" i="75"/>
  <c r="R142" i="75" s="1"/>
  <c r="S142" i="75" s="1"/>
  <c r="P142" i="74"/>
  <c r="R142" i="74" s="1"/>
  <c r="S142" i="74" s="1"/>
  <c r="P141" i="75"/>
  <c r="R141" i="75" s="1"/>
  <c r="S141" i="75" s="1"/>
  <c r="P118" i="76"/>
  <c r="R118" i="76" s="1"/>
  <c r="S118" i="76" s="1"/>
  <c r="P47" i="73"/>
  <c r="R47" i="73" s="1"/>
  <c r="S47" i="73" s="1"/>
  <c r="P121" i="76"/>
  <c r="R121" i="76" s="1"/>
  <c r="S121" i="76" s="1"/>
  <c r="P63" i="75"/>
  <c r="R63" i="75" s="1"/>
  <c r="S63" i="75" s="1"/>
  <c r="P85" i="76"/>
  <c r="R85" i="76" s="1"/>
  <c r="S85" i="76" s="1"/>
  <c r="P48" i="77"/>
  <c r="R48" i="77" s="1"/>
  <c r="S48" i="77" s="1"/>
  <c r="P37" i="73"/>
  <c r="R37" i="73" s="1"/>
  <c r="S37" i="73" s="1"/>
  <c r="P7" i="73"/>
  <c r="R7" i="73" s="1"/>
  <c r="S7" i="73" s="1"/>
  <c r="P168" i="74"/>
  <c r="R168" i="74" s="1"/>
  <c r="S168" i="74" s="1"/>
  <c r="P16" i="76"/>
  <c r="R16" i="76" s="1"/>
  <c r="S16" i="76" s="1"/>
  <c r="P153" i="76"/>
  <c r="R153" i="76" s="1"/>
  <c r="P49" i="77"/>
  <c r="R49" i="77" s="1"/>
  <c r="S49" i="77" s="1"/>
  <c r="P37" i="76"/>
  <c r="R37" i="76" s="1"/>
  <c r="S37" i="76" s="1"/>
  <c r="P45" i="77"/>
  <c r="R45" i="77" s="1"/>
  <c r="S45" i="77" s="1"/>
  <c r="P29" i="75"/>
  <c r="R29" i="75" s="1"/>
  <c r="S29" i="75" s="1"/>
  <c r="P6" i="76"/>
  <c r="R6" i="76" s="1"/>
  <c r="S6" i="76" s="1"/>
  <c r="P32" i="76"/>
  <c r="R32" i="76" s="1"/>
  <c r="S32" i="76" s="1"/>
  <c r="P6" i="77"/>
  <c r="R6" i="77" s="1"/>
  <c r="S6" i="77" s="1"/>
  <c r="P18" i="74"/>
  <c r="R18" i="74" s="1"/>
  <c r="S18" i="74" s="1"/>
  <c r="P26" i="73"/>
  <c r="R26" i="73" s="1"/>
  <c r="S26" i="73" s="1"/>
  <c r="P15" i="74"/>
  <c r="R15" i="74" s="1"/>
  <c r="S15" i="74" s="1"/>
  <c r="P37" i="77"/>
  <c r="R37" i="77" s="1"/>
  <c r="S37" i="77" s="1"/>
  <c r="P30" i="77"/>
  <c r="R30" i="77" s="1"/>
  <c r="S30" i="77" s="1"/>
  <c r="P21" i="74"/>
  <c r="R21" i="74" s="1"/>
  <c r="S21" i="74" s="1"/>
  <c r="P52" i="77"/>
  <c r="R52" i="77" s="1"/>
  <c r="S52" i="77" s="1"/>
  <c r="P34" i="73"/>
  <c r="R34" i="73" s="1"/>
  <c r="S34" i="73" s="1"/>
  <c r="P26" i="74"/>
  <c r="R26" i="74" s="1"/>
  <c r="S26" i="74" s="1"/>
  <c r="P49" i="73"/>
  <c r="R49" i="73" s="1"/>
  <c r="S49" i="73" s="1"/>
  <c r="P54" i="75"/>
  <c r="R54" i="75" s="1"/>
  <c r="S54" i="75" s="1"/>
  <c r="P51" i="73"/>
  <c r="R51" i="73" s="1"/>
  <c r="S51" i="73" s="1"/>
  <c r="P87" i="75"/>
  <c r="R87" i="75" s="1"/>
  <c r="S87" i="75" s="1"/>
  <c r="P43" i="73"/>
  <c r="R43" i="73" s="1"/>
  <c r="S43" i="73" s="1"/>
  <c r="P52" i="74"/>
  <c r="R52" i="74" s="1"/>
  <c r="S52" i="74" s="1"/>
  <c r="P33" i="77"/>
  <c r="R33" i="77" s="1"/>
  <c r="S33" i="77" s="1"/>
  <c r="P6" i="74"/>
  <c r="R6" i="74" s="1"/>
  <c r="S6" i="74" s="1"/>
  <c r="P87" i="74"/>
  <c r="R87" i="74" s="1"/>
  <c r="S87" i="74" s="1"/>
  <c r="P30" i="74"/>
  <c r="R30" i="74" s="1"/>
  <c r="S30" i="74" s="1"/>
  <c r="P121" i="74"/>
  <c r="R121" i="74" s="1"/>
  <c r="S121" i="74" s="1"/>
  <c r="P47" i="75"/>
  <c r="R47" i="75" s="1"/>
  <c r="S47" i="75" s="1"/>
  <c r="P26" i="77"/>
  <c r="R26" i="77" s="1"/>
  <c r="S26" i="77" s="1"/>
  <c r="P89" i="73"/>
  <c r="R89" i="73" s="1"/>
  <c r="S89" i="73" s="1"/>
  <c r="P142" i="73"/>
  <c r="R142" i="73" s="1"/>
  <c r="S142" i="73" s="1"/>
  <c r="P120" i="77"/>
  <c r="R120" i="77" s="1"/>
  <c r="S120" i="77" s="1"/>
  <c r="P168" i="73"/>
  <c r="R168" i="73" s="1"/>
  <c r="S168" i="73" s="1"/>
  <c r="P24" i="76"/>
  <c r="R24" i="76" s="1"/>
  <c r="S24" i="76" s="1"/>
  <c r="P24" i="73"/>
  <c r="R24" i="73" s="1"/>
  <c r="S24" i="73" s="1"/>
  <c r="P58" i="77"/>
  <c r="R58" i="77" s="1"/>
  <c r="S58" i="77" s="1"/>
  <c r="P26" i="76"/>
  <c r="R26" i="76" s="1"/>
  <c r="S26" i="76" s="1"/>
  <c r="P32" i="77"/>
  <c r="R32" i="77" s="1"/>
  <c r="S32" i="77" s="1"/>
  <c r="P54" i="77"/>
  <c r="R54" i="77" s="1"/>
  <c r="S54" i="77" s="1"/>
  <c r="P88" i="77"/>
  <c r="R88" i="77" s="1"/>
  <c r="S88" i="77" s="1"/>
  <c r="P118" i="77"/>
  <c r="R118" i="77" s="1"/>
  <c r="S118" i="77" s="1"/>
  <c r="P15" i="77"/>
  <c r="R15" i="77" s="1"/>
  <c r="S15" i="77" s="1"/>
  <c r="P85" i="77"/>
  <c r="R85" i="77" s="1"/>
  <c r="S85" i="77" s="1"/>
  <c r="P44" i="76"/>
  <c r="R44" i="76" s="1"/>
  <c r="S44" i="76" s="1"/>
  <c r="P122" i="77"/>
  <c r="R122" i="77" s="1"/>
  <c r="S122" i="77" s="1"/>
  <c r="P6" i="75"/>
  <c r="R6" i="75" s="1"/>
  <c r="S6" i="75" s="1"/>
  <c r="P68" i="73"/>
  <c r="R68" i="73" s="1"/>
  <c r="S68" i="73" s="1"/>
  <c r="P35" i="73"/>
  <c r="R35" i="73" s="1"/>
  <c r="S35" i="73" s="1"/>
  <c r="P53" i="77"/>
  <c r="R53" i="77" s="1"/>
  <c r="S53" i="77" s="1"/>
  <c r="P43" i="77"/>
  <c r="R43" i="77" s="1"/>
  <c r="S43" i="77" s="1"/>
  <c r="P63" i="73"/>
  <c r="R63" i="73" s="1"/>
  <c r="S63" i="73" s="1"/>
  <c r="P38" i="77"/>
  <c r="R38" i="77" s="1"/>
  <c r="S38" i="77" s="1"/>
  <c r="P85" i="75"/>
  <c r="R85" i="75" s="1"/>
  <c r="S85" i="75" s="1"/>
  <c r="P48" i="74"/>
  <c r="R48" i="74" s="1"/>
  <c r="S48" i="74" s="1"/>
  <c r="P168" i="77"/>
  <c r="R168" i="77" s="1"/>
  <c r="S168" i="77" s="1"/>
  <c r="P41" i="74"/>
  <c r="R41" i="74" s="1"/>
  <c r="S41" i="74" s="1"/>
  <c r="P151" i="77"/>
  <c r="R151" i="77" s="1"/>
  <c r="S151" i="77" s="1"/>
  <c r="P19" i="73"/>
  <c r="R19" i="73" s="1"/>
  <c r="S19" i="73" s="1"/>
  <c r="P42" i="76"/>
  <c r="R42" i="76" s="1"/>
  <c r="S42" i="76" s="1"/>
  <c r="P46" i="76"/>
  <c r="R46" i="76" s="1"/>
  <c r="S46" i="76" s="1"/>
  <c r="P34" i="76"/>
  <c r="R34" i="76" s="1"/>
  <c r="S34" i="76" s="1"/>
  <c r="P27" i="77"/>
  <c r="R27" i="77" s="1"/>
  <c r="S27" i="77" s="1"/>
  <c r="P43" i="74"/>
  <c r="R43" i="74" s="1"/>
  <c r="S43" i="74" s="1"/>
  <c r="P23" i="75"/>
  <c r="R23" i="75" s="1"/>
  <c r="S23" i="75" s="1"/>
  <c r="P19" i="74"/>
  <c r="R19" i="74" s="1"/>
  <c r="S19" i="74" s="1"/>
  <c r="P56" i="75"/>
  <c r="R56" i="75" s="1"/>
  <c r="S56" i="75" s="1"/>
  <c r="P29" i="76"/>
  <c r="R29" i="76" s="1"/>
  <c r="S29" i="76" s="1"/>
  <c r="P60" i="77"/>
  <c r="R60" i="77" s="1"/>
  <c r="S60" i="77" s="1"/>
  <c r="P44" i="75"/>
  <c r="R44" i="75" s="1"/>
  <c r="S44" i="75" s="1"/>
  <c r="P18" i="73"/>
  <c r="R18" i="73" s="1"/>
  <c r="S18" i="73" s="1"/>
  <c r="P25" i="75"/>
  <c r="R25" i="75" s="1"/>
  <c r="S25" i="75" s="1"/>
  <c r="P23" i="73"/>
  <c r="R23" i="73" s="1"/>
  <c r="S23" i="73" s="1"/>
  <c r="P35" i="75"/>
  <c r="R35" i="75" s="1"/>
  <c r="S35" i="75" s="1"/>
  <c r="P61" i="76"/>
  <c r="R61" i="76" s="1"/>
  <c r="S61" i="76" s="1"/>
  <c r="P17" i="74"/>
  <c r="R17" i="74" s="1"/>
  <c r="S17" i="74" s="1"/>
  <c r="P50" i="77"/>
  <c r="R50" i="77" s="1"/>
  <c r="S50" i="77" s="1"/>
  <c r="P28" i="77"/>
  <c r="R28" i="77" s="1"/>
  <c r="S28" i="77" s="1"/>
  <c r="P60" i="76"/>
  <c r="R60" i="76" s="1"/>
  <c r="S60" i="76" s="1"/>
  <c r="P14" i="75"/>
  <c r="R14" i="75" s="1"/>
  <c r="S14" i="75" s="1"/>
  <c r="P36" i="77"/>
  <c r="R36" i="77" s="1"/>
  <c r="S36" i="77" s="1"/>
  <c r="P57" i="74"/>
  <c r="R57" i="74" s="1"/>
  <c r="S57" i="74" s="1"/>
  <c r="P65" i="76"/>
  <c r="R65" i="76" s="1"/>
  <c r="S65" i="76" s="1"/>
  <c r="P55" i="73"/>
  <c r="R55" i="73" s="1"/>
  <c r="S55" i="73" s="1"/>
  <c r="P68" i="76"/>
  <c r="R68" i="76" s="1"/>
  <c r="S68" i="76" s="1"/>
  <c r="P120" i="75"/>
  <c r="R120" i="75" s="1"/>
  <c r="S120" i="75" s="1"/>
  <c r="P121" i="77"/>
  <c r="R121" i="77" s="1"/>
  <c r="S121" i="77" s="1"/>
  <c r="P27" i="74"/>
  <c r="R27" i="74" s="1"/>
  <c r="S27" i="74" s="1"/>
  <c r="P17" i="73"/>
  <c r="R17" i="73" s="1"/>
  <c r="S17" i="73" s="1"/>
  <c r="P18" i="75"/>
  <c r="R18" i="75" s="1"/>
  <c r="S18" i="75" s="1"/>
  <c r="P32" i="74"/>
  <c r="R32" i="74" s="1"/>
  <c r="S32" i="74" s="1"/>
  <c r="P151" i="75"/>
  <c r="R151" i="75" s="1"/>
  <c r="S151" i="75" s="1"/>
  <c r="P49" i="75"/>
  <c r="R49" i="75" s="1"/>
  <c r="S49" i="75" s="1"/>
  <c r="P48" i="76"/>
  <c r="R48" i="76" s="1"/>
  <c r="S48" i="76" s="1"/>
  <c r="P55" i="74"/>
  <c r="R55" i="74" s="1"/>
  <c r="S55" i="74" s="1"/>
  <c r="P31" i="77"/>
  <c r="R31" i="77" s="1"/>
  <c r="S31" i="77" s="1"/>
  <c r="P29" i="77"/>
  <c r="R29" i="77" s="1"/>
  <c r="S29" i="77" s="1"/>
  <c r="P88" i="74"/>
  <c r="R88" i="74" s="1"/>
  <c r="S88" i="74" s="1"/>
  <c r="P117" i="74"/>
  <c r="R117" i="74" s="1"/>
  <c r="S117" i="74" s="1"/>
  <c r="P61" i="77"/>
  <c r="R61" i="77" s="1"/>
  <c r="S61" i="77" s="1"/>
  <c r="P175" i="73"/>
  <c r="R175" i="73" s="1"/>
  <c r="P14" i="76"/>
  <c r="R14" i="76" s="1"/>
  <c r="S14" i="76" s="1"/>
  <c r="P52" i="76"/>
  <c r="R52" i="76" s="1"/>
  <c r="S52" i="76" s="1"/>
  <c r="P45" i="75"/>
  <c r="R45" i="75" s="1"/>
  <c r="S45" i="75" s="1"/>
  <c r="P164" i="75"/>
  <c r="R164" i="75" s="1"/>
  <c r="S164" i="75" s="1"/>
  <c r="P115" i="73"/>
  <c r="R115" i="73" s="1"/>
  <c r="S115" i="73" s="1"/>
  <c r="P40" i="75"/>
  <c r="R40" i="75" s="1"/>
  <c r="S40" i="75" s="1"/>
  <c r="P140" i="73"/>
  <c r="R140" i="73" s="1"/>
  <c r="S140" i="73" s="1"/>
  <c r="P19" i="75"/>
  <c r="R19" i="75" s="1"/>
  <c r="S19" i="75" s="1"/>
  <c r="P24" i="75"/>
  <c r="R24" i="75" s="1"/>
  <c r="S24" i="75" s="1"/>
  <c r="P117" i="77"/>
  <c r="R117" i="77" s="1"/>
  <c r="S117" i="77" s="1"/>
  <c r="P55" i="75"/>
  <c r="R55" i="75" s="1"/>
  <c r="S55" i="75" s="1"/>
  <c r="P117" i="75"/>
  <c r="R117" i="75" s="1"/>
  <c r="S117" i="75" s="1"/>
  <c r="P37" i="75"/>
  <c r="R37" i="75" s="1"/>
  <c r="S37" i="75" s="1"/>
  <c r="P56" i="73"/>
  <c r="R56" i="73" s="1"/>
  <c r="S56" i="73" s="1"/>
  <c r="P66" i="73"/>
  <c r="R66" i="73" s="1"/>
  <c r="S66" i="73" s="1"/>
  <c r="P22" i="73"/>
  <c r="R22" i="73" s="1"/>
  <c r="S22" i="73" s="1"/>
  <c r="P138" i="77"/>
  <c r="R138" i="77" s="1"/>
  <c r="S138" i="77" s="1"/>
  <c r="P51" i="77"/>
  <c r="R51" i="77" s="1"/>
  <c r="S51" i="77" s="1"/>
  <c r="P119" i="75"/>
  <c r="R119" i="75" s="1"/>
  <c r="S119" i="75" s="1"/>
  <c r="P18" i="76"/>
  <c r="R18" i="76" s="1"/>
  <c r="S18" i="76" s="1"/>
  <c r="P17" i="77"/>
  <c r="R17" i="77" s="1"/>
  <c r="S17" i="77" s="1"/>
  <c r="P57" i="73"/>
  <c r="R57" i="73" s="1"/>
  <c r="S57" i="73" s="1"/>
  <c r="P85" i="74"/>
  <c r="R85" i="74" s="1"/>
  <c r="S85" i="74" s="1"/>
  <c r="P19" i="77"/>
  <c r="R19" i="77" s="1"/>
  <c r="S19" i="77" s="1"/>
  <c r="P122" i="73"/>
  <c r="R122" i="73" s="1"/>
  <c r="S122" i="73" s="1"/>
  <c r="P21" i="73"/>
  <c r="R21" i="73" s="1"/>
  <c r="S21" i="73" s="1"/>
  <c r="P27" i="73"/>
  <c r="R27" i="73" s="1"/>
  <c r="S27" i="73" s="1"/>
  <c r="P42" i="74"/>
  <c r="R42" i="74" s="1"/>
  <c r="S42" i="74" s="1"/>
  <c r="P41" i="75"/>
  <c r="R41" i="75" s="1"/>
  <c r="S41" i="75" s="1"/>
  <c r="P175" i="75"/>
  <c r="R175" i="75" s="1"/>
  <c r="P5" i="77"/>
  <c r="R5" i="77" s="1"/>
  <c r="S5" i="77" s="1"/>
  <c r="P122" i="74"/>
  <c r="R122" i="74" s="1"/>
  <c r="S122" i="74" s="1"/>
  <c r="P27" i="76"/>
  <c r="R27" i="76" s="1"/>
  <c r="S27" i="76" s="1"/>
  <c r="P113" i="77"/>
  <c r="R113" i="77" s="1"/>
  <c r="S113" i="77" s="1"/>
  <c r="P113" i="74"/>
  <c r="R113" i="74" s="1"/>
  <c r="S113" i="74" s="1"/>
  <c r="P113" i="73"/>
  <c r="P36" i="73"/>
  <c r="R36" i="73" s="1"/>
  <c r="S36" i="73" s="1"/>
  <c r="P48" i="75"/>
  <c r="R48" i="75" s="1"/>
  <c r="S48" i="75" s="1"/>
  <c r="P66" i="76"/>
  <c r="R66" i="76" s="1"/>
  <c r="S66" i="76" s="1"/>
  <c r="P68" i="74"/>
  <c r="R68" i="74" s="1"/>
  <c r="S68" i="74" s="1"/>
  <c r="P42" i="77"/>
  <c r="R42" i="77" s="1"/>
  <c r="S42" i="77" s="1"/>
  <c r="P62" i="77"/>
  <c r="R62" i="77" s="1"/>
  <c r="S62" i="77" s="1"/>
  <c r="P118" i="74"/>
  <c r="R118" i="74" s="1"/>
  <c r="S118" i="74" s="1"/>
  <c r="P54" i="76"/>
  <c r="R54" i="76" s="1"/>
  <c r="S54" i="76" s="1"/>
  <c r="P67" i="77"/>
  <c r="R67" i="77" s="1"/>
  <c r="S67" i="77" s="1"/>
  <c r="P14" i="74"/>
  <c r="R14" i="74" s="1"/>
  <c r="S14" i="74" s="1"/>
  <c r="P38" i="76"/>
  <c r="R38" i="76" s="1"/>
  <c r="S38" i="76" s="1"/>
  <c r="P25" i="76"/>
  <c r="R25" i="76" s="1"/>
  <c r="S25" i="76" s="1"/>
  <c r="P63" i="76"/>
  <c r="R63" i="76" s="1"/>
  <c r="S63" i="76" s="1"/>
  <c r="P88" i="73"/>
  <c r="R88" i="73" s="1"/>
  <c r="S88" i="73" s="1"/>
  <c r="P16" i="77"/>
  <c r="R16" i="77" s="1"/>
  <c r="S16" i="77" s="1"/>
  <c r="P34" i="77"/>
  <c r="R34" i="77" s="1"/>
  <c r="S34" i="77" s="1"/>
  <c r="P24" i="77"/>
  <c r="R24" i="77" s="1"/>
  <c r="S24" i="77" s="1"/>
  <c r="P35" i="77"/>
  <c r="R35" i="77" s="1"/>
  <c r="S35" i="77" s="1"/>
  <c r="P118" i="75"/>
  <c r="R118" i="75" s="1"/>
  <c r="S118" i="75" s="1"/>
  <c r="P122" i="75"/>
  <c r="R122" i="75" s="1"/>
  <c r="S122" i="75" s="1"/>
  <c r="P47" i="77"/>
  <c r="R47" i="77" s="1"/>
  <c r="S47" i="77" s="1"/>
  <c r="P43" i="75"/>
  <c r="R43" i="75" s="1"/>
  <c r="S43" i="75" s="1"/>
  <c r="P140" i="75"/>
  <c r="R140" i="75" s="1"/>
  <c r="S140" i="75" s="1"/>
  <c r="P57" i="76"/>
  <c r="R57" i="76" s="1"/>
  <c r="S57" i="76" s="1"/>
  <c r="P19" i="76"/>
  <c r="R19" i="76" s="1"/>
  <c r="S19" i="76" s="1"/>
  <c r="P120" i="76"/>
  <c r="R120" i="76" s="1"/>
  <c r="S120" i="76" s="1"/>
  <c r="P141" i="76"/>
  <c r="P48" i="73"/>
  <c r="R48" i="73" s="1"/>
  <c r="S48" i="73" s="1"/>
  <c r="P39" i="75"/>
  <c r="R39" i="75" s="1"/>
  <c r="S39" i="75" s="1"/>
  <c r="P65" i="73"/>
  <c r="R65" i="73" s="1"/>
  <c r="S65" i="73" s="1"/>
  <c r="P120" i="74"/>
  <c r="R120" i="74" s="1"/>
  <c r="S120" i="74" s="1"/>
  <c r="P44" i="74"/>
  <c r="R44" i="74" s="1"/>
  <c r="S44" i="74" s="1"/>
  <c r="P22" i="75"/>
  <c r="R22" i="75" s="1"/>
  <c r="S22" i="75" s="1"/>
  <c r="P175" i="76"/>
  <c r="R175" i="76" s="1"/>
  <c r="P64" i="74"/>
  <c r="R64" i="74" s="1"/>
  <c r="S64" i="74" s="1"/>
  <c r="P121" i="75"/>
  <c r="R121" i="75" s="1"/>
  <c r="S121" i="75" s="1"/>
  <c r="P116" i="77"/>
  <c r="R116" i="77" s="1"/>
  <c r="S116" i="77" s="1"/>
  <c r="P164" i="73"/>
  <c r="R164" i="73" s="1"/>
  <c r="S164" i="73" s="1"/>
  <c r="P29" i="74"/>
  <c r="R29" i="74" s="1"/>
  <c r="S29" i="74" s="1"/>
  <c r="P55" i="77"/>
  <c r="R55" i="77" s="1"/>
  <c r="S55" i="77" s="1"/>
  <c r="P67" i="74"/>
  <c r="R67" i="74" s="1"/>
  <c r="S67" i="74" s="1"/>
  <c r="P49" i="74"/>
  <c r="R49" i="74" s="1"/>
  <c r="S49" i="74" s="1"/>
  <c r="P140" i="76"/>
  <c r="R140" i="76" s="1"/>
  <c r="S140" i="76" s="1"/>
  <c r="P58" i="76"/>
  <c r="R58" i="76" s="1"/>
  <c r="S58" i="76" s="1"/>
  <c r="P89" i="77"/>
  <c r="R89" i="77" s="1"/>
  <c r="S89" i="77" s="1"/>
  <c r="P67" i="73"/>
  <c r="R67" i="73" s="1"/>
  <c r="S67" i="73" s="1"/>
  <c r="P33" i="76"/>
  <c r="R33" i="76" s="1"/>
  <c r="S33" i="76" s="1"/>
  <c r="P62" i="74"/>
  <c r="R62" i="74" s="1"/>
  <c r="S62" i="74" s="1"/>
  <c r="P138" i="73"/>
  <c r="R138" i="73" s="1"/>
  <c r="S138" i="73" s="1"/>
  <c r="P5" i="72"/>
  <c r="P41" i="73"/>
  <c r="R41" i="73" s="1"/>
  <c r="S41" i="73" s="1"/>
  <c r="P172" i="75"/>
  <c r="R172" i="75" s="1"/>
  <c r="S172" i="75" s="1"/>
  <c r="P54" i="73"/>
  <c r="R54" i="73" s="1"/>
  <c r="S54" i="73" s="1"/>
  <c r="P151" i="76"/>
  <c r="R151" i="76" s="1"/>
  <c r="S151" i="76" s="1"/>
  <c r="P119" i="74"/>
  <c r="R119" i="74" s="1"/>
  <c r="S119" i="74" s="1"/>
  <c r="P64" i="77"/>
  <c r="R64" i="77" s="1"/>
  <c r="S64" i="77" s="1"/>
  <c r="P87" i="73"/>
  <c r="R87" i="73" s="1"/>
  <c r="S87" i="73" s="1"/>
  <c r="P46" i="77"/>
  <c r="R46" i="77" s="1"/>
  <c r="S46" i="77" s="1"/>
  <c r="P57" i="77"/>
  <c r="R57" i="77" s="1"/>
  <c r="S57" i="77" s="1"/>
  <c r="P36" i="74"/>
  <c r="R36" i="74" s="1"/>
  <c r="S36" i="74" s="1"/>
  <c r="P115" i="77"/>
  <c r="R115" i="77" s="1"/>
  <c r="S115" i="77" s="1"/>
  <c r="P44" i="73"/>
  <c r="R44" i="73" s="1"/>
  <c r="S44" i="73" s="1"/>
  <c r="P56" i="74"/>
  <c r="R56" i="74" s="1"/>
  <c r="S56" i="74" s="1"/>
  <c r="P140" i="74"/>
  <c r="R140" i="74" s="1"/>
  <c r="S140" i="74" s="1"/>
  <c r="P151" i="74"/>
  <c r="R151" i="74" s="1"/>
  <c r="S151" i="74" s="1"/>
  <c r="P53" i="76"/>
  <c r="R53" i="76" s="1"/>
  <c r="S53" i="76" s="1"/>
  <c r="P50" i="74"/>
  <c r="R50" i="74" s="1"/>
  <c r="S50" i="74" s="1"/>
  <c r="P61" i="73"/>
  <c r="R61" i="73" s="1"/>
  <c r="S61" i="73" s="1"/>
  <c r="P57" i="75"/>
  <c r="R57" i="75" s="1"/>
  <c r="S57" i="75" s="1"/>
  <c r="P62" i="73"/>
  <c r="R62" i="73" s="1"/>
  <c r="S62" i="73" s="1"/>
  <c r="P168" i="75"/>
  <c r="R168" i="75" s="1"/>
  <c r="S168" i="75" s="1"/>
  <c r="P175" i="77"/>
  <c r="R175" i="77" s="1"/>
  <c r="P22" i="77"/>
  <c r="R22" i="77" s="1"/>
  <c r="S22" i="77" s="1"/>
  <c r="P7" i="74"/>
  <c r="R7" i="74" s="1"/>
  <c r="S7" i="74" s="1"/>
  <c r="P5" i="73"/>
  <c r="R5" i="73" s="1"/>
  <c r="P113" i="75"/>
  <c r="R113" i="75" s="1"/>
  <c r="S113" i="75" s="1"/>
  <c r="P162" i="74"/>
  <c r="R162" i="74" s="1"/>
  <c r="S162" i="74" s="1"/>
  <c r="P50" i="73"/>
  <c r="R50" i="73" s="1"/>
  <c r="S50" i="73" s="1"/>
  <c r="P59" i="74"/>
  <c r="R59" i="74" s="1"/>
  <c r="S59" i="74" s="1"/>
  <c r="P31" i="76"/>
  <c r="R31" i="76" s="1"/>
  <c r="S31" i="76" s="1"/>
  <c r="P65" i="74"/>
  <c r="R65" i="74" s="1"/>
  <c r="S65" i="74" s="1"/>
  <c r="P58" i="74"/>
  <c r="R58" i="74" s="1"/>
  <c r="S58" i="74" s="1"/>
  <c r="P16" i="73"/>
  <c r="R16" i="73" s="1"/>
  <c r="S16" i="73" s="1"/>
  <c r="P30" i="76"/>
  <c r="R30" i="76" s="1"/>
  <c r="S30" i="76" s="1"/>
  <c r="P64" i="75"/>
  <c r="R64" i="75" s="1"/>
  <c r="S64" i="75" s="1"/>
  <c r="P53" i="75"/>
  <c r="R53" i="75" s="1"/>
  <c r="S53" i="75" s="1"/>
  <c r="P89" i="74"/>
  <c r="R89" i="74" s="1"/>
  <c r="S89" i="74" s="1"/>
  <c r="P32" i="75"/>
  <c r="R32" i="75" s="1"/>
  <c r="S32" i="75" s="1"/>
  <c r="P40" i="77"/>
  <c r="R40" i="77" s="1"/>
  <c r="S40" i="77" s="1"/>
  <c r="P153" i="74"/>
  <c r="R153" i="74" s="1"/>
  <c r="S153" i="74" s="1"/>
  <c r="P116" i="73"/>
  <c r="R116" i="73" s="1"/>
  <c r="S116" i="73" s="1"/>
  <c r="P88" i="75"/>
  <c r="R88" i="75" s="1"/>
  <c r="S88" i="75" s="1"/>
  <c r="P46" i="73"/>
  <c r="R46" i="73" s="1"/>
  <c r="S46" i="73" s="1"/>
  <c r="P61" i="75"/>
  <c r="R61" i="75" s="1"/>
  <c r="S61" i="75" s="1"/>
  <c r="P24" i="74"/>
  <c r="R24" i="74" s="1"/>
  <c r="S24" i="74" s="1"/>
  <c r="P15" i="73"/>
  <c r="R15" i="73" s="1"/>
  <c r="S15" i="73" s="1"/>
  <c r="P22" i="74"/>
  <c r="R22" i="74" s="1"/>
  <c r="S22" i="74" s="1"/>
  <c r="P60" i="73"/>
  <c r="R60" i="73" s="1"/>
  <c r="S60" i="73" s="1"/>
  <c r="P68" i="77"/>
  <c r="R68" i="77" s="1"/>
  <c r="S68" i="77" s="1"/>
  <c r="P39" i="73"/>
  <c r="R39" i="73" s="1"/>
  <c r="S39" i="73" s="1"/>
  <c r="P28" i="75"/>
  <c r="R28" i="75" s="1"/>
  <c r="S28" i="75" s="1"/>
  <c r="P87" i="76"/>
  <c r="R87" i="76" s="1"/>
  <c r="S87" i="76" s="1"/>
  <c r="P46" i="75"/>
  <c r="R46" i="75" s="1"/>
  <c r="S46" i="75" s="1"/>
  <c r="P162" i="75"/>
  <c r="R162" i="75" s="1"/>
  <c r="S162" i="75" s="1"/>
  <c r="P56" i="77"/>
  <c r="R56" i="77" s="1"/>
  <c r="S56" i="77" s="1"/>
  <c r="P119" i="73"/>
  <c r="R119" i="73" s="1"/>
  <c r="S119" i="73" s="1"/>
  <c r="P119" i="77"/>
  <c r="R119" i="77" s="1"/>
  <c r="S119" i="77" s="1"/>
  <c r="P58" i="73"/>
  <c r="R58" i="73" s="1"/>
  <c r="S58" i="73" s="1"/>
  <c r="P28" i="73"/>
  <c r="R28" i="73" s="1"/>
  <c r="S28" i="73" s="1"/>
  <c r="P34" i="75"/>
  <c r="R34" i="75" s="1"/>
  <c r="S34" i="75" s="1"/>
  <c r="P117" i="73"/>
  <c r="R117" i="73" s="1"/>
  <c r="S117" i="73" s="1"/>
  <c r="P89" i="76"/>
  <c r="R89" i="76" s="1"/>
  <c r="S89" i="76" s="1"/>
  <c r="P32" i="73"/>
  <c r="R32" i="73" s="1"/>
  <c r="S32" i="73" s="1"/>
  <c r="P45" i="76"/>
  <c r="P45" i="74"/>
  <c r="R45" i="74" s="1"/>
  <c r="S45" i="74" s="1"/>
  <c r="P59" i="77"/>
  <c r="R59" i="77" s="1"/>
  <c r="S59" i="77" s="1"/>
  <c r="P42" i="73"/>
  <c r="R42" i="73" s="1"/>
  <c r="S42" i="73" s="1"/>
  <c r="P66" i="74"/>
  <c r="R66" i="74" s="1"/>
  <c r="S66" i="74" s="1"/>
  <c r="P16" i="74"/>
  <c r="R16" i="74" s="1"/>
  <c r="S16" i="74" s="1"/>
  <c r="P35" i="74"/>
  <c r="R35" i="74" s="1"/>
  <c r="S35" i="74" s="1"/>
  <c r="P87" i="77"/>
  <c r="R87" i="77" s="1"/>
  <c r="S87" i="77" s="1"/>
  <c r="P53" i="74"/>
  <c r="R53" i="74" s="1"/>
  <c r="S53" i="74" s="1"/>
  <c r="P41" i="77"/>
  <c r="R41" i="77" s="1"/>
  <c r="S41" i="77" s="1"/>
  <c r="P65" i="75"/>
  <c r="R65" i="75" s="1"/>
  <c r="S65" i="75" s="1"/>
  <c r="P67" i="75"/>
  <c r="R67" i="75" s="1"/>
  <c r="S67" i="75" s="1"/>
  <c r="P21" i="76"/>
  <c r="R21" i="76" s="1"/>
  <c r="S21" i="76" s="1"/>
  <c r="P6" i="73"/>
  <c r="R6" i="73" s="1"/>
  <c r="S6" i="73" s="1"/>
  <c r="P117" i="76"/>
  <c r="R117" i="76" s="1"/>
  <c r="S117" i="76" s="1"/>
  <c r="P63" i="74"/>
  <c r="R63" i="74" s="1"/>
  <c r="S63" i="74" s="1"/>
  <c r="P138" i="76"/>
  <c r="P85" i="73"/>
  <c r="R85" i="73" s="1"/>
  <c r="S85" i="73" s="1"/>
  <c r="P26" i="75"/>
  <c r="R26" i="75" s="1"/>
  <c r="S26" i="75" s="1"/>
  <c r="P20" i="74"/>
  <c r="R20" i="74" s="1"/>
  <c r="S20" i="74" s="1"/>
  <c r="P36" i="76"/>
  <c r="R36" i="76" s="1"/>
  <c r="S36" i="76" s="1"/>
  <c r="P7" i="75"/>
  <c r="R7" i="75" s="1"/>
  <c r="S7" i="75" s="1"/>
  <c r="P151" i="73"/>
  <c r="R151" i="73" s="1"/>
  <c r="S151" i="73" s="1"/>
  <c r="P67" i="76"/>
  <c r="R67" i="76" s="1"/>
  <c r="S67" i="76" s="1"/>
  <c r="P31" i="75"/>
  <c r="R31" i="75" s="1"/>
  <c r="S31" i="75" s="1"/>
  <c r="P59" i="73"/>
  <c r="R59" i="73" s="1"/>
  <c r="S59" i="73" s="1"/>
  <c r="P29" i="73"/>
  <c r="R29" i="73" s="1"/>
  <c r="S29" i="73" s="1"/>
  <c r="P54" i="74"/>
  <c r="R54" i="74" s="1"/>
  <c r="S54" i="74" s="1"/>
  <c r="P162" i="76"/>
  <c r="R162" i="76" s="1"/>
  <c r="S162" i="76" s="1"/>
  <c r="P35" i="76"/>
  <c r="R35" i="76" s="1"/>
  <c r="S35" i="76" s="1"/>
  <c r="P17" i="75"/>
  <c r="R17" i="75" s="1"/>
  <c r="S17" i="75" s="1"/>
  <c r="P113" i="76"/>
  <c r="R113" i="76" s="1"/>
  <c r="S113" i="76" s="1"/>
  <c r="P153" i="77"/>
  <c r="R153" i="77" s="1"/>
  <c r="S153" i="77" s="1"/>
  <c r="P33" i="74"/>
  <c r="R33" i="74" s="1"/>
  <c r="S33" i="74" s="1"/>
  <c r="P33" i="73"/>
  <c r="R33" i="73" s="1"/>
  <c r="S33" i="73" s="1"/>
  <c r="P55" i="76"/>
  <c r="R55" i="76" s="1"/>
  <c r="S55" i="76" s="1"/>
  <c r="P65" i="77"/>
  <c r="R65" i="77" s="1"/>
  <c r="S65" i="77" s="1"/>
  <c r="AO87" i="46"/>
  <c r="O11" i="53"/>
  <c r="AO62" i="46"/>
  <c r="D22" i="59"/>
  <c r="P16" i="59"/>
  <c r="AO31" i="45"/>
  <c r="AK80" i="46"/>
  <c r="AM80" i="46" s="1"/>
  <c r="AN80" i="46" s="1"/>
  <c r="AO80" i="46" s="1"/>
  <c r="AG80" i="46"/>
  <c r="AH80" i="46" s="1"/>
  <c r="AK67" i="46"/>
  <c r="AM67" i="46" s="1"/>
  <c r="AN67" i="46" s="1"/>
  <c r="AO67" i="46" s="1"/>
  <c r="AK29" i="46"/>
  <c r="AM29" i="46" s="1"/>
  <c r="AN29" i="46" s="1"/>
  <c r="AO29" i="46" s="1"/>
  <c r="AG38" i="46"/>
  <c r="AH38" i="46" s="1"/>
  <c r="AK38" i="46"/>
  <c r="AM38" i="46" s="1"/>
  <c r="AN38" i="46" s="1"/>
  <c r="AO38" i="46" s="1"/>
  <c r="AK95" i="46"/>
  <c r="AM95" i="46" s="1"/>
  <c r="AN95" i="46" s="1"/>
  <c r="AO95" i="46" s="1"/>
  <c r="AK92" i="46"/>
  <c r="AM92" i="46" s="1"/>
  <c r="AN92" i="46" s="1"/>
  <c r="AO92" i="46" s="1"/>
  <c r="AG22" i="46"/>
  <c r="AH22" i="46" s="1"/>
  <c r="AG90" i="46"/>
  <c r="AH90" i="46" s="1"/>
  <c r="AO47" i="46"/>
  <c r="AK45" i="46"/>
  <c r="AM45" i="46" s="1"/>
  <c r="AN45" i="46" s="1"/>
  <c r="AO45" i="46" s="1"/>
  <c r="AK11" i="46"/>
  <c r="AM11" i="46" s="1"/>
  <c r="AN11" i="46" s="1"/>
  <c r="AO11" i="46" s="1"/>
  <c r="AG11" i="46"/>
  <c r="AH11" i="46" s="1"/>
  <c r="AG83" i="46"/>
  <c r="AH83" i="46" s="1"/>
  <c r="AG89" i="46"/>
  <c r="AH89" i="46" s="1"/>
  <c r="AG58" i="46"/>
  <c r="AH58" i="46" s="1"/>
  <c r="AK58" i="46"/>
  <c r="AM58" i="46" s="1"/>
  <c r="AN58" i="46" s="1"/>
  <c r="AO58" i="46" s="1"/>
  <c r="AK93" i="46"/>
  <c r="AM93" i="46" s="1"/>
  <c r="AN93" i="46" s="1"/>
  <c r="AO93" i="46" s="1"/>
  <c r="AG60" i="46"/>
  <c r="AH60" i="46" s="1"/>
  <c r="AK66" i="46"/>
  <c r="AM66" i="46" s="1"/>
  <c r="AN66" i="46" s="1"/>
  <c r="AG93" i="46"/>
  <c r="AH93" i="46" s="1"/>
  <c r="AG81" i="46"/>
  <c r="AH81" i="46" s="1"/>
  <c r="AO22" i="46"/>
  <c r="AO12" i="45"/>
  <c r="AK16" i="45"/>
  <c r="AM16" i="45" s="1"/>
  <c r="AN16" i="45" s="1"/>
  <c r="AO16" i="45" s="1"/>
  <c r="AG16" i="45"/>
  <c r="AH16" i="45" s="1"/>
  <c r="AK8" i="45"/>
  <c r="AM8" i="45" s="1"/>
  <c r="AN8" i="45" s="1"/>
  <c r="AG8" i="45"/>
  <c r="AH8" i="45" s="1"/>
  <c r="T33" i="84"/>
  <c r="I7" i="71" s="1"/>
  <c r="S7" i="71" s="1"/>
  <c r="P53" i="78"/>
  <c r="R53" i="78" s="1"/>
  <c r="S53" i="78" s="1"/>
  <c r="P67" i="78"/>
  <c r="R67" i="78" s="1"/>
  <c r="S67" i="78" s="1"/>
  <c r="P56" i="78"/>
  <c r="R56" i="78" s="1"/>
  <c r="S56" i="78" s="1"/>
  <c r="P60" i="78"/>
  <c r="R60" i="78" s="1"/>
  <c r="S60" i="78" s="1"/>
  <c r="P42" i="78"/>
  <c r="R42" i="78" s="1"/>
  <c r="S42" i="78" s="1"/>
  <c r="P18" i="78"/>
  <c r="R18" i="78" s="1"/>
  <c r="S18" i="78" s="1"/>
  <c r="P33" i="78"/>
  <c r="R33" i="78" s="1"/>
  <c r="S33" i="78" s="1"/>
  <c r="P17" i="78"/>
  <c r="R17" i="78" s="1"/>
  <c r="S17" i="78" s="1"/>
  <c r="P40" i="78"/>
  <c r="R40" i="78" s="1"/>
  <c r="S40" i="78" s="1"/>
  <c r="P45" i="78"/>
  <c r="R45" i="78" s="1"/>
  <c r="S45" i="78" s="1"/>
  <c r="P151" i="78"/>
  <c r="R151" i="78" s="1"/>
  <c r="S151" i="78" s="1"/>
  <c r="P118" i="78"/>
  <c r="R118" i="78" s="1"/>
  <c r="S118" i="78" s="1"/>
  <c r="P63" i="78"/>
  <c r="R63" i="78" s="1"/>
  <c r="S63" i="78" s="1"/>
  <c r="P34" i="78"/>
  <c r="R34" i="78" s="1"/>
  <c r="S34" i="78" s="1"/>
  <c r="P48" i="78"/>
  <c r="R48" i="78" s="1"/>
  <c r="S48" i="78" s="1"/>
  <c r="P31" i="78"/>
  <c r="R31" i="78" s="1"/>
  <c r="S31" i="78" s="1"/>
  <c r="P29" i="78"/>
  <c r="R29" i="78" s="1"/>
  <c r="S29" i="78" s="1"/>
  <c r="P62" i="78"/>
  <c r="R62" i="78" s="1"/>
  <c r="S62" i="78" s="1"/>
  <c r="P7" i="78"/>
  <c r="R7" i="78" s="1"/>
  <c r="S7" i="78" s="1"/>
  <c r="P22" i="78"/>
  <c r="R22" i="78" s="1"/>
  <c r="S22" i="78" s="1"/>
  <c r="P175" i="78"/>
  <c r="R175" i="78" s="1"/>
  <c r="S175" i="78" s="1"/>
  <c r="T177" i="78" s="1"/>
  <c r="P30" i="78"/>
  <c r="R30" i="78" s="1"/>
  <c r="S30" i="78" s="1"/>
  <c r="P14" i="78"/>
  <c r="R14" i="78" s="1"/>
  <c r="S14" i="78" s="1"/>
  <c r="P49" i="78"/>
  <c r="R49" i="78" s="1"/>
  <c r="S49" i="78" s="1"/>
  <c r="P120" i="78"/>
  <c r="R120" i="78" s="1"/>
  <c r="S120" i="78" s="1"/>
  <c r="P19" i="78"/>
  <c r="R19" i="78" s="1"/>
  <c r="S19" i="78" s="1"/>
  <c r="P87" i="78"/>
  <c r="R87" i="78" s="1"/>
  <c r="S87" i="78" s="1"/>
  <c r="P35" i="78"/>
  <c r="R35" i="78" s="1"/>
  <c r="S35" i="78" s="1"/>
  <c r="P64" i="78"/>
  <c r="R64" i="78" s="1"/>
  <c r="S64" i="78" s="1"/>
  <c r="P61" i="78"/>
  <c r="R61" i="78" s="1"/>
  <c r="S61" i="78" s="1"/>
  <c r="P121" i="78"/>
  <c r="R121" i="78" s="1"/>
  <c r="S121" i="78" s="1"/>
  <c r="P52" i="78"/>
  <c r="R52" i="78" s="1"/>
  <c r="S52" i="78" s="1"/>
  <c r="P65" i="78"/>
  <c r="R65" i="78" s="1"/>
  <c r="S65" i="78" s="1"/>
  <c r="P88" i="78"/>
  <c r="R88" i="78" s="1"/>
  <c r="S88" i="78" s="1"/>
  <c r="P41" i="78"/>
  <c r="R41" i="78" s="1"/>
  <c r="S41" i="78" s="1"/>
  <c r="P28" i="78"/>
  <c r="R28" i="78" s="1"/>
  <c r="S28" i="78" s="1"/>
  <c r="P153" i="78"/>
  <c r="R153" i="78" s="1"/>
  <c r="S153" i="78" s="1"/>
  <c r="P21" i="78"/>
  <c r="R21" i="78" s="1"/>
  <c r="S21" i="78" s="1"/>
  <c r="P58" i="78"/>
  <c r="R58" i="78" s="1"/>
  <c r="S58" i="78" s="1"/>
  <c r="P172" i="78"/>
  <c r="R172" i="78" s="1"/>
  <c r="S172" i="78" s="1"/>
  <c r="P26" i="78"/>
  <c r="R26" i="78" s="1"/>
  <c r="S26" i="78" s="1"/>
  <c r="P162" i="78"/>
  <c r="R162" i="78" s="1"/>
  <c r="S162" i="78" s="1"/>
  <c r="P36" i="78"/>
  <c r="R36" i="78" s="1"/>
  <c r="S36" i="78" s="1"/>
  <c r="P37" i="78"/>
  <c r="R37" i="78" s="1"/>
  <c r="S37" i="78" s="1"/>
  <c r="P119" i="78"/>
  <c r="R119" i="78" s="1"/>
  <c r="S119" i="78" s="1"/>
  <c r="P51" i="78"/>
  <c r="R51" i="78" s="1"/>
  <c r="S51" i="78" s="1"/>
  <c r="P43" i="78"/>
  <c r="R43" i="78" s="1"/>
  <c r="S43" i="78" s="1"/>
  <c r="P142" i="78"/>
  <c r="R142" i="78" s="1"/>
  <c r="S142" i="78" s="1"/>
  <c r="P85" i="78"/>
  <c r="R85" i="78" s="1"/>
  <c r="S85" i="78" s="1"/>
  <c r="P44" i="78"/>
  <c r="R44" i="78" s="1"/>
  <c r="S44" i="78" s="1"/>
  <c r="P54" i="78"/>
  <c r="R54" i="78" s="1"/>
  <c r="S54" i="78" s="1"/>
  <c r="P66" i="78"/>
  <c r="R66" i="78" s="1"/>
  <c r="S66" i="78" s="1"/>
  <c r="P115" i="78"/>
  <c r="R115" i="78" s="1"/>
  <c r="S115" i="78" s="1"/>
  <c r="P122" i="78"/>
  <c r="R122" i="78" s="1"/>
  <c r="S122" i="78" s="1"/>
  <c r="P57" i="78"/>
  <c r="R57" i="78" s="1"/>
  <c r="S57" i="78" s="1"/>
  <c r="P38" i="78"/>
  <c r="R38" i="78" s="1"/>
  <c r="S38" i="78" s="1"/>
  <c r="P5" i="78"/>
  <c r="R5" i="78" s="1"/>
  <c r="S5" i="78" s="1"/>
  <c r="P15" i="78"/>
  <c r="R15" i="78" s="1"/>
  <c r="S15" i="78" s="1"/>
  <c r="P113" i="78"/>
  <c r="R113" i="78" s="1"/>
  <c r="S113" i="78" s="1"/>
  <c r="P164" i="78"/>
  <c r="R164" i="78" s="1"/>
  <c r="S164" i="78" s="1"/>
  <c r="P116" i="78"/>
  <c r="R116" i="78" s="1"/>
  <c r="S116" i="78" s="1"/>
  <c r="P168" i="78"/>
  <c r="R168" i="78" s="1"/>
  <c r="S168" i="78" s="1"/>
  <c r="P16" i="78"/>
  <c r="R16" i="78" s="1"/>
  <c r="S16" i="78" s="1"/>
  <c r="P68" i="78"/>
  <c r="R68" i="78" s="1"/>
  <c r="S68" i="78" s="1"/>
  <c r="P59" i="78"/>
  <c r="R59" i="78" s="1"/>
  <c r="S59" i="78" s="1"/>
  <c r="P6" i="78"/>
  <c r="R6" i="78" s="1"/>
  <c r="S6" i="78" s="1"/>
  <c r="P23" i="78"/>
  <c r="R23" i="78" s="1"/>
  <c r="S23" i="78" s="1"/>
  <c r="P138" i="78"/>
  <c r="R138" i="78" s="1"/>
  <c r="S138" i="78" s="1"/>
  <c r="P32" i="78"/>
  <c r="R32" i="78" s="1"/>
  <c r="S32" i="78" s="1"/>
  <c r="P55" i="78"/>
  <c r="R55" i="78" s="1"/>
  <c r="S55" i="78" s="1"/>
  <c r="P50" i="78"/>
  <c r="R50" i="78" s="1"/>
  <c r="S50" i="78" s="1"/>
  <c r="P24" i="78"/>
  <c r="R24" i="78" s="1"/>
  <c r="S24" i="78" s="1"/>
  <c r="P89" i="78"/>
  <c r="R89" i="78" s="1"/>
  <c r="S89" i="78" s="1"/>
  <c r="P47" i="78"/>
  <c r="R47" i="78" s="1"/>
  <c r="S47" i="78" s="1"/>
  <c r="P20" i="78"/>
  <c r="R20" i="78" s="1"/>
  <c r="S20" i="78" s="1"/>
  <c r="P27" i="78"/>
  <c r="R27" i="78" s="1"/>
  <c r="S27" i="78" s="1"/>
  <c r="P117" i="78"/>
  <c r="R117" i="78" s="1"/>
  <c r="S117" i="78" s="1"/>
  <c r="P46" i="78"/>
  <c r="R46" i="78" s="1"/>
  <c r="S46" i="78" s="1"/>
  <c r="P140" i="78"/>
  <c r="R140" i="78" s="1"/>
  <c r="S140" i="78" s="1"/>
  <c r="P141" i="78"/>
  <c r="R141" i="78" s="1"/>
  <c r="S141" i="78" s="1"/>
  <c r="P25" i="78"/>
  <c r="R25" i="78" s="1"/>
  <c r="S25" i="78" s="1"/>
  <c r="P39" i="78"/>
  <c r="R39" i="78" s="1"/>
  <c r="S39" i="78" s="1"/>
  <c r="R102" i="46"/>
  <c r="H21" i="59" s="1"/>
  <c r="L21" i="59" s="1"/>
  <c r="S103" i="46"/>
  <c r="D15" i="59" s="1"/>
  <c r="O10" i="53"/>
  <c r="R52" i="45"/>
  <c r="H20" i="59" s="1"/>
  <c r="L20" i="59" s="1"/>
  <c r="S53" i="45"/>
  <c r="D14" i="59" s="1"/>
  <c r="AO33" i="46"/>
  <c r="AM75" i="46"/>
  <c r="AN75" i="46" s="1"/>
  <c r="AO75" i="46" s="1"/>
  <c r="AO97" i="46"/>
  <c r="AO64" i="46"/>
  <c r="AM70" i="46"/>
  <c r="AN70" i="46" s="1"/>
  <c r="AO70" i="46" s="1"/>
  <c r="AM53" i="46"/>
  <c r="AN53" i="46" s="1"/>
  <c r="AO53" i="46" s="1"/>
  <c r="AM35" i="46"/>
  <c r="AN35" i="46" s="1"/>
  <c r="AO35" i="46" s="1"/>
  <c r="AM39" i="46"/>
  <c r="AN39" i="46" s="1"/>
  <c r="AO39" i="46" s="1"/>
  <c r="AM37" i="46"/>
  <c r="AN37" i="46" s="1"/>
  <c r="AO37" i="46" s="1"/>
  <c r="AM40" i="46"/>
  <c r="AN40" i="46" s="1"/>
  <c r="AO40" i="46" s="1"/>
  <c r="AM36" i="46"/>
  <c r="AN36" i="46" s="1"/>
  <c r="AO36" i="46" s="1"/>
  <c r="AM19" i="46"/>
  <c r="AN19" i="46" s="1"/>
  <c r="AG7" i="46"/>
  <c r="AH7" i="46" s="1"/>
  <c r="AO19" i="46"/>
  <c r="AM17" i="46"/>
  <c r="AN17" i="46" s="1"/>
  <c r="AO17" i="46" s="1"/>
  <c r="AK43" i="45"/>
  <c r="AM43" i="45" s="1"/>
  <c r="AN43" i="45" s="1"/>
  <c r="AO43" i="45" s="1"/>
  <c r="AG43" i="45"/>
  <c r="AH43" i="45" s="1"/>
  <c r="AK24" i="45"/>
  <c r="AM24" i="45" s="1"/>
  <c r="AN24" i="45" s="1"/>
  <c r="AO24" i="45" s="1"/>
  <c r="AG24" i="45"/>
  <c r="AH24" i="45" s="1"/>
  <c r="AK23" i="45"/>
  <c r="AM23" i="45" s="1"/>
  <c r="AN23" i="45" s="1"/>
  <c r="AO23" i="45" s="1"/>
  <c r="AG23" i="45"/>
  <c r="AH23" i="45" s="1"/>
  <c r="AK21" i="45"/>
  <c r="AM21" i="45" s="1"/>
  <c r="AN21" i="45" s="1"/>
  <c r="AO21" i="45" s="1"/>
  <c r="AG21" i="45"/>
  <c r="AH21" i="45" s="1"/>
  <c r="AK20" i="45"/>
  <c r="AM20" i="45" s="1"/>
  <c r="AN20" i="45" s="1"/>
  <c r="AO20" i="45" s="1"/>
  <c r="AG20" i="45"/>
  <c r="AH20" i="45" s="1"/>
  <c r="AK7" i="45"/>
  <c r="AM7" i="45" s="1"/>
  <c r="AN7" i="45" s="1"/>
  <c r="AO7" i="45" s="1"/>
  <c r="AO96" i="46"/>
  <c r="AO90" i="46"/>
  <c r="R45" i="76"/>
  <c r="S45" i="76" s="1"/>
  <c r="R5" i="74"/>
  <c r="S5" i="74" s="1"/>
  <c r="R113" i="73"/>
  <c r="S113" i="73" s="1"/>
  <c r="S164" i="74"/>
  <c r="R141" i="76"/>
  <c r="S141" i="76" s="1"/>
  <c r="R138" i="76"/>
  <c r="S138" i="76" s="1"/>
  <c r="P87" i="72"/>
  <c r="P6" i="72"/>
  <c r="P88" i="72"/>
  <c r="P28" i="72"/>
  <c r="P23" i="72"/>
  <c r="P50" i="72"/>
  <c r="P172" i="74"/>
  <c r="P64" i="72"/>
  <c r="P52" i="72"/>
  <c r="P44" i="72"/>
  <c r="P19" i="72"/>
  <c r="P121" i="72"/>
  <c r="P56" i="72"/>
  <c r="P18" i="72"/>
  <c r="P57" i="72"/>
  <c r="P30" i="73"/>
  <c r="P115" i="74"/>
  <c r="P26" i="72"/>
  <c r="P113" i="72"/>
  <c r="P43" i="72"/>
  <c r="P51" i="72"/>
  <c r="P53" i="72"/>
  <c r="P22" i="72"/>
  <c r="P31" i="72"/>
  <c r="P175" i="74"/>
  <c r="P37" i="72"/>
  <c r="P17" i="72"/>
  <c r="P162" i="72"/>
  <c r="P45" i="72"/>
  <c r="P39" i="72"/>
  <c r="P7" i="72"/>
  <c r="P54" i="72"/>
  <c r="P49" i="72"/>
  <c r="P41" i="72"/>
  <c r="P20" i="72"/>
  <c r="P34" i="72"/>
  <c r="P15" i="72"/>
  <c r="P59" i="72"/>
  <c r="P120" i="72"/>
  <c r="P172" i="73"/>
  <c r="P35" i="72"/>
  <c r="P29" i="72"/>
  <c r="P42" i="72"/>
  <c r="P25" i="72"/>
  <c r="P38" i="72"/>
  <c r="P116" i="72"/>
  <c r="P172" i="72"/>
  <c r="P63" i="72"/>
  <c r="P16" i="72"/>
  <c r="P138" i="74"/>
  <c r="P46" i="74"/>
  <c r="P122" i="72"/>
  <c r="P40" i="72"/>
  <c r="P60" i="72"/>
  <c r="P28" i="74"/>
  <c r="P61" i="72"/>
  <c r="P52" i="73"/>
  <c r="P48" i="72"/>
  <c r="P119" i="72"/>
  <c r="P138" i="72"/>
  <c r="P141" i="72"/>
  <c r="P14" i="72"/>
  <c r="P32" i="72"/>
  <c r="P115" i="72"/>
  <c r="P58" i="72"/>
  <c r="P61" i="74"/>
  <c r="P39" i="74"/>
  <c r="P36" i="72"/>
  <c r="P153" i="72"/>
  <c r="P68" i="72"/>
  <c r="P25" i="74"/>
  <c r="P46" i="72"/>
  <c r="P85" i="72"/>
  <c r="P66" i="72"/>
  <c r="P21" i="72"/>
  <c r="P33" i="72"/>
  <c r="P142" i="72"/>
  <c r="P89" i="72"/>
  <c r="P47" i="72"/>
  <c r="P117" i="72"/>
  <c r="P55" i="72"/>
  <c r="P30" i="72"/>
  <c r="P168" i="72"/>
  <c r="P67" i="72"/>
  <c r="P118" i="72"/>
  <c r="P65" i="72"/>
  <c r="P175" i="72"/>
  <c r="P140" i="72"/>
  <c r="P62" i="72"/>
  <c r="P24" i="72"/>
  <c r="P60" i="74"/>
  <c r="P47" i="74"/>
  <c r="P38" i="54"/>
  <c r="P39" i="54" s="1"/>
  <c r="P40" i="54" s="1"/>
  <c r="AO81" i="46"/>
  <c r="AO83" i="46"/>
  <c r="AO66" i="46"/>
  <c r="AO84" i="46"/>
  <c r="AO89" i="46"/>
  <c r="AO60" i="46"/>
  <c r="AO16" i="46"/>
  <c r="AO15" i="46"/>
  <c r="AO9" i="46"/>
  <c r="AO12" i="46"/>
  <c r="AO40" i="45"/>
  <c r="AO30" i="45"/>
  <c r="AO26" i="45"/>
  <c r="G14" i="35"/>
  <c r="N5" i="60" s="1"/>
  <c r="AO18" i="45"/>
  <c r="AM28" i="46"/>
  <c r="AN28" i="46" s="1"/>
  <c r="AO28" i="46" s="1"/>
  <c r="AM46" i="46"/>
  <c r="AN46" i="46" s="1"/>
  <c r="AO46" i="46" s="1"/>
  <c r="AM8" i="46"/>
  <c r="AN8" i="46" s="1"/>
  <c r="AO8" i="46" s="1"/>
  <c r="AM82" i="46"/>
  <c r="AN82" i="46" s="1"/>
  <c r="AO82" i="46" s="1"/>
  <c r="AM91" i="46"/>
  <c r="AN91" i="46" s="1"/>
  <c r="AO91" i="46" s="1"/>
  <c r="AM94" i="46"/>
  <c r="AN94" i="46" s="1"/>
  <c r="AO94" i="46" s="1"/>
  <c r="AM85" i="46"/>
  <c r="AN85" i="46" s="1"/>
  <c r="AO85" i="46" s="1"/>
  <c r="D5" i="59"/>
  <c r="D4" i="59"/>
  <c r="C33" i="34"/>
  <c r="I33" i="34" s="1"/>
  <c r="C32" i="34"/>
  <c r="I32" i="34" s="1"/>
  <c r="C31" i="34"/>
  <c r="I31" i="34" s="1"/>
  <c r="C30" i="34"/>
  <c r="I30" i="34" s="1"/>
  <c r="C29" i="34"/>
  <c r="I29" i="34" s="1"/>
  <c r="C28" i="34"/>
  <c r="I28" i="34" s="1"/>
  <c r="C27" i="34"/>
  <c r="I27" i="34" s="1"/>
  <c r="C26" i="34"/>
  <c r="I26" i="34" s="1"/>
  <c r="C25" i="34"/>
  <c r="I25" i="34" s="1"/>
  <c r="C24" i="34"/>
  <c r="I24" i="34" s="1"/>
  <c r="C22" i="34"/>
  <c r="I22" i="34" s="1"/>
  <c r="C21" i="34"/>
  <c r="I21" i="34" s="1"/>
  <c r="C20" i="34"/>
  <c r="I20" i="34" s="1"/>
  <c r="C19" i="34"/>
  <c r="I19" i="34" s="1"/>
  <c r="C17" i="34"/>
  <c r="I17" i="34" s="1"/>
  <c r="C16" i="34"/>
  <c r="I16" i="34" s="1"/>
  <c r="C15" i="34"/>
  <c r="I15" i="34" s="1"/>
  <c r="C13" i="34"/>
  <c r="I13" i="34" s="1"/>
  <c r="C12" i="34"/>
  <c r="I12" i="34" s="1"/>
  <c r="C11" i="34"/>
  <c r="I11" i="34" s="1"/>
  <c r="C10" i="34"/>
  <c r="I10" i="34" s="1"/>
  <c r="C9" i="34"/>
  <c r="I9" i="34" s="1"/>
  <c r="C8" i="34"/>
  <c r="I8" i="34" s="1"/>
  <c r="C7" i="34"/>
  <c r="I7" i="34" s="1"/>
  <c r="C6" i="34"/>
  <c r="I6" i="34" s="1"/>
  <c r="C5" i="34"/>
  <c r="I5" i="34" s="1"/>
  <c r="C4" i="34"/>
  <c r="I4" i="34" s="1"/>
  <c r="C89" i="49"/>
  <c r="I89" i="49" s="1"/>
  <c r="C88" i="49"/>
  <c r="I88" i="49" s="1"/>
  <c r="C87" i="49"/>
  <c r="I87" i="49" s="1"/>
  <c r="C86" i="49"/>
  <c r="I86" i="49" s="1"/>
  <c r="C85" i="49"/>
  <c r="I85" i="49" s="1"/>
  <c r="C84" i="49"/>
  <c r="I84" i="49" s="1"/>
  <c r="C83" i="49"/>
  <c r="I83" i="49" s="1"/>
  <c r="C82" i="49"/>
  <c r="I82" i="49" s="1"/>
  <c r="C81" i="49"/>
  <c r="I81" i="49" s="1"/>
  <c r="C80" i="49"/>
  <c r="I80" i="49" s="1"/>
  <c r="C79" i="49"/>
  <c r="I79" i="49" s="1"/>
  <c r="C78" i="49"/>
  <c r="I78" i="49" s="1"/>
  <c r="C77" i="49"/>
  <c r="I77" i="49" s="1"/>
  <c r="C76" i="49"/>
  <c r="I76" i="49" s="1"/>
  <c r="C75" i="49"/>
  <c r="I75" i="49" s="1"/>
  <c r="C74" i="49"/>
  <c r="I74" i="49" s="1"/>
  <c r="C73" i="49"/>
  <c r="I73" i="49" s="1"/>
  <c r="C72" i="49"/>
  <c r="I72" i="49" s="1"/>
  <c r="C71" i="49"/>
  <c r="I71" i="49" s="1"/>
  <c r="C70" i="49"/>
  <c r="I70" i="49" s="1"/>
  <c r="C69" i="49"/>
  <c r="I69" i="49" s="1"/>
  <c r="C68" i="49"/>
  <c r="I68" i="49" s="1"/>
  <c r="C67" i="49"/>
  <c r="I67" i="49" s="1"/>
  <c r="C66" i="49"/>
  <c r="I66" i="49" s="1"/>
  <c r="C65" i="49"/>
  <c r="I65" i="49" s="1"/>
  <c r="C64" i="49"/>
  <c r="I64" i="49" s="1"/>
  <c r="C63" i="49"/>
  <c r="I63" i="49" s="1"/>
  <c r="C62" i="49"/>
  <c r="I62" i="49" s="1"/>
  <c r="C60" i="49"/>
  <c r="I60" i="49" s="1"/>
  <c r="C59" i="49"/>
  <c r="I59" i="49" s="1"/>
  <c r="C58" i="49"/>
  <c r="I58" i="49" s="1"/>
  <c r="C57" i="49"/>
  <c r="I57" i="49" s="1"/>
  <c r="C56" i="49"/>
  <c r="I56" i="49" s="1"/>
  <c r="C55" i="49"/>
  <c r="I55" i="49" s="1"/>
  <c r="C54" i="49"/>
  <c r="I54" i="49" s="1"/>
  <c r="C53" i="49"/>
  <c r="I53" i="49" s="1"/>
  <c r="C52" i="49"/>
  <c r="I52" i="49" s="1"/>
  <c r="C51" i="49"/>
  <c r="I51" i="49" s="1"/>
  <c r="C49" i="49"/>
  <c r="I49" i="49" s="1"/>
  <c r="C48" i="49"/>
  <c r="I48" i="49" s="1"/>
  <c r="C47" i="49"/>
  <c r="I47" i="49" s="1"/>
  <c r="C46" i="49"/>
  <c r="I46" i="49" s="1"/>
  <c r="C45" i="49"/>
  <c r="I45" i="49" s="1"/>
  <c r="C44" i="49"/>
  <c r="I44" i="49" s="1"/>
  <c r="C43" i="49"/>
  <c r="I43" i="49" s="1"/>
  <c r="C42" i="49"/>
  <c r="I42" i="49" s="1"/>
  <c r="C40" i="49"/>
  <c r="I40" i="49" s="1"/>
  <c r="C39" i="49"/>
  <c r="I39" i="49" s="1"/>
  <c r="C38" i="49"/>
  <c r="I38" i="49" s="1"/>
  <c r="C37" i="49"/>
  <c r="I37" i="49" s="1"/>
  <c r="C36" i="49"/>
  <c r="I36" i="49" s="1"/>
  <c r="C35" i="49"/>
  <c r="I35" i="49" s="1"/>
  <c r="C34" i="49"/>
  <c r="I34" i="49" s="1"/>
  <c r="C33" i="49"/>
  <c r="I33" i="49" s="1"/>
  <c r="C32" i="49"/>
  <c r="I32" i="49" s="1"/>
  <c r="C31" i="49"/>
  <c r="I31" i="49" s="1"/>
  <c r="C29" i="49"/>
  <c r="I29" i="49" s="1"/>
  <c r="C28" i="49"/>
  <c r="I28" i="49" s="1"/>
  <c r="C27" i="49"/>
  <c r="I27" i="49" s="1"/>
  <c r="C26" i="49"/>
  <c r="I26" i="49" s="1"/>
  <c r="C24" i="49"/>
  <c r="I24" i="49" s="1"/>
  <c r="C23" i="49"/>
  <c r="I23" i="49" s="1"/>
  <c r="C22" i="49"/>
  <c r="I22" i="49" s="1"/>
  <c r="C21" i="49"/>
  <c r="I21" i="49" s="1"/>
  <c r="C20" i="49"/>
  <c r="I20" i="49" s="1"/>
  <c r="C19" i="49"/>
  <c r="I19" i="49" s="1"/>
  <c r="C18" i="49"/>
  <c r="I18" i="49" s="1"/>
  <c r="C17" i="49"/>
  <c r="I17" i="49" s="1"/>
  <c r="C16" i="49"/>
  <c r="I16" i="49" s="1"/>
  <c r="C15" i="49"/>
  <c r="I15" i="49" s="1"/>
  <c r="C14" i="49"/>
  <c r="I14" i="49" s="1"/>
  <c r="C13" i="49"/>
  <c r="I13" i="49" s="1"/>
  <c r="C12" i="49"/>
  <c r="I12" i="49" s="1"/>
  <c r="C11" i="49"/>
  <c r="I11" i="49" s="1"/>
  <c r="C10" i="49"/>
  <c r="I10" i="49" s="1"/>
  <c r="C9" i="49"/>
  <c r="I9" i="49" s="1"/>
  <c r="C8" i="49"/>
  <c r="I8" i="49" s="1"/>
  <c r="C7" i="49"/>
  <c r="I7" i="49" s="1"/>
  <c r="C6" i="49"/>
  <c r="I6" i="49" s="1"/>
  <c r="C5" i="49"/>
  <c r="I5" i="49" s="1"/>
  <c r="I4" i="49"/>
  <c r="C10" i="51"/>
  <c r="C7" i="51"/>
  <c r="C6" i="51"/>
  <c r="AB50" i="44"/>
  <c r="AG50" i="44"/>
  <c r="AH50" i="44" s="1"/>
  <c r="AB51" i="44"/>
  <c r="AG51" i="44"/>
  <c r="AH51" i="44" s="1"/>
  <c r="AB52" i="44"/>
  <c r="AG52" i="44"/>
  <c r="AH52" i="44" s="1"/>
  <c r="L98" i="46"/>
  <c r="V98" i="46" s="1"/>
  <c r="L97" i="46"/>
  <c r="V97" i="46" s="1"/>
  <c r="L96" i="46"/>
  <c r="V96" i="46" s="1"/>
  <c r="L95" i="46"/>
  <c r="V95" i="46" s="1"/>
  <c r="L94" i="46"/>
  <c r="V94" i="46" s="1"/>
  <c r="L93" i="46"/>
  <c r="V93" i="46" s="1"/>
  <c r="L92" i="46"/>
  <c r="V92" i="46" s="1"/>
  <c r="L91" i="46"/>
  <c r="V91" i="46" s="1"/>
  <c r="L90" i="46"/>
  <c r="V90" i="46" s="1"/>
  <c r="L89" i="46"/>
  <c r="V89" i="46" s="1"/>
  <c r="L88" i="46"/>
  <c r="V88" i="46" s="1"/>
  <c r="L87" i="46"/>
  <c r="V87" i="46" s="1"/>
  <c r="L86" i="46"/>
  <c r="V86" i="46" s="1"/>
  <c r="L85" i="46"/>
  <c r="V85" i="46" s="1"/>
  <c r="L84" i="46"/>
  <c r="V84" i="46" s="1"/>
  <c r="L83" i="46"/>
  <c r="V83" i="46" s="1"/>
  <c r="L82" i="46"/>
  <c r="V82" i="46" s="1"/>
  <c r="L81" i="46"/>
  <c r="V81" i="46" s="1"/>
  <c r="L80" i="46"/>
  <c r="V80" i="46" s="1"/>
  <c r="L78" i="46"/>
  <c r="V78" i="46" s="1"/>
  <c r="L77" i="46"/>
  <c r="V77" i="46" s="1"/>
  <c r="L76" i="46"/>
  <c r="V76" i="46" s="1"/>
  <c r="L75" i="46"/>
  <c r="V75" i="46" s="1"/>
  <c r="L74" i="46"/>
  <c r="V74" i="46" s="1"/>
  <c r="L73" i="46"/>
  <c r="V73" i="46" s="1"/>
  <c r="L72" i="46"/>
  <c r="V72" i="46" s="1"/>
  <c r="L71" i="46"/>
  <c r="V71" i="46" s="1"/>
  <c r="L70" i="46"/>
  <c r="V70" i="46" s="1"/>
  <c r="L69" i="46"/>
  <c r="V69" i="46" s="1"/>
  <c r="L68" i="46"/>
  <c r="V68" i="46" s="1"/>
  <c r="L67" i="46"/>
  <c r="V67" i="46" s="1"/>
  <c r="L66" i="46"/>
  <c r="V66" i="46" s="1"/>
  <c r="L64" i="46"/>
  <c r="V64" i="46" s="1"/>
  <c r="L63" i="46"/>
  <c r="V63" i="46" s="1"/>
  <c r="L62" i="46"/>
  <c r="V62" i="46" s="1"/>
  <c r="L60" i="46"/>
  <c r="V60" i="46" s="1"/>
  <c r="L59" i="46"/>
  <c r="V59" i="46" s="1"/>
  <c r="L58" i="46"/>
  <c r="V58" i="46" s="1"/>
  <c r="L57" i="46"/>
  <c r="V57" i="46" s="1"/>
  <c r="L56" i="46"/>
  <c r="V56" i="46" s="1"/>
  <c r="L54" i="46"/>
  <c r="V54" i="46" s="1"/>
  <c r="L53" i="46"/>
  <c r="V53" i="46" s="1"/>
  <c r="L52" i="46"/>
  <c r="V52" i="46" s="1"/>
  <c r="L51" i="46"/>
  <c r="V51" i="46" s="1"/>
  <c r="L50" i="46"/>
  <c r="V50" i="46" s="1"/>
  <c r="L49" i="46"/>
  <c r="V49" i="46" s="1"/>
  <c r="L47" i="46"/>
  <c r="V47" i="46" s="1"/>
  <c r="L46" i="46"/>
  <c r="V46" i="46" s="1"/>
  <c r="L45" i="46"/>
  <c r="V45" i="46" s="1"/>
  <c r="L44" i="46"/>
  <c r="V44" i="46" s="1"/>
  <c r="L43" i="46"/>
  <c r="V43" i="46" s="1"/>
  <c r="L42" i="46"/>
  <c r="V42" i="46" s="1"/>
  <c r="L41" i="46"/>
  <c r="V41" i="46" s="1"/>
  <c r="L40" i="46"/>
  <c r="V40" i="46" s="1"/>
  <c r="L39" i="46"/>
  <c r="V39" i="46" s="1"/>
  <c r="L38" i="46"/>
  <c r="V38" i="46" s="1"/>
  <c r="L37" i="46"/>
  <c r="V37" i="46" s="1"/>
  <c r="L36" i="46"/>
  <c r="V36" i="46" s="1"/>
  <c r="L35" i="46"/>
  <c r="V35" i="46" s="1"/>
  <c r="L34" i="46"/>
  <c r="V34" i="46" s="1"/>
  <c r="L33" i="46"/>
  <c r="V33" i="46" s="1"/>
  <c r="L32" i="46"/>
  <c r="V32" i="46" s="1"/>
  <c r="L30" i="46"/>
  <c r="V30" i="46" s="1"/>
  <c r="L29" i="46"/>
  <c r="V29" i="46" s="1"/>
  <c r="L28" i="46"/>
  <c r="V28" i="46" s="1"/>
  <c r="L27" i="46"/>
  <c r="V27" i="46" s="1"/>
  <c r="L25" i="46"/>
  <c r="V25" i="46" s="1"/>
  <c r="L24" i="46"/>
  <c r="V24" i="46" s="1"/>
  <c r="L23" i="46"/>
  <c r="V23" i="46" s="1"/>
  <c r="L22" i="46"/>
  <c r="V22" i="46" s="1"/>
  <c r="L21" i="46"/>
  <c r="V21" i="46" s="1"/>
  <c r="L20" i="46"/>
  <c r="V20" i="46" s="1"/>
  <c r="L19" i="46"/>
  <c r="V19" i="46" s="1"/>
  <c r="L18" i="46"/>
  <c r="V18" i="46" s="1"/>
  <c r="L17" i="46"/>
  <c r="V17" i="46" s="1"/>
  <c r="L16" i="46"/>
  <c r="V16" i="46" s="1"/>
  <c r="L15" i="46"/>
  <c r="V15" i="46" s="1"/>
  <c r="L14" i="46"/>
  <c r="V14" i="46" s="1"/>
  <c r="L13" i="46"/>
  <c r="V13" i="46" s="1"/>
  <c r="L12" i="46"/>
  <c r="V12" i="46" s="1"/>
  <c r="L11" i="46"/>
  <c r="V11" i="46" s="1"/>
  <c r="L10" i="46"/>
  <c r="V10" i="46" s="1"/>
  <c r="L9" i="46"/>
  <c r="V9" i="46" s="1"/>
  <c r="L8" i="46"/>
  <c r="V8" i="46" s="1"/>
  <c r="L7" i="46"/>
  <c r="V7" i="46" s="1"/>
  <c r="O32" i="53" l="1"/>
  <c r="AH53" i="45"/>
  <c r="L14" i="59" s="1"/>
  <c r="T14" i="59" s="1"/>
  <c r="V11" i="53"/>
  <c r="O31" i="53"/>
  <c r="T13" i="78"/>
  <c r="T13" i="75"/>
  <c r="T13" i="77"/>
  <c r="T13" i="74"/>
  <c r="AH103" i="46"/>
  <c r="L15" i="59" s="1"/>
  <c r="R7" i="53"/>
  <c r="T7" i="53"/>
  <c r="S7" i="53"/>
  <c r="U7" i="53"/>
  <c r="P7" i="53"/>
  <c r="Q7" i="53"/>
  <c r="O7" i="53"/>
  <c r="T114" i="78"/>
  <c r="T152" i="78"/>
  <c r="T173" i="78"/>
  <c r="T139" i="78"/>
  <c r="T86" i="78"/>
  <c r="T163" i="78"/>
  <c r="P151" i="72"/>
  <c r="R151" i="72" s="1"/>
  <c r="S151" i="72" s="1"/>
  <c r="P27" i="72"/>
  <c r="R27" i="72" s="1"/>
  <c r="S27" i="72" s="1"/>
  <c r="P164" i="72"/>
  <c r="R164" i="72" s="1"/>
  <c r="S164" i="72" s="1"/>
  <c r="T152" i="74"/>
  <c r="D16" i="59"/>
  <c r="L22" i="59"/>
  <c r="T152" i="76"/>
  <c r="T152" i="73"/>
  <c r="T152" i="77"/>
  <c r="T139" i="73"/>
  <c r="T152" i="75"/>
  <c r="T139" i="75"/>
  <c r="T139" i="77"/>
  <c r="V10" i="53"/>
  <c r="H22" i="59"/>
  <c r="AN7" i="46"/>
  <c r="AO7" i="46" s="1"/>
  <c r="T173" i="75"/>
  <c r="T114" i="76"/>
  <c r="S5" i="73"/>
  <c r="T13" i="73" s="1"/>
  <c r="T86" i="76"/>
  <c r="S175" i="76"/>
  <c r="T177" i="76" s="1"/>
  <c r="R46" i="72"/>
  <c r="S46" i="72" s="1"/>
  <c r="R56" i="72"/>
  <c r="S56" i="72" s="1"/>
  <c r="R25" i="74"/>
  <c r="S25" i="74" s="1"/>
  <c r="R121" i="72"/>
  <c r="S121" i="72" s="1"/>
  <c r="T163" i="74"/>
  <c r="R68" i="72"/>
  <c r="S68" i="72" s="1"/>
  <c r="R46" i="74"/>
  <c r="S46" i="74" s="1"/>
  <c r="R7" i="72"/>
  <c r="S7" i="72" s="1"/>
  <c r="T114" i="75"/>
  <c r="R67" i="72"/>
  <c r="S67" i="72" s="1"/>
  <c r="T114" i="74"/>
  <c r="S5" i="76"/>
  <c r="T13" i="76" s="1"/>
  <c r="R20" i="72"/>
  <c r="S20" i="72" s="1"/>
  <c r="S175" i="75"/>
  <c r="T177" i="75" s="1"/>
  <c r="R41" i="72"/>
  <c r="S41" i="72" s="1"/>
  <c r="R49" i="72"/>
  <c r="S49" i="72" s="1"/>
  <c r="T86" i="75"/>
  <c r="R54" i="72"/>
  <c r="S54" i="72" s="1"/>
  <c r="R60" i="74"/>
  <c r="S60" i="74" s="1"/>
  <c r="R153" i="72"/>
  <c r="S153" i="72" s="1"/>
  <c r="R39" i="72"/>
  <c r="S39" i="72" s="1"/>
  <c r="R36" i="72"/>
  <c r="S36" i="72" s="1"/>
  <c r="R45" i="72"/>
  <c r="S45" i="72" s="1"/>
  <c r="R63" i="72"/>
  <c r="S63" i="72" s="1"/>
  <c r="R140" i="72"/>
  <c r="S140" i="72" s="1"/>
  <c r="R61" i="74"/>
  <c r="S61" i="74" s="1"/>
  <c r="R175" i="72"/>
  <c r="S175" i="72" s="1"/>
  <c r="T177" i="72" s="1"/>
  <c r="R118" i="72"/>
  <c r="S118" i="72" s="1"/>
  <c r="S164" i="76"/>
  <c r="T173" i="76" s="1"/>
  <c r="S175" i="73"/>
  <c r="T177" i="73" s="1"/>
  <c r="S153" i="73"/>
  <c r="T163" i="73" s="1"/>
  <c r="R113" i="72"/>
  <c r="S113" i="72" s="1"/>
  <c r="R26" i="72"/>
  <c r="S26" i="72" s="1"/>
  <c r="R115" i="74"/>
  <c r="S115" i="76"/>
  <c r="T139" i="76" s="1"/>
  <c r="R30" i="73"/>
  <c r="S153" i="76"/>
  <c r="T163" i="76" s="1"/>
  <c r="R60" i="72"/>
  <c r="S60" i="72" s="1"/>
  <c r="R57" i="72"/>
  <c r="S57" i="72" s="1"/>
  <c r="R40" i="72"/>
  <c r="S40" i="72" s="1"/>
  <c r="R18" i="72"/>
  <c r="S18" i="72" s="1"/>
  <c r="R122" i="72"/>
  <c r="S122" i="72" s="1"/>
  <c r="R138" i="74"/>
  <c r="S138" i="74" s="1"/>
  <c r="R24" i="72"/>
  <c r="S24" i="72" s="1"/>
  <c r="R16" i="72"/>
  <c r="S16" i="72" s="1"/>
  <c r="R62" i="72"/>
  <c r="S62" i="72" s="1"/>
  <c r="R39" i="74"/>
  <c r="S39" i="74" s="1"/>
  <c r="T114" i="73"/>
  <c r="R58" i="72"/>
  <c r="S58" i="72" s="1"/>
  <c r="R65" i="72"/>
  <c r="S65" i="72" s="1"/>
  <c r="T163" i="75"/>
  <c r="R168" i="72"/>
  <c r="S168" i="72" s="1"/>
  <c r="R52" i="73"/>
  <c r="S52" i="73" s="1"/>
  <c r="R175" i="74"/>
  <c r="R28" i="72"/>
  <c r="S28" i="72" s="1"/>
  <c r="R162" i="72"/>
  <c r="S162" i="72" s="1"/>
  <c r="R30" i="72"/>
  <c r="S30" i="72" s="1"/>
  <c r="R64" i="72"/>
  <c r="S64" i="72" s="1"/>
  <c r="R47" i="72"/>
  <c r="S47" i="72" s="1"/>
  <c r="R37" i="72"/>
  <c r="S37" i="72" s="1"/>
  <c r="R119" i="72"/>
  <c r="S119" i="72" s="1"/>
  <c r="R25" i="72"/>
  <c r="S25" i="72" s="1"/>
  <c r="R50" i="72"/>
  <c r="S50" i="72" s="1"/>
  <c r="R89" i="72"/>
  <c r="S89" i="72" s="1"/>
  <c r="R48" i="72"/>
  <c r="S48" i="72" s="1"/>
  <c r="R42" i="72"/>
  <c r="S42" i="72" s="1"/>
  <c r="R23" i="72"/>
  <c r="S23" i="72" s="1"/>
  <c r="R142" i="72"/>
  <c r="S142" i="72" s="1"/>
  <c r="R29" i="72"/>
  <c r="S29" i="72" s="1"/>
  <c r="R35" i="72"/>
  <c r="S35" i="72" s="1"/>
  <c r="R31" i="72"/>
  <c r="S31" i="72" s="1"/>
  <c r="R88" i="72"/>
  <c r="S88" i="72" s="1"/>
  <c r="R33" i="72"/>
  <c r="S33" i="72" s="1"/>
  <c r="R172" i="73"/>
  <c r="R6" i="72"/>
  <c r="S6" i="72" s="1"/>
  <c r="R115" i="72"/>
  <c r="S115" i="72" s="1"/>
  <c r="R19" i="72"/>
  <c r="S19" i="72" s="1"/>
  <c r="R32" i="72"/>
  <c r="S32" i="72" s="1"/>
  <c r="R44" i="72"/>
  <c r="S44" i="72" s="1"/>
  <c r="R55" i="72"/>
  <c r="S55" i="72" s="1"/>
  <c r="R14" i="72"/>
  <c r="S14" i="72" s="1"/>
  <c r="R172" i="72"/>
  <c r="S172" i="72" s="1"/>
  <c r="R52" i="72"/>
  <c r="S52" i="72" s="1"/>
  <c r="R117" i="72"/>
  <c r="S117" i="72" s="1"/>
  <c r="R141" i="72"/>
  <c r="S141" i="72" s="1"/>
  <c r="R116" i="72"/>
  <c r="S116" i="72" s="1"/>
  <c r="R17" i="72"/>
  <c r="S17" i="72" s="1"/>
  <c r="R138" i="72"/>
  <c r="S138" i="72" s="1"/>
  <c r="R38" i="72"/>
  <c r="S38" i="72" s="1"/>
  <c r="R172" i="74"/>
  <c r="R21" i="72"/>
  <c r="S21" i="72" s="1"/>
  <c r="R120" i="72"/>
  <c r="S120" i="72" s="1"/>
  <c r="R22" i="72"/>
  <c r="S22" i="72" s="1"/>
  <c r="R87" i="72"/>
  <c r="S87" i="72" s="1"/>
  <c r="R66" i="72"/>
  <c r="S66" i="72" s="1"/>
  <c r="R61" i="72"/>
  <c r="S61" i="72" s="1"/>
  <c r="R59" i="72"/>
  <c r="S59" i="72" s="1"/>
  <c r="R53" i="72"/>
  <c r="S53" i="72" s="1"/>
  <c r="R47" i="74"/>
  <c r="S47" i="74" s="1"/>
  <c r="R15" i="72"/>
  <c r="S15" i="72" s="1"/>
  <c r="R51" i="72"/>
  <c r="S51" i="72" s="1"/>
  <c r="R85" i="72"/>
  <c r="S85" i="72" s="1"/>
  <c r="R28" i="74"/>
  <c r="S28" i="74" s="1"/>
  <c r="R34" i="72"/>
  <c r="S34" i="72" s="1"/>
  <c r="R43" i="72"/>
  <c r="S43" i="72" s="1"/>
  <c r="T173" i="77"/>
  <c r="T86" i="77"/>
  <c r="T114" i="77"/>
  <c r="S175" i="77"/>
  <c r="T177" i="77" s="1"/>
  <c r="S162" i="77"/>
  <c r="T163" i="77" s="1"/>
  <c r="H5" i="59"/>
  <c r="AO8" i="45"/>
  <c r="AO48" i="45" s="1"/>
  <c r="H4" i="59"/>
  <c r="I34" i="34"/>
  <c r="N6" i="60" s="1"/>
  <c r="N4" i="60" s="1"/>
  <c r="I90" i="49"/>
  <c r="N7" i="60" s="1"/>
  <c r="C8" i="51"/>
  <c r="C13" i="51"/>
  <c r="P41" i="54"/>
  <c r="L4" i="59" l="1"/>
  <c r="Q8" i="53"/>
  <c r="Q6" i="53" s="1"/>
  <c r="S8" i="53"/>
  <c r="S6" i="53" s="1"/>
  <c r="P8" i="53"/>
  <c r="P6" i="53" s="1"/>
  <c r="U8" i="53"/>
  <c r="U6" i="53" s="1"/>
  <c r="R8" i="53"/>
  <c r="T8" i="53"/>
  <c r="L16" i="59"/>
  <c r="T86" i="72"/>
  <c r="T15" i="59"/>
  <c r="T16" i="59" s="1"/>
  <c r="L5" i="59"/>
  <c r="R6" i="53"/>
  <c r="T6" i="53"/>
  <c r="O8" i="53"/>
  <c r="O28" i="53"/>
  <c r="V7" i="53"/>
  <c r="T182" i="78"/>
  <c r="Q6" i="71" s="1"/>
  <c r="Q11" i="71" s="1"/>
  <c r="T152" i="72"/>
  <c r="T139" i="72"/>
  <c r="L31" i="52"/>
  <c r="T173" i="72"/>
  <c r="T114" i="72"/>
  <c r="S30" i="73"/>
  <c r="T86" i="73" s="1"/>
  <c r="S172" i="73"/>
  <c r="T173" i="73" s="1"/>
  <c r="S115" i="74"/>
  <c r="T139" i="74" s="1"/>
  <c r="T182" i="75"/>
  <c r="S172" i="74"/>
  <c r="T173" i="74" s="1"/>
  <c r="T182" i="76"/>
  <c r="T86" i="74"/>
  <c r="T163" i="72"/>
  <c r="S175" i="74"/>
  <c r="T177" i="74" s="1"/>
  <c r="T182" i="77"/>
  <c r="R5" i="72"/>
  <c r="S5" i="72" s="1"/>
  <c r="T13" i="72" s="1"/>
  <c r="L33" i="52"/>
  <c r="N8" i="60"/>
  <c r="S9" i="53" l="1"/>
  <c r="R9" i="53"/>
  <c r="T9" i="53"/>
  <c r="Q9" i="53"/>
  <c r="P9" i="53"/>
  <c r="U9" i="53"/>
  <c r="L6" i="59"/>
  <c r="T182" i="72"/>
  <c r="E6" i="71" s="1"/>
  <c r="V8" i="53"/>
  <c r="O29" i="53"/>
  <c r="O6" i="53"/>
  <c r="O27" i="53" s="1"/>
  <c r="O9" i="53"/>
  <c r="Q9" i="71"/>
  <c r="Q8" i="71"/>
  <c r="Q10" i="71"/>
  <c r="M6" i="71"/>
  <c r="M11" i="71" s="1"/>
  <c r="O6" i="71"/>
  <c r="O11" i="71" s="1"/>
  <c r="K6" i="71"/>
  <c r="T182" i="74"/>
  <c r="I6" i="71" s="1"/>
  <c r="I11" i="71" s="1"/>
  <c r="T182" i="73"/>
  <c r="G6" i="71" s="1"/>
  <c r="G11" i="71" s="1"/>
  <c r="O30" i="53" l="1"/>
  <c r="K10" i="71"/>
  <c r="K11" i="71"/>
  <c r="O8" i="71"/>
  <c r="E8" i="71"/>
  <c r="E11" i="71"/>
  <c r="M9" i="71"/>
  <c r="K9" i="71"/>
  <c r="V9" i="53"/>
  <c r="V6" i="53"/>
  <c r="Q12" i="71"/>
  <c r="U5" i="53" s="1"/>
  <c r="K8" i="71"/>
  <c r="O9" i="71"/>
  <c r="O10" i="71"/>
  <c r="M10" i="71"/>
  <c r="M8" i="71"/>
  <c r="G8" i="71"/>
  <c r="G10" i="71"/>
  <c r="G9" i="71"/>
  <c r="I10" i="71"/>
  <c r="I9" i="71"/>
  <c r="I8" i="71"/>
  <c r="E10" i="71"/>
  <c r="E9" i="71"/>
  <c r="S6" i="71"/>
  <c r="S11" i="71" l="1"/>
  <c r="K12" i="71"/>
  <c r="E12" i="71"/>
  <c r="O5" i="53" s="1"/>
  <c r="S9" i="71"/>
  <c r="I12" i="71"/>
  <c r="Q5" i="53" s="1"/>
  <c r="S8" i="71"/>
  <c r="S10" i="71"/>
  <c r="M12" i="71"/>
  <c r="S5" i="53" s="1"/>
  <c r="O12" i="71"/>
  <c r="T5" i="53" s="1"/>
  <c r="G12" i="71"/>
  <c r="P5" i="53" s="1"/>
  <c r="H40" i="44"/>
  <c r="AG40" i="44" s="1"/>
  <c r="H31" i="44"/>
  <c r="AD31" i="44" s="1"/>
  <c r="H32" i="44"/>
  <c r="AG32" i="44" s="1"/>
  <c r="H34" i="44"/>
  <c r="AG34" i="44" s="1"/>
  <c r="H37" i="44"/>
  <c r="AF37" i="44" s="1"/>
  <c r="H27" i="44"/>
  <c r="AG27" i="44" s="1"/>
  <c r="H30" i="44"/>
  <c r="AG30" i="44" s="1"/>
  <c r="H36" i="44"/>
  <c r="AG36" i="44" s="1"/>
  <c r="H28" i="44"/>
  <c r="AG28" i="44" s="1"/>
  <c r="H35" i="44"/>
  <c r="AG35" i="44" s="1"/>
  <c r="H24" i="44"/>
  <c r="AF24" i="44" s="1"/>
  <c r="H25" i="44"/>
  <c r="AF25" i="44" s="1"/>
  <c r="H26" i="44"/>
  <c r="AD26" i="44" s="1"/>
  <c r="H29" i="44"/>
  <c r="J29" i="44" s="1"/>
  <c r="H23" i="44"/>
  <c r="AG23" i="44" s="1"/>
  <c r="H22" i="44"/>
  <c r="J22" i="44" s="1"/>
  <c r="H7" i="44"/>
  <c r="AF7" i="44" s="1"/>
  <c r="H6" i="44"/>
  <c r="AD6" i="44" s="1"/>
  <c r="H14" i="44"/>
  <c r="AG14" i="44" s="1"/>
  <c r="H10" i="44"/>
  <c r="AF10" i="44" s="1"/>
  <c r="H13" i="44"/>
  <c r="AE13" i="44" s="1"/>
  <c r="H18" i="44"/>
  <c r="AF18" i="44" s="1"/>
  <c r="H20" i="44"/>
  <c r="J20" i="44" s="1"/>
  <c r="H39" i="44"/>
  <c r="AG39" i="44" s="1"/>
  <c r="R5" i="53" l="1"/>
  <c r="V5" i="53" s="1"/>
  <c r="S12" i="71"/>
  <c r="AG37" i="44"/>
  <c r="AD22" i="44"/>
  <c r="J36" i="44"/>
  <c r="AD36" i="44"/>
  <c r="AE36" i="44"/>
  <c r="AF36" i="44"/>
  <c r="AE31" i="44"/>
  <c r="AF31" i="44"/>
  <c r="AG31" i="44"/>
  <c r="H9" i="44"/>
  <c r="AE9" i="44" s="1"/>
  <c r="AD34" i="44"/>
  <c r="J32" i="44"/>
  <c r="J31" i="44"/>
  <c r="AE29" i="44"/>
  <c r="AF29" i="44"/>
  <c r="AG29" i="44"/>
  <c r="AE26" i="44"/>
  <c r="J39" i="44"/>
  <c r="AE6" i="44"/>
  <c r="AD39" i="44"/>
  <c r="H5" i="44"/>
  <c r="AG5" i="44" s="1"/>
  <c r="AF6" i="44"/>
  <c r="AE39" i="44"/>
  <c r="AG6" i="44"/>
  <c r="AF39" i="44"/>
  <c r="AE40" i="44"/>
  <c r="J40" i="44"/>
  <c r="AF40" i="44"/>
  <c r="AD40" i="44"/>
  <c r="J28" i="44"/>
  <c r="AD32" i="44"/>
  <c r="AD28" i="44"/>
  <c r="AE32" i="44"/>
  <c r="AF32" i="44"/>
  <c r="AF28" i="44"/>
  <c r="AE28" i="44"/>
  <c r="J35" i="44"/>
  <c r="AD29" i="44"/>
  <c r="AD20" i="44"/>
  <c r="AE20" i="44"/>
  <c r="AF20" i="44"/>
  <c r="AG20" i="44"/>
  <c r="J18" i="44"/>
  <c r="AD18" i="44"/>
  <c r="J6" i="44"/>
  <c r="J14" i="44"/>
  <c r="AD14" i="44"/>
  <c r="AF22" i="44"/>
  <c r="AG13" i="44"/>
  <c r="AD35" i="44"/>
  <c r="J37" i="44"/>
  <c r="AE35" i="44"/>
  <c r="AE22" i="44"/>
  <c r="AF13" i="44"/>
  <c r="AF35" i="44"/>
  <c r="AD37" i="44"/>
  <c r="AE37" i="44"/>
  <c r="AG22" i="44"/>
  <c r="J34" i="44"/>
  <c r="AE34" i="44"/>
  <c r="J25" i="44"/>
  <c r="AF34" i="44"/>
  <c r="AG24" i="44"/>
  <c r="AE23" i="44"/>
  <c r="J23" i="44"/>
  <c r="AF23" i="44"/>
  <c r="AD23" i="44"/>
  <c r="AD7" i="44"/>
  <c r="AG18" i="44"/>
  <c r="J7" i="44"/>
  <c r="AG7" i="44"/>
  <c r="AE7" i="44"/>
  <c r="AE18" i="44"/>
  <c r="AE14" i="44"/>
  <c r="J13" i="44"/>
  <c r="AD13" i="44"/>
  <c r="J30" i="44"/>
  <c r="AE30" i="44"/>
  <c r="AD25" i="44"/>
  <c r="J27" i="44"/>
  <c r="AE25" i="44"/>
  <c r="AF30" i="44"/>
  <c r="AD27" i="44"/>
  <c r="AE27" i="44"/>
  <c r="AG25" i="44"/>
  <c r="AF26" i="44"/>
  <c r="AF27" i="44"/>
  <c r="J24" i="44"/>
  <c r="AD30" i="44"/>
  <c r="AD24" i="44"/>
  <c r="J26" i="44"/>
  <c r="AE24" i="44"/>
  <c r="AG26" i="44"/>
  <c r="H33" i="44"/>
  <c r="H16" i="44"/>
  <c r="H4" i="44"/>
  <c r="H17" i="44"/>
  <c r="AG17" i="44" s="1"/>
  <c r="AE10" i="44"/>
  <c r="H12" i="44"/>
  <c r="H21" i="44"/>
  <c r="AG21" i="44" s="1"/>
  <c r="AF14" i="44"/>
  <c r="H11" i="44"/>
  <c r="AF11" i="44" s="1"/>
  <c r="AG10" i="44"/>
  <c r="H15" i="44"/>
  <c r="J15" i="44" s="1"/>
  <c r="J10" i="44"/>
  <c r="AD10" i="44"/>
  <c r="H8" i="44"/>
  <c r="AE8" i="44" s="1"/>
  <c r="H19" i="44"/>
  <c r="H38" i="44"/>
  <c r="H3" i="44"/>
  <c r="O26" i="53" l="1"/>
  <c r="E18" i="51" s="1"/>
  <c r="AG9" i="44"/>
  <c r="AF9" i="44"/>
  <c r="AH32" i="44"/>
  <c r="AH20" i="44"/>
  <c r="AH36" i="44"/>
  <c r="J11" i="44"/>
  <c r="AH6" i="44"/>
  <c r="AH31" i="44"/>
  <c r="AH39" i="44"/>
  <c r="AE5" i="44"/>
  <c r="J5" i="44"/>
  <c r="AH23" i="44"/>
  <c r="AD5" i="44"/>
  <c r="AH40" i="44"/>
  <c r="AF5" i="44"/>
  <c r="AH35" i="44"/>
  <c r="AH34" i="44"/>
  <c r="AD9" i="44"/>
  <c r="AH29" i="44"/>
  <c r="AH22" i="44"/>
  <c r="J9" i="44"/>
  <c r="AH28" i="44"/>
  <c r="AH24" i="44"/>
  <c r="AH37" i="44"/>
  <c r="AH30" i="44"/>
  <c r="AH18" i="44"/>
  <c r="AH7" i="44"/>
  <c r="AE11" i="44"/>
  <c r="AH13" i="44"/>
  <c r="AH25" i="44"/>
  <c r="AH27" i="44"/>
  <c r="AH26" i="44"/>
  <c r="AH14" i="44"/>
  <c r="AD11" i="44"/>
  <c r="AE15" i="44"/>
  <c r="AG11" i="44"/>
  <c r="AH10" i="44"/>
  <c r="J33" i="44"/>
  <c r="AG33" i="44"/>
  <c r="AF33" i="44"/>
  <c r="AE33" i="44"/>
  <c r="AD33" i="44"/>
  <c r="AG8" i="44"/>
  <c r="J8" i="44"/>
  <c r="AD8" i="44"/>
  <c r="AF21" i="44"/>
  <c r="AF8" i="44"/>
  <c r="AD17" i="44"/>
  <c r="AE17" i="44"/>
  <c r="J12" i="44"/>
  <c r="AG12" i="44"/>
  <c r="AD12" i="44"/>
  <c r="AE12" i="44"/>
  <c r="AF12" i="44"/>
  <c r="J21" i="44"/>
  <c r="AE19" i="44"/>
  <c r="AD19" i="44"/>
  <c r="J19" i="44"/>
  <c r="AG19" i="44"/>
  <c r="AF19" i="44"/>
  <c r="J17" i="44"/>
  <c r="AF4" i="44"/>
  <c r="AG4" i="44"/>
  <c r="AE4" i="44"/>
  <c r="AD4" i="44"/>
  <c r="J4" i="44"/>
  <c r="AF17" i="44"/>
  <c r="AF15" i="44"/>
  <c r="AG15" i="44"/>
  <c r="AD15" i="44"/>
  <c r="AE21" i="44"/>
  <c r="AD21" i="44"/>
  <c r="AF16" i="44"/>
  <c r="AE16" i="44"/>
  <c r="AD16" i="44"/>
  <c r="AG16" i="44"/>
  <c r="J16" i="44"/>
  <c r="AE38" i="44"/>
  <c r="J38" i="44"/>
  <c r="AD38" i="44"/>
  <c r="AG38" i="44"/>
  <c r="AF38" i="44"/>
  <c r="AG3" i="44"/>
  <c r="AF3" i="44"/>
  <c r="AE3" i="44"/>
  <c r="AD3" i="44"/>
  <c r="J3" i="44"/>
  <c r="E17" i="51" l="1"/>
  <c r="G18" i="51"/>
  <c r="AH5" i="44"/>
  <c r="AH9" i="44"/>
  <c r="AH11" i="44"/>
  <c r="AH15" i="44"/>
  <c r="AH12" i="44"/>
  <c r="AH33" i="44"/>
  <c r="AH17" i="44"/>
  <c r="AH21" i="44"/>
  <c r="AH8" i="44"/>
  <c r="AH19" i="44"/>
  <c r="AH16" i="44"/>
  <c r="AH4" i="44"/>
  <c r="AH38" i="44"/>
  <c r="AH3" i="44"/>
  <c r="AH53" i="44" l="1"/>
  <c r="G17" i="51" l="1"/>
  <c r="I19" i="51" l="1"/>
  <c r="L4" i="67" s="1"/>
  <c r="L8" i="67" s="1"/>
  <c r="P12" i="53" l="1"/>
  <c r="P13" i="53" s="1"/>
  <c r="P15" i="53" s="1"/>
  <c r="T12" i="53"/>
  <c r="T13" i="53" s="1"/>
  <c r="S7" i="52" s="1"/>
  <c r="U12" i="53"/>
  <c r="S12" i="53"/>
  <c r="S13" i="53" s="1"/>
  <c r="R7" i="52" s="1"/>
  <c r="R12" i="53"/>
  <c r="R13" i="53" s="1"/>
  <c r="Q7" i="52" s="1"/>
  <c r="Q12" i="53"/>
  <c r="Q13" i="53" s="1"/>
  <c r="Q15" i="53" s="1"/>
  <c r="O12" i="53"/>
  <c r="O13" i="53" s="1"/>
  <c r="N7" i="52" s="1"/>
  <c r="P7" i="52" l="1"/>
  <c r="P8" i="52" s="1"/>
  <c r="Q14" i="53"/>
  <c r="Q16" i="53" s="1"/>
  <c r="Q17" i="53" s="1"/>
  <c r="Q18" i="53" s="1"/>
  <c r="P11" i="52" s="1"/>
  <c r="O15" i="53"/>
  <c r="O14" i="53"/>
  <c r="S14" i="53"/>
  <c r="S15" i="53"/>
  <c r="R15" i="53"/>
  <c r="R14" i="53"/>
  <c r="V12" i="53"/>
  <c r="V13" i="53" s="1"/>
  <c r="T15" i="53"/>
  <c r="T14" i="53"/>
  <c r="U13" i="53"/>
  <c r="T7" i="52" s="1"/>
  <c r="O33" i="53"/>
  <c r="O34" i="53" s="1"/>
  <c r="O36" i="53" s="1"/>
  <c r="O7" i="52"/>
  <c r="O5" i="52" s="1"/>
  <c r="P14" i="53"/>
  <c r="P16" i="53" s="1"/>
  <c r="P19" i="53" s="1"/>
  <c r="P20" i="53" s="1"/>
  <c r="O12" i="52" s="1"/>
  <c r="R8" i="52"/>
  <c r="R9" i="52"/>
  <c r="R6" i="52"/>
  <c r="R5" i="52"/>
  <c r="Q5" i="52"/>
  <c r="Q8" i="52"/>
  <c r="Q6" i="52"/>
  <c r="Q9" i="52"/>
  <c r="S5" i="52"/>
  <c r="S9" i="52"/>
  <c r="S8" i="52"/>
  <c r="S6" i="52"/>
  <c r="N5" i="52"/>
  <c r="N6" i="52"/>
  <c r="N9" i="52"/>
  <c r="N8" i="52"/>
  <c r="R16" i="53" l="1"/>
  <c r="R17" i="53" s="1"/>
  <c r="R18" i="53" s="1"/>
  <c r="Q11" i="52" s="1"/>
  <c r="P5" i="52"/>
  <c r="P9" i="52"/>
  <c r="P10" i="52" s="1"/>
  <c r="P20" i="52" s="1"/>
  <c r="P6" i="52"/>
  <c r="U15" i="53"/>
  <c r="V15" i="53" s="1"/>
  <c r="U14" i="53"/>
  <c r="O16" i="53"/>
  <c r="O19" i="53" s="1"/>
  <c r="O20" i="53" s="1"/>
  <c r="N12" i="52" s="1"/>
  <c r="S16" i="53"/>
  <c r="S17" i="53" s="1"/>
  <c r="S18" i="53" s="1"/>
  <c r="R11" i="52" s="1"/>
  <c r="W12" i="53"/>
  <c r="T16" i="53"/>
  <c r="T19" i="53" s="1"/>
  <c r="T20" i="53" s="1"/>
  <c r="S12" i="52" s="1"/>
  <c r="O35" i="53"/>
  <c r="O37" i="53" s="1"/>
  <c r="O38" i="53" s="1"/>
  <c r="O39" i="53" s="1"/>
  <c r="O6" i="52"/>
  <c r="O8" i="52"/>
  <c r="O9" i="52"/>
  <c r="R10" i="52"/>
  <c r="R20" i="52" s="1"/>
  <c r="Q19" i="53"/>
  <c r="Q20" i="53" s="1"/>
  <c r="P12" i="52" s="1"/>
  <c r="P17" i="53"/>
  <c r="P18" i="53" s="1"/>
  <c r="O11" i="52" s="1"/>
  <c r="T5" i="52"/>
  <c r="T8" i="52"/>
  <c r="T9" i="52"/>
  <c r="T6" i="52"/>
  <c r="N10" i="52"/>
  <c r="S10" i="52"/>
  <c r="S20" i="52" s="1"/>
  <c r="W5" i="53"/>
  <c r="W6" i="53"/>
  <c r="W9" i="53"/>
  <c r="W10" i="53"/>
  <c r="W11" i="53"/>
  <c r="W13" i="53"/>
  <c r="Q10" i="52"/>
  <c r="Q20" i="52" s="1"/>
  <c r="R19" i="53" l="1"/>
  <c r="R20" i="53" s="1"/>
  <c r="Q12" i="52" s="1"/>
  <c r="U16" i="53"/>
  <c r="U19" i="53" s="1"/>
  <c r="V14" i="53"/>
  <c r="V16" i="53" s="1"/>
  <c r="O17" i="53"/>
  <c r="O18" i="53" s="1"/>
  <c r="N11" i="52" s="1"/>
  <c r="S19" i="53"/>
  <c r="S20" i="53" s="1"/>
  <c r="R12" i="52" s="1"/>
  <c r="T17" i="53"/>
  <c r="T18" i="53" s="1"/>
  <c r="S11" i="52" s="1"/>
  <c r="O40" i="53"/>
  <c r="O41" i="53" s="1"/>
  <c r="O42" i="53" s="1"/>
  <c r="O10" i="52"/>
  <c r="O20" i="52" s="1"/>
  <c r="T10" i="52"/>
  <c r="T20" i="52" s="1"/>
  <c r="Q21" i="53"/>
  <c r="P13" i="52" s="1"/>
  <c r="P21" i="52" s="1"/>
  <c r="P21" i="53"/>
  <c r="O13" i="52" s="1"/>
  <c r="O21" i="52" s="1"/>
  <c r="L30" i="52"/>
  <c r="N20" i="52"/>
  <c r="L32" i="52"/>
  <c r="R21" i="53" l="1"/>
  <c r="Q13" i="52" s="1"/>
  <c r="Q21" i="52" s="1"/>
  <c r="U17" i="53"/>
  <c r="U18" i="53" s="1"/>
  <c r="O21" i="53"/>
  <c r="N13" i="52" s="1"/>
  <c r="N21" i="52" s="1"/>
  <c r="S21" i="53"/>
  <c r="R13" i="52" s="1"/>
  <c r="R21" i="52" s="1"/>
  <c r="T21" i="53"/>
  <c r="S13" i="52" s="1"/>
  <c r="S21" i="52" s="1"/>
  <c r="L22" i="52"/>
  <c r="N25" i="52" s="1"/>
  <c r="U20" i="53"/>
  <c r="V19" i="53"/>
  <c r="L34" i="52" l="1"/>
  <c r="L36" i="52" s="1"/>
  <c r="N24" i="52"/>
  <c r="V17" i="53"/>
  <c r="T12" i="52"/>
  <c r="V20" i="53"/>
  <c r="T11" i="52"/>
  <c r="V18" i="53"/>
  <c r="U21" i="53"/>
  <c r="T13" i="52" s="1"/>
  <c r="T21" i="52" s="1"/>
  <c r="L23" i="52" s="1"/>
  <c r="V21" i="53" l="1"/>
  <c r="R5" i="71"/>
  <c r="J5" i="71"/>
  <c r="N5" i="71"/>
  <c r="P5" i="71"/>
  <c r="L5" i="71"/>
  <c r="F5" i="7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C141" authorId="0" shapeId="0" xr:uid="{C0485258-1752-4EB1-8E9E-D9FACB69809B}">
      <text>
        <r>
          <rPr>
            <b/>
            <sz val="9"/>
            <color indexed="81"/>
            <rFont val="Tahoma"/>
            <family val="2"/>
          </rPr>
          <t>Se lee desde la pestaña Características Contrato</t>
        </r>
      </text>
    </comment>
    <comment ref="C169" authorId="0" shapeId="0" xr:uid="{8B0E94DC-A333-4DAA-80CB-786E7527A5A1}">
      <text>
        <r>
          <rPr>
            <b/>
            <sz val="9"/>
            <color indexed="81"/>
            <rFont val="Tahoma"/>
            <family val="2"/>
          </rPr>
          <t>Se lee desde la pestaña Caracteristicas contrato.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T6" authorId="0" shapeId="0" xr:uid="{75C6353B-7946-4316-9818-26EF04A7A938}">
      <text>
        <r>
          <rPr>
            <b/>
            <sz val="9"/>
            <color indexed="81"/>
            <rFont val="Tahoma"/>
            <family val="2"/>
          </rPr>
          <t>11% En Furgones/Furgonetas/Turismos y todo terrenos/ Varios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mls</author>
  </authors>
  <commentList>
    <comment ref="AI6" authorId="0" shapeId="0" xr:uid="{00000000-0006-0000-0E00-000001000000}">
      <text>
        <r>
          <rPr>
            <b/>
            <sz val="8"/>
            <rFont val="Tahoma"/>
            <family val="2"/>
          </rPr>
          <t>Coste de Reparación: % respecto al precio de adquisición. 0,01%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D11" authorId="0" shapeId="0" xr:uid="{00000000-0006-0000-1C00-000001000000}">
      <text>
        <r>
          <rPr>
            <sz val="9"/>
            <rFont val="Tahoma"/>
            <family val="2"/>
          </rPr>
          <t xml:space="preserve">
Coste equipo / día</t>
        </r>
      </text>
    </comment>
  </commentList>
</comments>
</file>

<file path=xl/sharedStrings.xml><?xml version="1.0" encoding="utf-8"?>
<sst xmlns="http://schemas.openxmlformats.org/spreadsheetml/2006/main" count="2782" uniqueCount="1107">
  <si>
    <t>PRESUPUESTO BASE LICITACIÓN</t>
  </si>
  <si>
    <t>a1</t>
  </si>
  <si>
    <t>Total Costes Conservación</t>
  </si>
  <si>
    <t>a2</t>
  </si>
  <si>
    <t>Total Costes Limpieza</t>
  </si>
  <si>
    <t>A = a1+a2</t>
  </si>
  <si>
    <t>TOTAL COSTES EJECUCIÓN MATERIAL</t>
  </si>
  <si>
    <t>B</t>
  </si>
  <si>
    <t>Gastos Generales</t>
  </si>
  <si>
    <t>C</t>
  </si>
  <si>
    <t>Beneficio industrial</t>
  </si>
  <si>
    <t>D=A+B+C</t>
  </si>
  <si>
    <t>TOTAL CANON ANUAL SIN IVA</t>
  </si>
  <si>
    <t>E=21% · a2</t>
  </si>
  <si>
    <t>IVA Conservación</t>
  </si>
  <si>
    <t>F=10% · a2</t>
  </si>
  <si>
    <t>IVA Limpieza</t>
  </si>
  <si>
    <t>G=D+E+F</t>
  </si>
  <si>
    <t>TOTAL CANON ANUAL CON IVA</t>
  </si>
  <si>
    <t>H</t>
  </si>
  <si>
    <t>TRABAJOS POR MEDICIÓN/SUMINISTRO SIN IVA</t>
  </si>
  <si>
    <t>I</t>
  </si>
  <si>
    <t>IVA Trabajos medición</t>
  </si>
  <si>
    <t>J=H+I</t>
  </si>
  <si>
    <t>TRABAJOS MEDICIÓN CON IVA</t>
  </si>
  <si>
    <t>K=D+H</t>
  </si>
  <si>
    <t>PRECIO BASE LICITACIÓN ANUAL SIN IVA</t>
  </si>
  <si>
    <t>P=G+J</t>
  </si>
  <si>
    <t>PRECIO BASE LICITACIÓN ANUAL CON IVA</t>
  </si>
  <si>
    <t>L</t>
  </si>
  <si>
    <t>TOTAL PRECIO BASE LICITACIÓN SIN IVA</t>
  </si>
  <si>
    <t>M</t>
  </si>
  <si>
    <t>TOTAL PRECIO BASE LICITACIÓN CON IVA</t>
  </si>
  <si>
    <t>%</t>
  </si>
  <si>
    <t>DESGLOSE COSTES DIRECTOS</t>
  </si>
  <si>
    <t>DESGLOSE COSTES INDIRECTOS</t>
  </si>
  <si>
    <t>VALOR ESTIMADO</t>
  </si>
  <si>
    <t>TOTAL PRECIO BASE LICITACIÓN ANUAL SIN IVA</t>
  </si>
  <si>
    <t>N</t>
  </si>
  <si>
    <t xml:space="preserve">PRÓRROGA: </t>
  </si>
  <si>
    <t>Canon Anual año 5 (actualizado con costes salariales convenio, GG+BI, sin IVA)</t>
  </si>
  <si>
    <t>Coeficiente de ajuste año 5</t>
  </si>
  <si>
    <t>Trabajos Medición/suministro año 5</t>
  </si>
  <si>
    <t>Canon Anual año 6 (actualizado con costes salariales convenio, GG+BI, sin IVA)</t>
  </si>
  <si>
    <t>Coeficiente de ajuste año 6</t>
  </si>
  <si>
    <t>Trabajos Medición/suministro año 6</t>
  </si>
  <si>
    <t>O</t>
  </si>
  <si>
    <t>MODIFICACIONES PREVISTAS (art.204 &lt;20% PBL)</t>
  </si>
  <si>
    <t>Coeficiente modificaciones previstas</t>
  </si>
  <si>
    <t>R=L+N+O</t>
  </si>
  <si>
    <t>TOTAL VALOR ESTIMADO</t>
  </si>
  <si>
    <t>TOTAL</t>
  </si>
  <si>
    <t>A. TOTAL COSTES DE PERSONAL</t>
  </si>
  <si>
    <t>B. TOTAL COSTES DE VEHÍCULOS Y MAQUINARIA</t>
  </si>
  <si>
    <t>C. TOTAL COSTES VESTUARIO, EQUIPAMIENTOS, ÚTILES Y HERRAMIENTAS</t>
  </si>
  <si>
    <t>D. TOTAL COSTES LOCALES E INSTALACIONES</t>
  </si>
  <si>
    <t>E. TOTAL COSTES MATERIALES DE CONSERVACIÓN</t>
  </si>
  <si>
    <t>F. TOTAL OTROS COSTES</t>
  </si>
  <si>
    <t>Beneficio Industrial</t>
  </si>
  <si>
    <t xml:space="preserve">CANON ANUAL CONSERVACIÓN </t>
  </si>
  <si>
    <t>CANON ANUAL LIMPIEZA</t>
  </si>
  <si>
    <t>TRABAJOS POR MEDICIÓN / SUMINISTRO</t>
  </si>
  <si>
    <t>TRABAJOS</t>
  </si>
  <si>
    <t>MEDICIÓN ESTIMADA</t>
  </si>
  <si>
    <t>PRECIO UNITARIO</t>
  </si>
  <si>
    <t>COSTE ESTIMADO</t>
  </si>
  <si>
    <t>Suministro de elementos de redes de riego</t>
  </si>
  <si>
    <t>m2</t>
  </si>
  <si>
    <t>Renovación</t>
  </si>
  <si>
    <t>Reparación por vandalismo y/o eventos climáticos</t>
  </si>
  <si>
    <t>Suministro de elementos vegetales</t>
  </si>
  <si>
    <t>Árbol contenedor</t>
  </si>
  <si>
    <t>Árbol cepellón</t>
  </si>
  <si>
    <t>Arbusto</t>
  </si>
  <si>
    <t>Suministro de tratamiento integral plagas</t>
  </si>
  <si>
    <t>Herbicida  - Ácido Acético</t>
  </si>
  <si>
    <t>Medida Cultural Potenciador Biológico foliar</t>
  </si>
  <si>
    <t>Medida Cultural Potenciador Biológico radicular</t>
  </si>
  <si>
    <t>Medida Cultural Potenciador Enmiendas minerales</t>
  </si>
  <si>
    <t>Suministro de materiales de conservación o reposición  de elementos de obra civil</t>
  </si>
  <si>
    <t>Reparación</t>
  </si>
  <si>
    <t>Suministro de materiales de conservación o reposición de mobiliario y juegos</t>
  </si>
  <si>
    <t>Reposición bancos vandalismo</t>
  </si>
  <si>
    <t>Renovación bancos</t>
  </si>
  <si>
    <t>Renovación juegos infantiles</t>
  </si>
  <si>
    <t>Reposición juegos infantiles</t>
  </si>
  <si>
    <t>Reposición A.mayores</t>
  </si>
  <si>
    <t>Maquinaria específica para operaciones extraordinarias</t>
  </si>
  <si>
    <t>Jornada</t>
  </si>
  <si>
    <t>Plataforma poda &gt; 20 m</t>
  </si>
  <si>
    <t xml:space="preserve">Retro-Excavadora 95 CV </t>
  </si>
  <si>
    <t>Estudios proyectos y asistencias técnicas</t>
  </si>
  <si>
    <t>Estudios de plagas y enfermedades</t>
  </si>
  <si>
    <t>Horas técnico especialista</t>
  </si>
  <si>
    <t>TOTAL COSTE DE EJECUCIÓN MATERIAL</t>
  </si>
  <si>
    <t>TOTAL TRABAJOS POR MEDICIÓN/SUMINISTRO SIN IVA</t>
  </si>
  <si>
    <t xml:space="preserve">IVA </t>
  </si>
  <si>
    <t xml:space="preserve">TOTAL TRABAJOS POR MEDICIÓN/SUMINISTRO CON IVA </t>
  </si>
  <si>
    <t>CONCEPTOS</t>
  </si>
  <si>
    <t>COSTE ANUAL</t>
  </si>
  <si>
    <t>A.1</t>
  </si>
  <si>
    <t>COSTES SALARIALES DEL PERSONAL A SUBROGAR</t>
  </si>
  <si>
    <t>A.2</t>
  </si>
  <si>
    <t>COSTES SALARIALES DEL PERSONAL DE NUEVA CONTRATACIÓN</t>
  </si>
  <si>
    <t>A.3</t>
  </si>
  <si>
    <t>SUSTITUCIÓN DE VACACIONES</t>
  </si>
  <si>
    <t>A.4</t>
  </si>
  <si>
    <t>SUSTITUCIÓN HORAS FORMACIÓN</t>
  </si>
  <si>
    <t>A.5</t>
  </si>
  <si>
    <t>ABSENTISMO (Y BAJAS)</t>
  </si>
  <si>
    <t>A.6</t>
  </si>
  <si>
    <t>PELIGROSIDAD Y OTROS</t>
  </si>
  <si>
    <t>Nº OPERARIOS</t>
  </si>
  <si>
    <t>TOTAL COSTES DE PERSONAL</t>
  </si>
  <si>
    <t>Inicio contrato año</t>
  </si>
  <si>
    <t>RESUMEN PERSONAL</t>
  </si>
  <si>
    <t>Final contrato año</t>
  </si>
  <si>
    <t>Peón</t>
  </si>
  <si>
    <t>Auxiliar jardinero/a</t>
  </si>
  <si>
    <t>Jardinero/a</t>
  </si>
  <si>
    <t>Encargado/a</t>
  </si>
  <si>
    <t>Técnico/a</t>
  </si>
  <si>
    <t>Administrativo/a</t>
  </si>
  <si>
    <t>COSTES UNITARIOS DE PERSONAL</t>
  </si>
  <si>
    <t>Aprendiz jardinero</t>
  </si>
  <si>
    <t>CATEGORÍA</t>
  </si>
  <si>
    <t>SB</t>
  </si>
  <si>
    <t>P. TRANS</t>
  </si>
  <si>
    <t>Limpiador/a</t>
  </si>
  <si>
    <t>Vigilante</t>
  </si>
  <si>
    <t>Oficial jardinero/a</t>
  </si>
  <si>
    <t>Oficial conductor</t>
  </si>
  <si>
    <t>Maestro jardinero</t>
  </si>
  <si>
    <t>Encargado</t>
  </si>
  <si>
    <t>Aprendiz administrativo/a</t>
  </si>
  <si>
    <t>Aspirante</t>
  </si>
  <si>
    <t>Auxiliar administrativo/a</t>
  </si>
  <si>
    <t>Oficial administrativo/a</t>
  </si>
  <si>
    <t>Jefe/a administrativo/a</t>
  </si>
  <si>
    <t>Delineante</t>
  </si>
  <si>
    <t>Técnico/a no titolado/a</t>
  </si>
  <si>
    <t>Técnico/a titulado/a</t>
  </si>
  <si>
    <t>Técnico/a diplomado/a</t>
  </si>
  <si>
    <t>Técnico/a licenciado/a</t>
  </si>
  <si>
    <t>ANEXO II Tablas de vinculación y antigüedades</t>
  </si>
  <si>
    <t>Antigüedad</t>
  </si>
  <si>
    <t>Personal oficios manuales</t>
  </si>
  <si>
    <t>Personal administrativo</t>
  </si>
  <si>
    <t>Personal técnico</t>
  </si>
  <si>
    <t>2 años</t>
  </si>
  <si>
    <t>6 años</t>
  </si>
  <si>
    <t>10 años</t>
  </si>
  <si>
    <t>14 años</t>
  </si>
  <si>
    <t>18 años</t>
  </si>
  <si>
    <t>20 años</t>
  </si>
  <si>
    <t>22 años</t>
  </si>
  <si>
    <t>24 años</t>
  </si>
  <si>
    <t>26 años</t>
  </si>
  <si>
    <t>28 años</t>
  </si>
  <si>
    <t>INCREMENTO</t>
  </si>
  <si>
    <t>Otras tablas</t>
  </si>
  <si>
    <t>Plus de trabajos tóxicos, penosos o peligrosos. Día completo.</t>
  </si>
  <si>
    <t>Plus de trabajos tóxicos, penosos o peligrosos. Hora o fracción superior a treinta minutos</t>
  </si>
  <si>
    <t>Plus de trabajos tóxicos, penosos o peligrosos. Fracción inferior a treinta minutos</t>
  </si>
  <si>
    <t>DESPLAZAMIENTOS Y DIETAS</t>
  </si>
  <si>
    <t>Media dieta</t>
  </si>
  <si>
    <t>Dieta completa</t>
  </si>
  <si>
    <t>GRATIFICACIÓN POR PERMANENCIA</t>
  </si>
  <si>
    <t>TABLAS SALARIALES AÑO 2026</t>
  </si>
  <si>
    <t>A los 60 años</t>
  </si>
  <si>
    <t>A los 61 años</t>
  </si>
  <si>
    <t>A los 62 años</t>
  </si>
  <si>
    <t>A los 63 años</t>
  </si>
  <si>
    <t>A los 64 años</t>
  </si>
  <si>
    <t>BENEFICIOS SOCIALES</t>
  </si>
  <si>
    <t>TABLAS SALARIALES AÑO 2027</t>
  </si>
  <si>
    <t>TABLAS SALARIALES AÑO 2028</t>
  </si>
  <si>
    <t>GÉNERO</t>
  </si>
  <si>
    <t>TIPO CONTRATO</t>
  </si>
  <si>
    <t>FECHA ANTIGÜEDAD</t>
  </si>
  <si>
    <t>VENCIMIENTO CONTRATO</t>
  </si>
  <si>
    <t>JORNADA</t>
  </si>
  <si>
    <t>PAGA VERDE</t>
  </si>
  <si>
    <t>FRECUENCIA / AÑO</t>
  </si>
  <si>
    <t xml:space="preserve"> PEÓN  </t>
  </si>
  <si>
    <t xml:space="preserve"> AUXILIAR JARD.  </t>
  </si>
  <si>
    <t>F</t>
  </si>
  <si>
    <t xml:space="preserve"> JARDINERO/A</t>
  </si>
  <si>
    <t xml:space="preserve"> OFICIAL JARD.  </t>
  </si>
  <si>
    <t xml:space="preserve"> OFICIAL COND.  </t>
  </si>
  <si>
    <t xml:space="preserve"> ENCARGADO/A</t>
  </si>
  <si>
    <t xml:space="preserve"> TÉCNICO/A DIPLOMADO/A  </t>
  </si>
  <si>
    <t xml:space="preserve"> TÉCNICO/A LICENCIADO/A  </t>
  </si>
  <si>
    <t xml:space="preserve"> ADMINISTRATIVO/A  </t>
  </si>
  <si>
    <t>TOTAL COSTE MEDIOS A SUBROGAR</t>
  </si>
  <si>
    <t xml:space="preserve"> </t>
  </si>
  <si>
    <t>MEDIOS PERSONALES - CÁLCULO COSTES ANTIGÜEDAD</t>
  </si>
  <si>
    <t>AÑO ANTIGÜEDAD</t>
  </si>
  <si>
    <t>AÑO INICIO SERVICIO</t>
  </si>
  <si>
    <t>AÑO FINAL SERVICIO</t>
  </si>
  <si>
    <t xml:space="preserve">Nº ORDEN </t>
  </si>
  <si>
    <t xml:space="preserve">CONTRATO </t>
  </si>
  <si>
    <t xml:space="preserve">FECHA ANTIGÜEDAD </t>
  </si>
  <si>
    <t xml:space="preserve">CATEGORIA </t>
  </si>
  <si>
    <t xml:space="preserve">JORNADA </t>
  </si>
  <si>
    <t xml:space="preserve">TIPO CONTRATO </t>
  </si>
  <si>
    <t xml:space="preserve">CONVENIO APLICACIÓN </t>
  </si>
  <si>
    <t xml:space="preserve">SAL.BRUTO ANUAL (ANTIG.+COMP.) </t>
  </si>
  <si>
    <t xml:space="preserve">TOTAL COSTE EMPRESA </t>
  </si>
  <si>
    <t>% COSTE EMPRESA</t>
  </si>
  <si>
    <t>Antiguedad</t>
  </si>
  <si>
    <t>Plus transp+ropa</t>
  </si>
  <si>
    <t>Plus prod.</t>
  </si>
  <si>
    <t>A2023</t>
  </si>
  <si>
    <t>A2024</t>
  </si>
  <si>
    <t>A2025</t>
  </si>
  <si>
    <t>A2026</t>
  </si>
  <si>
    <t>SB2023</t>
  </si>
  <si>
    <t>SB2024</t>
  </si>
  <si>
    <t>SB2025</t>
  </si>
  <si>
    <t>SB2026</t>
  </si>
  <si>
    <t>Coste de empresa medio
duracion de contrato</t>
  </si>
  <si>
    <t xml:space="preserve">OBSERVACIONES </t>
  </si>
  <si>
    <t xml:space="preserve">LOTE 1 </t>
  </si>
  <si>
    <t xml:space="preserve"> Peón  </t>
  </si>
  <si>
    <t xml:space="preserve">DE LUNES A VIERNES </t>
  </si>
  <si>
    <t>Convenio Estatal de Jardineria 2021-2024 + Acuerdo Colectivo...</t>
  </si>
  <si>
    <t xml:space="preserve"> Auxiliar Jardinero  </t>
  </si>
  <si>
    <t xml:space="preserve">FIN CONTRATO POR INCAPACIDAD TOTAL: 18/02/2018 / PROXIMA REVISION 01/03/2020 </t>
  </si>
  <si>
    <t xml:space="preserve">Jardinero  </t>
  </si>
  <si>
    <t xml:space="preserve">Oficial </t>
  </si>
  <si>
    <t xml:space="preserve">FECHA FIN EXCEDENCIA 30/09/2019 </t>
  </si>
  <si>
    <t xml:space="preserve">FIN REDUCCIÓN CUIDADO DE HIJOS: 28/04/2027 / REDUCCION JORNADA 92,93% </t>
  </si>
  <si>
    <t>Jefe de servicio</t>
  </si>
  <si>
    <t>Auxiliar administrativo</t>
  </si>
  <si>
    <t>NUEVA INCORP</t>
  </si>
  <si>
    <t xml:space="preserve">FIN CONTRATO: 15/10/2018 </t>
  </si>
  <si>
    <t xml:space="preserve">FIN CONTRATO: 31/10/2018 </t>
  </si>
  <si>
    <t xml:space="preserve">FIN CONTRATO: 26/11/2018 </t>
  </si>
  <si>
    <t xml:space="preserve">FIN CONTRATO: 13/10/2018 </t>
  </si>
  <si>
    <t xml:space="preserve">FIN CONTRATO: 27/03/2019 </t>
  </si>
  <si>
    <t xml:space="preserve">FIN CONTRATO: 30/09/2018 </t>
  </si>
  <si>
    <t xml:space="preserve">FIN CONTRATO: 07/10/2018 </t>
  </si>
  <si>
    <t xml:space="preserve">FIN CONTRATO: 31/05/2019 </t>
  </si>
  <si>
    <t xml:space="preserve">FIN CONTRATO: 28/09/2018 </t>
  </si>
  <si>
    <t xml:space="preserve">FIN CONTRATO: 16/10/2018 </t>
  </si>
  <si>
    <t xml:space="preserve">FIN CONTRATO: 18/03/2019 </t>
  </si>
  <si>
    <t>Total Lote 1  Servicio de RSU:</t>
  </si>
  <si>
    <t>RESUMEN COSTES VEHÍCULOS Y MAQUINARIA</t>
  </si>
  <si>
    <t>COSTES FIJOS ANUALES</t>
  </si>
  <si>
    <t>COSTES MANTENIMIENTO</t>
  </si>
  <si>
    <t>B.1</t>
  </si>
  <si>
    <t>VEHÍCULOS</t>
  </si>
  <si>
    <t>B.2</t>
  </si>
  <si>
    <t>MAQUINARIA</t>
  </si>
  <si>
    <t>TOTAL COSTES DE VEHÍCULOS Y MAQUINARIA</t>
  </si>
  <si>
    <t>Gastos financieros aplicados</t>
  </si>
  <si>
    <t>CONSUMO DE ACEITE DE UN MOTOR (l. / h.)</t>
  </si>
  <si>
    <t>POTENCIA MOTOR</t>
  </si>
  <si>
    <t>CONSUMO ACEITE</t>
  </si>
  <si>
    <t>kw.</t>
  </si>
  <si>
    <t>cv</t>
  </si>
  <si>
    <t>l./ h.</t>
  </si>
  <si>
    <t>MÉTODO ESTIMADO</t>
  </si>
  <si>
    <t>PRECIO LUBRICANTE</t>
  </si>
  <si>
    <t>CONSUMO</t>
  </si>
  <si>
    <t>COSTE LUBRICANTES</t>
  </si>
  <si>
    <t>COSTE litro/Combustible</t>
  </si>
  <si>
    <t>€ / l.</t>
  </si>
  <si>
    <t>l. / h.</t>
  </si>
  <si>
    <t>€ / h.</t>
  </si>
  <si>
    <t>COSTE litro/Lubricante (2T)</t>
  </si>
  <si>
    <t>COSTE litro/Lubricante (4T)</t>
  </si>
  <si>
    <t>COSTE litro/GLP</t>
  </si>
  <si>
    <t>EFICIENCIA DEL COMBUSTIBLE</t>
  </si>
  <si>
    <t>CONSUMO ESPECÍFICO</t>
  </si>
  <si>
    <t>CONSUMO ESPECÍFICO*CM</t>
  </si>
  <si>
    <t>EFICINCIA DEL COMB.</t>
  </si>
  <si>
    <t>Carga Motor</t>
  </si>
  <si>
    <t>kw. x h. / l.</t>
  </si>
  <si>
    <t>Factor</t>
  </si>
  <si>
    <t>L/(kw*h)</t>
  </si>
  <si>
    <t>kwh/L/CM</t>
  </si>
  <si>
    <t>ASAE</t>
  </si>
  <si>
    <t>l. / kw. x h.</t>
  </si>
  <si>
    <t>Combinado</t>
  </si>
  <si>
    <t>PRECIOS UNITARIOS DE VEHÍCULOS. INVERSIÓN, COMBUSTIBLE Y MANTENIMIENTO</t>
  </si>
  <si>
    <t>DATOS GENERALES</t>
  </si>
  <si>
    <t>COSTES FIJOS ANUALES / VEHÍCULO</t>
  </si>
  <si>
    <t>MANTENIMIENTO</t>
  </si>
  <si>
    <t>COSTE TOTAL AÑO</t>
  </si>
  <si>
    <t>KM / AÑO</t>
  </si>
  <si>
    <t>COMBUSTIBLE</t>
  </si>
  <si>
    <t>LUBRICANTE</t>
  </si>
  <si>
    <t>REPUESTOS</t>
  </si>
  <si>
    <t>COSTE TOTAL (€/jornada)</t>
  </si>
  <si>
    <t>Uds</t>
  </si>
  <si>
    <t>DESCRIPCIÓN</t>
  </si>
  <si>
    <t>MOTOR</t>
  </si>
  <si>
    <t>USO</t>
  </si>
  <si>
    <t>CARGA (Kg)</t>
  </si>
  <si>
    <t>AÑO ADQUISICIÓN</t>
  </si>
  <si>
    <t>VALOR ADQUISICIÓN (sin IVA)</t>
  </si>
  <si>
    <t>VIDA ÚTIL</t>
  </si>
  <si>
    <t>AÑOS SERVICIO</t>
  </si>
  <si>
    <t>PRECIO ALQUILER (mes)</t>
  </si>
  <si>
    <t>PLAZAS (Nº)</t>
  </si>
  <si>
    <t>TOTAL INVERSIÓN</t>
  </si>
  <si>
    <t>AMORTIZ./UD</t>
  </si>
  <si>
    <t>GASTOS FINANCIEROS /UD</t>
  </si>
  <si>
    <t>SEGUROS Y TASAS /UD</t>
  </si>
  <si>
    <t>VALOR RESIDUAL</t>
  </si>
  <si>
    <t>TOTAL COSTES FIJOS / UD</t>
  </si>
  <si>
    <t>LITROS / AÑO</t>
  </si>
  <si>
    <t>COSTE (€/jornada)</t>
  </si>
  <si>
    <t>CONSUMO Lubric. (l/año)</t>
  </si>
  <si>
    <t>COSTE Lub. (€/litro)</t>
  </si>
  <si>
    <t>COSTE Lubr. (€/jornada)</t>
  </si>
  <si>
    <t>COSTE Rep. (€/jornada)</t>
  </si>
  <si>
    <t>A</t>
  </si>
  <si>
    <t>C´</t>
  </si>
  <si>
    <t>D=A·B</t>
  </si>
  <si>
    <t>E=B/C</t>
  </si>
  <si>
    <t>G</t>
  </si>
  <si>
    <t>H=E+F+G</t>
  </si>
  <si>
    <t>Camiones 8.000 - 30.000 Kg</t>
  </si>
  <si>
    <t>DIESEL</t>
  </si>
  <si>
    <t>Transporte varios</t>
  </si>
  <si>
    <t>30.000 kg</t>
  </si>
  <si>
    <t>26.000 kg</t>
  </si>
  <si>
    <t>20.000 kg</t>
  </si>
  <si>
    <t>12.000 kg</t>
  </si>
  <si>
    <t>18.000 kg</t>
  </si>
  <si>
    <t>8.000 kg</t>
  </si>
  <si>
    <t>Transporte contenedores</t>
  </si>
  <si>
    <t>14.000 kg</t>
  </si>
  <si>
    <t>COMPACTADOR BASURA</t>
  </si>
  <si>
    <t>Recogida residuos</t>
  </si>
  <si>
    <t>12.500 kg</t>
  </si>
  <si>
    <t>Riego y limpieza</t>
  </si>
  <si>
    <t>Furgones</t>
  </si>
  <si>
    <t>CAJA CERRADA 3 Plazas</t>
  </si>
  <si>
    <t>ELECTR.</t>
  </si>
  <si>
    <t>900 Kg</t>
  </si>
  <si>
    <t>HIBRIDO</t>
  </si>
  <si>
    <t>3000 kg</t>
  </si>
  <si>
    <t xml:space="preserve">CAJA CERRADA 6 Plazas </t>
  </si>
  <si>
    <t>2.835 kg</t>
  </si>
  <si>
    <t xml:space="preserve">CAJA CERRADA 9 Plazas </t>
  </si>
  <si>
    <t>2.920 kg</t>
  </si>
  <si>
    <t>CAJA ABIERTA Cabina SIMPLE</t>
  </si>
  <si>
    <t>3.500 kg</t>
  </si>
  <si>
    <t>CAJA ABIERTA Cabina DOBLE</t>
  </si>
  <si>
    <t>Furgonetas</t>
  </si>
  <si>
    <t>FURGONETA 5P</t>
  </si>
  <si>
    <t>500 Kg</t>
  </si>
  <si>
    <t>GASOLINA</t>
  </si>
  <si>
    <t>1300 kg</t>
  </si>
  <si>
    <t>Turismos y todoterrenos</t>
  </si>
  <si>
    <t>Turismos y Todoterrenos</t>
  </si>
  <si>
    <t>TURISMO 2 plazas</t>
  </si>
  <si>
    <t>Inspección</t>
  </si>
  <si>
    <t>400 kg</t>
  </si>
  <si>
    <t>VEHÍCULO TURISMO 5P</t>
  </si>
  <si>
    <t>1120 kg</t>
  </si>
  <si>
    <t>VEHICULO TURISMO 5P</t>
  </si>
  <si>
    <t>VEHICULO TODO-TERRENO</t>
  </si>
  <si>
    <t>VEHÍCULO TODO-TERRENO</t>
  </si>
  <si>
    <t>VEHÍCULO 4X4 TODOTERRENO</t>
  </si>
  <si>
    <t>2.805 kg</t>
  </si>
  <si>
    <t>Varios</t>
  </si>
  <si>
    <t xml:space="preserve">MULTIUSOS </t>
  </si>
  <si>
    <t>450 kg</t>
  </si>
  <si>
    <t>CAJA ABIERTA MINIVAN Cabina SIMPLE</t>
  </si>
  <si>
    <t>560 kg</t>
  </si>
  <si>
    <t>PORTACONTENEDOR MINIVAN Cabina SIMPLE</t>
  </si>
  <si>
    <t>Transporte residuos</t>
  </si>
  <si>
    <t>665 Kg</t>
  </si>
  <si>
    <t>CAJA ABIERTA MINIVAN Cabina DOBLE</t>
  </si>
  <si>
    <t>GLP</t>
  </si>
  <si>
    <t>685 kg</t>
  </si>
  <si>
    <t>CAJA CERRADA MINIVAN Cabina SIMPLE</t>
  </si>
  <si>
    <t>CAJA ABIERTA 3P PLATAFORMA 17 m</t>
  </si>
  <si>
    <t>Poda en altura</t>
  </si>
  <si>
    <t>250 kg</t>
  </si>
  <si>
    <t>Transporte varios. Vehículo</t>
  </si>
  <si>
    <t>680 kg</t>
  </si>
  <si>
    <t>600 kg</t>
  </si>
  <si>
    <t>TOTAL COSTES VEHÍCULOS</t>
  </si>
  <si>
    <t>PRECIOS UNITARIOS DE MAQUINARIA. INVERSIÓN, COMBUSTIBLE Y MANTENIMIENTO</t>
  </si>
  <si>
    <t>nº horas uso / jornada</t>
  </si>
  <si>
    <t>Coeficiente IPC</t>
  </si>
  <si>
    <t>LABOR</t>
  </si>
  <si>
    <t>PRECIO ADQUISICIÓN (sin IVA)</t>
  </si>
  <si>
    <t>HORAS/año</t>
  </si>
  <si>
    <t>VIDA ÚTIL (años)</t>
  </si>
  <si>
    <t>Potencia (cv)</t>
  </si>
  <si>
    <t>Nº DE DÍAS DE USO</t>
  </si>
  <si>
    <t>CONSUMO Lubric. (l/h)</t>
  </si>
  <si>
    <t>CONSUMO TOTAL Lubr.</t>
  </si>
  <si>
    <t>CONSUMO Comb. (l/h)</t>
  </si>
  <si>
    <t>CONSUMO TOTAL Comb.</t>
  </si>
  <si>
    <t>COSTE Comb. (€/litro)</t>
  </si>
  <si>
    <t>COSTE Comb. (€/jornada)</t>
  </si>
  <si>
    <t>Labores sobre céspedes y praderas naturales</t>
  </si>
  <si>
    <t xml:space="preserve">SEGADORA 53 cm corte </t>
  </si>
  <si>
    <t>4T</t>
  </si>
  <si>
    <t>Segadora de césped</t>
  </si>
  <si>
    <t xml:space="preserve">SEGADORA 66 cm corte </t>
  </si>
  <si>
    <t xml:space="preserve">SEGADORA 91 cm corte </t>
  </si>
  <si>
    <t>SEGADORA 90 cm corte giro 0</t>
  </si>
  <si>
    <t xml:space="preserve">PLATAFORMA SIEGA 132 cm corte </t>
  </si>
  <si>
    <t xml:space="preserve">MINITRACTOR 127 cm corte </t>
  </si>
  <si>
    <t>Mantenimiento de cesped</t>
  </si>
  <si>
    <t>TRACTOR DE SIEGA 137 cm corte</t>
  </si>
  <si>
    <t>Tractor segador de césped</t>
  </si>
  <si>
    <t xml:space="preserve">DESBROZADORA Cuchillas centrífuga 51 cm </t>
  </si>
  <si>
    <t>2T</t>
  </si>
  <si>
    <t>Desbrozadora trac. Manual</t>
  </si>
  <si>
    <t xml:space="preserve">DESBROZADORA Cuchilas centrifuga 95 cm </t>
  </si>
  <si>
    <t>Desbrozadora de asiento</t>
  </si>
  <si>
    <t xml:space="preserve">DESBROZADORA hilo 1,4 Kw </t>
  </si>
  <si>
    <t>Desbrozadora trac. manual</t>
  </si>
  <si>
    <t>DESBROZADORA HILO/ CUCHILLA 2,8 CV</t>
  </si>
  <si>
    <t>Desbrozadora mixta</t>
  </si>
  <si>
    <t xml:space="preserve">MOTOGUADAÑA Cuchillas 2,2 Kw </t>
  </si>
  <si>
    <t>Motoguadaña de mochila</t>
  </si>
  <si>
    <t>PERFILADORA de hilo 0,7 Kw</t>
  </si>
  <si>
    <t>Perfiladora de césped</t>
  </si>
  <si>
    <t>PERFILADORA Cuchilla vertical</t>
  </si>
  <si>
    <t xml:space="preserve">ESCARIFICADORA Verticut 50 cm 6 CV </t>
  </si>
  <si>
    <t xml:space="preserve">Escarificadora trac. man. </t>
  </si>
  <si>
    <t xml:space="preserve">ESCARIFICADORA 100 cm 5 CV </t>
  </si>
  <si>
    <t>Praderas de cesped</t>
  </si>
  <si>
    <t>AIREADORA "Verticut"</t>
  </si>
  <si>
    <t>TOLVA ABONADO apero</t>
  </si>
  <si>
    <t>Abonado césped</t>
  </si>
  <si>
    <t xml:space="preserve">RULO </t>
  </si>
  <si>
    <t>Mantenimiento cesped</t>
  </si>
  <si>
    <t>Laboreo del terreno. Plantaciones</t>
  </si>
  <si>
    <t xml:space="preserve">MINICULTIVADOR 49 cc </t>
  </si>
  <si>
    <t>Laboreo del terreno</t>
  </si>
  <si>
    <t xml:space="preserve">MOTOAZADA 163 cc </t>
  </si>
  <si>
    <t>Laboreo del terreno.</t>
  </si>
  <si>
    <t xml:space="preserve">MOTOCULTOR 198 cc </t>
  </si>
  <si>
    <t>Cava de zonas verdes</t>
  </si>
  <si>
    <t>AHOYADORA</t>
  </si>
  <si>
    <t xml:space="preserve">Poda </t>
  </si>
  <si>
    <t>PODADORA en Altura</t>
  </si>
  <si>
    <t>Poda</t>
  </si>
  <si>
    <t xml:space="preserve">CORTASETOS 60 cm corte </t>
  </si>
  <si>
    <t>Cortasetos 650 W</t>
  </si>
  <si>
    <t xml:space="preserve">MOTOSIERRA Ligera 1,8 CV </t>
  </si>
  <si>
    <t>Poda directa en árbol. Ligera</t>
  </si>
  <si>
    <t xml:space="preserve">MOTOSIERRA Pequeña 3,5 CV </t>
  </si>
  <si>
    <t>Poda y tala de arbolado</t>
  </si>
  <si>
    <t>MOTOSIERRA Mediana 4,1 CV</t>
  </si>
  <si>
    <t xml:space="preserve">MOTOSIERRA Grande 4,6 CV </t>
  </si>
  <si>
    <t xml:space="preserve">PODADORA en Altura 1,9 CV </t>
  </si>
  <si>
    <t xml:space="preserve">CORTASETOS Ligero 60 cm corte </t>
  </si>
  <si>
    <t>Cortasetos</t>
  </si>
  <si>
    <t xml:space="preserve">CORTASETOS 75 cm corte </t>
  </si>
  <si>
    <t>Cortasetos doble cuchilla</t>
  </si>
  <si>
    <t xml:space="preserve">CORTASETOS 100 cm corte </t>
  </si>
  <si>
    <t>Cortasetos cuch. 100 cm corte</t>
  </si>
  <si>
    <t xml:space="preserve">CORTASETOS altura 50 cm 1,3 CV </t>
  </si>
  <si>
    <t>Cortasetos en altura. 50 cm</t>
  </si>
  <si>
    <t xml:space="preserve">CORTASETOS altura 50 cm 1,4 CV </t>
  </si>
  <si>
    <t xml:space="preserve">BIOTRITURADORA 15 CV </t>
  </si>
  <si>
    <t>Astilladora</t>
  </si>
  <si>
    <t xml:space="preserve">BIOTRITURADORA 20 CV </t>
  </si>
  <si>
    <t xml:space="preserve">DESFIBRADORA 115 CV </t>
  </si>
  <si>
    <t>Trabajos de poda. Desfibrado</t>
  </si>
  <si>
    <t>DESTOCONADORA</t>
  </si>
  <si>
    <t>Eliminación de tocones</t>
  </si>
  <si>
    <t>Limpieza</t>
  </si>
  <si>
    <t>SOPLADORA Mochila</t>
  </si>
  <si>
    <t>Varios. Limpieza</t>
  </si>
  <si>
    <t xml:space="preserve">HIDROLIMPIADORA Agua Cal.4,5Kw </t>
  </si>
  <si>
    <t>HIDROLIMPIADORA Agua Fría 7,8Kw</t>
  </si>
  <si>
    <t>TRATAMIENTO ARENA</t>
  </si>
  <si>
    <t>Limpieza y desinfección arena</t>
  </si>
  <si>
    <t xml:space="preserve">SOPLADORA Mochila 64,8 cc </t>
  </si>
  <si>
    <t>CARRITO de Limpieza</t>
  </si>
  <si>
    <t>Tratamientos Fitosanitarios</t>
  </si>
  <si>
    <t>MOCHILA Pulverizadora</t>
  </si>
  <si>
    <t>Trat. fitosanitarios y varios</t>
  </si>
  <si>
    <t>MOTOPULVERIZADOR 13 litros</t>
  </si>
  <si>
    <t>CARRETILLA de Tratamientos</t>
  </si>
  <si>
    <t>CUBA 1000l</t>
  </si>
  <si>
    <t>CAÑON PULVERIZADOR</t>
  </si>
  <si>
    <t>Riego</t>
  </si>
  <si>
    <t xml:space="preserve">DEPÓSITO 1000 l </t>
  </si>
  <si>
    <t xml:space="preserve">MOTOBOMBA 5,5 CV </t>
  </si>
  <si>
    <t>CISTERNA 8000 l remolque</t>
  </si>
  <si>
    <t>Trabajos Forestales</t>
  </si>
  <si>
    <t>TRACTOR 48 CV</t>
  </si>
  <si>
    <t>Desbroce, laboreo</t>
  </si>
  <si>
    <t>TRACTOR 83 CV</t>
  </si>
  <si>
    <t>CULTIVADOR (apero)</t>
  </si>
  <si>
    <t>GRADA de Discos (apero)</t>
  </si>
  <si>
    <t>BRAZO DESBROZADOR para Tractor (apero)</t>
  </si>
  <si>
    <t>Desbroce cunetas/taludes</t>
  </si>
  <si>
    <t>AIREADORA (apero)</t>
  </si>
  <si>
    <t>Aireador pradera</t>
  </si>
  <si>
    <t>SEMBRADORA Arrastrada (apero)</t>
  </si>
  <si>
    <t>Semillado de césped</t>
  </si>
  <si>
    <t>SEGADORA Arrastrada (apero)</t>
  </si>
  <si>
    <t>Siega de pasto fino</t>
  </si>
  <si>
    <t>RECEBADORA de Mantillo (apero)</t>
  </si>
  <si>
    <t>DESBROZADORA Articulada (apero)</t>
  </si>
  <si>
    <t>Desbrozadora</t>
  </si>
  <si>
    <t>DESBROZADORA de Martillos (apero)</t>
  </si>
  <si>
    <t>BIOTRITURADORA Grande (apero)</t>
  </si>
  <si>
    <t>Poda de árboles y arbustos</t>
  </si>
  <si>
    <t>BIOTRITURADORA Mediana (apero)</t>
  </si>
  <si>
    <t>Obra Civil. Conservación equipamiento urbano</t>
  </si>
  <si>
    <t xml:space="preserve">RETRO-EXCAVADORA 95 CV </t>
  </si>
  <si>
    <t>Maquinaria obra civil. Varios</t>
  </si>
  <si>
    <t xml:space="preserve">MINI-CARGADORA 60 CV </t>
  </si>
  <si>
    <t xml:space="preserve">DUMPER Autocargable </t>
  </si>
  <si>
    <t>HORMIGONERA</t>
  </si>
  <si>
    <t>Producción de hormigón</t>
  </si>
  <si>
    <t>MARTILLO PICADOR</t>
  </si>
  <si>
    <t>Obra Civil</t>
  </si>
  <si>
    <t xml:space="preserve">ZANJADORA </t>
  </si>
  <si>
    <t>Zanjadora para riego</t>
  </si>
  <si>
    <t>RODILLO Autopropulsado 25 CV</t>
  </si>
  <si>
    <t xml:space="preserve">TALADRO </t>
  </si>
  <si>
    <t xml:space="preserve">CORTADORA Radial </t>
  </si>
  <si>
    <t>Cortadora de metales</t>
  </si>
  <si>
    <t xml:space="preserve">GENERADOR Polivalente 11 CV </t>
  </si>
  <si>
    <t>Obra civil</t>
  </si>
  <si>
    <t xml:space="preserve">MOTOSOLDADOR 15 CV </t>
  </si>
  <si>
    <t>Varios. Soldadura</t>
  </si>
  <si>
    <t xml:space="preserve">COMPRESOR MÓVIL 35 CV </t>
  </si>
  <si>
    <t>Obra civil, varios</t>
  </si>
  <si>
    <t xml:space="preserve">GRUPO Generador Soldadura 11 CV </t>
  </si>
  <si>
    <t xml:space="preserve">GRUPO Electrógeno 6,5 CV </t>
  </si>
  <si>
    <t>Generador</t>
  </si>
  <si>
    <t xml:space="preserve">BOMBA de MEMBRANA (Pintura) 2,5 CV </t>
  </si>
  <si>
    <t>Pintura a presión</t>
  </si>
  <si>
    <t xml:space="preserve">COMPRESOR de Pistón 2 CV 24 l </t>
  </si>
  <si>
    <t xml:space="preserve">BANDEJA COMPACTADORA </t>
  </si>
  <si>
    <t>REMOLQUE Portamáquinas</t>
  </si>
  <si>
    <t>Varios. Transporte maquinaria</t>
  </si>
  <si>
    <t>REMOLQUE 2 ejes Basculante</t>
  </si>
  <si>
    <t>RESUMEN COSTES VESTUARIO, EQUIPAMIENTOS, ÚTILES Y HERRAMIENTAS</t>
  </si>
  <si>
    <t>COSTES</t>
  </si>
  <si>
    <t xml:space="preserve">C.1 </t>
  </si>
  <si>
    <t>VESTUARIO Y EQUIPAMIENTOS</t>
  </si>
  <si>
    <t>Vestuario</t>
  </si>
  <si>
    <t>Equipos de protección individual y colectiva</t>
  </si>
  <si>
    <t>C.2</t>
  </si>
  <si>
    <t>ÚTILES Y HERRAMIENTAS</t>
  </si>
  <si>
    <t>TOTAL COSTES DE VESTUARIO, EQUIPAMIENTOS, ÚTILES Y HERRAMIENTAS</t>
  </si>
  <si>
    <t>COSTES DE VESTUARIO DEL PERSONAL</t>
  </si>
  <si>
    <t>Nº UDS</t>
  </si>
  <si>
    <t>COSTE UD</t>
  </si>
  <si>
    <t>VIDA ÚTIL AÑOS</t>
  </si>
  <si>
    <t>AMORTIZACIÓN /UD</t>
  </si>
  <si>
    <t>GASTOS FINACIEROS / UD</t>
  </si>
  <si>
    <t>TOTAL COSTES AÑO(€)</t>
  </si>
  <si>
    <t>TEMPORADA DE VERANO</t>
  </si>
  <si>
    <t>Camisa de manga corta</t>
  </si>
  <si>
    <t>Pantalón</t>
  </si>
  <si>
    <t>Nº ADMINISTRATIVOS</t>
  </si>
  <si>
    <t>Calzado apropiado</t>
  </si>
  <si>
    <t>Nº TÉCNICOS</t>
  </si>
  <si>
    <t>Chaquetilla</t>
  </si>
  <si>
    <t>TEMPORADA DE INVIERNO</t>
  </si>
  <si>
    <t>Camisa de manga larga</t>
  </si>
  <si>
    <t>Pantalón de invierno</t>
  </si>
  <si>
    <t>Forro polar</t>
  </si>
  <si>
    <t>Prenda de abrigo</t>
  </si>
  <si>
    <t xml:space="preserve">COSTES DE EQUIPOS DE PROTECCIÓN INDIVIDUAL Y COLECTIVA </t>
  </si>
  <si>
    <t>Nº de UDS por cada 10 operarios</t>
  </si>
  <si>
    <t>PODAS Y DESBROCES</t>
  </si>
  <si>
    <t>CASCO PROTECTOR REJILLA</t>
  </si>
  <si>
    <t>PROTECTOR FACIAL</t>
  </si>
  <si>
    <t>PANTALÓN ANTICORTE</t>
  </si>
  <si>
    <t>CHAQUETA ANTICORTE</t>
  </si>
  <si>
    <t>GUANTE ANTICORTE</t>
  </si>
  <si>
    <t>GAFA AMPLIVISION</t>
  </si>
  <si>
    <t>BOTAS SEG. ANTICORTE</t>
  </si>
  <si>
    <t>ARNÉS ANTICAIDA+COMPLEM.</t>
  </si>
  <si>
    <t>CINTURÓN SEGURIDAD+COMPLEM.</t>
  </si>
  <si>
    <t>PROTECTOR AUDITIVO</t>
  </si>
  <si>
    <t>TRATAMIENTOS</t>
  </si>
  <si>
    <t>MASCARILLA-FILTRO</t>
  </si>
  <si>
    <t>MONO/GUANTES DESECHABLES</t>
  </si>
  <si>
    <t>GUANTES NEOPRENO/PVC</t>
  </si>
  <si>
    <t>GENERALES</t>
  </si>
  <si>
    <t>RODILLERAS</t>
  </si>
  <si>
    <t>CHALECO ALTA VISIBILIDAD</t>
  </si>
  <si>
    <t>PIBOTE SEÑALIZACIÓN</t>
  </si>
  <si>
    <t>VALLA SEÑALIZACIÓN</t>
  </si>
  <si>
    <t>ALMACEN Y VESTUARIOS</t>
  </si>
  <si>
    <t>DEPÓSITO LUBRICANTES</t>
  </si>
  <si>
    <t>DEPÓSITO BATERIAS</t>
  </si>
  <si>
    <t>DEPÓSITO RES. PELIGROSOS</t>
  </si>
  <si>
    <t>MESA MELANIMA</t>
  </si>
  <si>
    <t>BANCO DE MADERA</t>
  </si>
  <si>
    <t>BOTIQUÍN</t>
  </si>
  <si>
    <t>RECAMBIO BOTIQUÍN</t>
  </si>
  <si>
    <t>EXTINTOR</t>
  </si>
  <si>
    <t xml:space="preserve"> - </t>
  </si>
  <si>
    <t>FORMACIÓN SEG Y SALUD</t>
  </si>
  <si>
    <t>RECONOCIMIENTO</t>
  </si>
  <si>
    <t>COSTES DE ÚTILES Y HERRAMIENTAS</t>
  </si>
  <si>
    <t>JARDINERÍA</t>
  </si>
  <si>
    <t>AZADÓN</t>
  </si>
  <si>
    <t>AZADA</t>
  </si>
  <si>
    <t>PALA CUADRADA</t>
  </si>
  <si>
    <t>PALA REDONDA</t>
  </si>
  <si>
    <t>PALA JARDINERA</t>
  </si>
  <si>
    <t>ESCOBA  METALICA</t>
  </si>
  <si>
    <t>RASTRILLO METALICO</t>
  </si>
  <si>
    <t>PICO</t>
  </si>
  <si>
    <t>HACHA PICO</t>
  </si>
  <si>
    <t>AZADAPICO</t>
  </si>
  <si>
    <t>HORCA</t>
  </si>
  <si>
    <t>AZADAHORQUILLO</t>
  </si>
  <si>
    <t>MINIAZADAHORQUILLA</t>
  </si>
  <si>
    <t>MANGO de REPUESTO</t>
  </si>
  <si>
    <t>PLANTADOR BULBOS</t>
  </si>
  <si>
    <t>TRASPLANTADOR</t>
  </si>
  <si>
    <t>ESCARDILLO</t>
  </si>
  <si>
    <t>HOZ</t>
  </si>
  <si>
    <t>GUADAÑA</t>
  </si>
  <si>
    <t>YUNQUE GUADAÑA</t>
  </si>
  <si>
    <t>SEMILLADORA LIGERA</t>
  </si>
  <si>
    <t>LIMPIEZA</t>
  </si>
  <si>
    <t>CEPILLO METÁLICO</t>
  </si>
  <si>
    <t>CEPILLO BARRENDERO</t>
  </si>
  <si>
    <t xml:space="preserve">PINZAS RECOGEDOR </t>
  </si>
  <si>
    <t>RECOGEDORES SIN TAPA</t>
  </si>
  <si>
    <t>PODA</t>
  </si>
  <si>
    <t>TIJERA HOJA LARGA 2 MANOS</t>
  </si>
  <si>
    <t>TIJERAS HOJA CORTA 2 MANOS</t>
  </si>
  <si>
    <t>TIJERAS DE PODAR 1 MANO</t>
  </si>
  <si>
    <t>SIERRA MANO</t>
  </si>
  <si>
    <t>SIERRA PÉRTIGA</t>
  </si>
  <si>
    <t>LIMA REDONDA MOTOSIERRA</t>
  </si>
  <si>
    <t>HACHA</t>
  </si>
  <si>
    <t>CUÑA DE RAJAR</t>
  </si>
  <si>
    <t>TAJAMATA</t>
  </si>
  <si>
    <t>TAJAMATA-GANCHO</t>
  </si>
  <si>
    <t>UTILLAJE COMÚN</t>
  </si>
  <si>
    <t>ESCALERA DOS TRAMOS</t>
  </si>
  <si>
    <t>ESCALERA TIJERA</t>
  </si>
  <si>
    <t>CARRETILLA METALICA</t>
  </si>
  <si>
    <t>CONTENEDOR 1.100 L</t>
  </si>
  <si>
    <t>CONTENEDOR 600 L</t>
  </si>
  <si>
    <t>GUANTES</t>
  </si>
  <si>
    <t>MANGUERA AGUA 25</t>
  </si>
  <si>
    <t>BOLSAS DE BASURA</t>
  </si>
  <si>
    <t>OTROS</t>
  </si>
  <si>
    <t>PLOMADA</t>
  </si>
  <si>
    <t>RAEDERA</t>
  </si>
  <si>
    <t>ALCOTANA</t>
  </si>
  <si>
    <t>ARCO SIERRA</t>
  </si>
  <si>
    <t>PALETA PUNTA ALBAÑIL</t>
  </si>
  <si>
    <t>PALETA CORTA ALBAÑIL</t>
  </si>
  <si>
    <t>PALETA ALBAÑIL</t>
  </si>
  <si>
    <t>PALETA</t>
  </si>
  <si>
    <t>PALETA CUADRADA ALBAÑIL</t>
  </si>
  <si>
    <t>ANDAMIO PROFESIONAL</t>
  </si>
  <si>
    <t>CAJA DE HERRAMIENTAS</t>
  </si>
  <si>
    <t>CAJA HERRAMIENTAS METALICA</t>
  </si>
  <si>
    <t>TALADRADOR-ATORNILLADOR</t>
  </si>
  <si>
    <t>DESTORNILLADOR</t>
  </si>
  <si>
    <t>DESTORNILLADOR ESTRELLA</t>
  </si>
  <si>
    <t>DESTORNILLADOR REVERSIBLE</t>
  </si>
  <si>
    <t>ALICATE</t>
  </si>
  <si>
    <t>ALICATES PUNTA</t>
  </si>
  <si>
    <t>LLAVE INGLESA 15 "</t>
  </si>
  <si>
    <t>TENAZA</t>
  </si>
  <si>
    <t>MARTILLO</t>
  </si>
  <si>
    <t>MARTILLO GOMA</t>
  </si>
  <si>
    <t>MAZA</t>
  </si>
  <si>
    <t>GRIFA</t>
  </si>
  <si>
    <t>LLANA</t>
  </si>
  <si>
    <t>LIMA REDONDA</t>
  </si>
  <si>
    <t>LIMA TRIANGULAR 8 "</t>
  </si>
  <si>
    <t>JUEGOS LLAVES FIJAS VASO</t>
  </si>
  <si>
    <t>JUEGO LLAVES MIXTAS FIJAS</t>
  </si>
  <si>
    <t>LLAVES FIJAS COMBINADAS</t>
  </si>
  <si>
    <t>JUEGO LLAVES FIJAS ACODADAS</t>
  </si>
  <si>
    <t>JUEGOS LLAVES ALLEN</t>
  </si>
  <si>
    <t>NIVEL BURBUJA</t>
  </si>
  <si>
    <t>ESPATULA MANGO PLASTICO</t>
  </si>
  <si>
    <t>ESCUADRA 0,60 cm</t>
  </si>
  <si>
    <t>CINTA METRICA</t>
  </si>
  <si>
    <t>BANCO TORNILLO</t>
  </si>
  <si>
    <t>FLEXOMETRO 5 mts</t>
  </si>
  <si>
    <t>TIRALINEAS</t>
  </si>
  <si>
    <t>RESUMEN COSTES DE LOCALES E INSTALACIONES</t>
  </si>
  <si>
    <t xml:space="preserve">D.1 </t>
  </si>
  <si>
    <t>COSTES FIJOS DE LOCALES E INSTALACIONES</t>
  </si>
  <si>
    <t>D.2</t>
  </si>
  <si>
    <t>COSTES VARIABLES DE LOCALES E INSTALACIONES</t>
  </si>
  <si>
    <t>TOTAL COSTES DE LOCALES E INSTALACIONES</t>
  </si>
  <si>
    <t>D.1 COSTES FIJOS DE LOCALES E INSTALACIONES</t>
  </si>
  <si>
    <t>SUPERFICIE (m2)</t>
  </si>
  <si>
    <t>PRECIO (€/m2)</t>
  </si>
  <si>
    <t>COSTE MENSUAL</t>
  </si>
  <si>
    <t>Nº MS/AÑO</t>
  </si>
  <si>
    <t>Alquiler nave principal</t>
  </si>
  <si>
    <t>Alquiler oficina técnica</t>
  </si>
  <si>
    <t>Alquiler nave adicional</t>
  </si>
  <si>
    <t>D.2 COSTES VARIABLES DE LOCALES E INSTALACIONES</t>
  </si>
  <si>
    <t>Obras acondicionamiento nave principal</t>
  </si>
  <si>
    <t>Obra acondicionamiento oficina técnica</t>
  </si>
  <si>
    <t>Obra acondicionamiento nave adicional</t>
  </si>
  <si>
    <t>Costes manutención y explotación</t>
  </si>
  <si>
    <t>Tasas, impuestos</t>
  </si>
  <si>
    <t>RESUMEN COSTES DE MATERIALES DE CONSERVACIÓN</t>
  </si>
  <si>
    <t>E.1</t>
  </si>
  <si>
    <t>COSTE MATERIALES Y MATERIAS PRIMAS</t>
  </si>
  <si>
    <t>E.2</t>
  </si>
  <si>
    <t>COSTES TRATAMIENTOS FITOSANITARIOS</t>
  </si>
  <si>
    <t>TOTAL COSTES DE MATERIALES</t>
  </si>
  <si>
    <t>COSTES DE MATERIALES Y MATERIAS PRIMAS</t>
  </si>
  <si>
    <t>MATERIAL</t>
  </si>
  <si>
    <t>TIPO</t>
  </si>
  <si>
    <t xml:space="preserve">MEDICIÓN INVENTARIO </t>
  </si>
  <si>
    <t>DOSIS O UNIDADES DE MATERIAL</t>
  </si>
  <si>
    <t>UNIDADES</t>
  </si>
  <si>
    <t>FRECUENCIA  ANUAL</t>
  </si>
  <si>
    <t>TOTAL PRODUCTO</t>
  </si>
  <si>
    <t>COSTE UNITARIO</t>
  </si>
  <si>
    <t>TOTAL COSTE AÑO</t>
  </si>
  <si>
    <t>OBSERVACIONES</t>
  </si>
  <si>
    <t>ARENAS, ÁRIDOS, TIERRAS Y ABONOS</t>
  </si>
  <si>
    <t>(HA)</t>
  </si>
  <si>
    <t>ABONO QUIMICO 15-15-15</t>
  </si>
  <si>
    <t>GRANULADO</t>
  </si>
  <si>
    <t>kg/ha</t>
  </si>
  <si>
    <t>TODA LA SUPERFICIE CÉSPED</t>
  </si>
  <si>
    <t>ABONO ORGÁNICO FERMENTADO</t>
  </si>
  <si>
    <t>PELLET</t>
  </si>
  <si>
    <t>Kg/ha</t>
  </si>
  <si>
    <t>TODA LA SUPERFICIE CÉSPED+MACIZOS+ALCORQUES</t>
  </si>
  <si>
    <t>ESTIERCOL FERMENTADO GRANEL</t>
  </si>
  <si>
    <t>MANTILLO</t>
  </si>
  <si>
    <t>m3/ha</t>
  </si>
  <si>
    <t>RECEBO SÓLO DE  INVIERNO 25%TOTAL SUPERFICIE</t>
  </si>
  <si>
    <t>ARENA DE RIO</t>
  </si>
  <si>
    <t>GRANEL</t>
  </si>
  <si>
    <t>SUSTITUCIÓN ARENEROS ÁREAS INFANTILES</t>
  </si>
  <si>
    <t>ÁRIDOS</t>
  </si>
  <si>
    <t>TERRIZOS, PARTERRES</t>
  </si>
  <si>
    <t>PLANTAS</t>
  </si>
  <si>
    <t>SEMILLA DE CÉSPED MEZCLA 50-30-20</t>
  </si>
  <si>
    <t>VARIOS</t>
  </si>
  <si>
    <t xml:space="preserve">RESIEMBRA del 25% anual. </t>
  </si>
  <si>
    <t>REPOSICIÓN FLOR DE TEMPORADA</t>
  </si>
  <si>
    <t>ud/m2</t>
  </si>
  <si>
    <t>TODOS LOS CAMBIOS ANUALES (14ud/m2)</t>
  </si>
  <si>
    <t>RIEGOS</t>
  </si>
  <si>
    <t>MATERIAL DE REPOSICIÓN (valvulería, tubería, aparataje...)</t>
  </si>
  <si>
    <t>pa/ha</t>
  </si>
  <si>
    <t>REPARACIONES</t>
  </si>
  <si>
    <t>MANTENIMIENTO BANCOS (PINTADO/BARNIZADO)</t>
  </si>
  <si>
    <t>Act/año</t>
  </si>
  <si>
    <t>PRODUCTOS ANTIGRAFFITI, REPINTADO, REPARACIONES</t>
  </si>
  <si>
    <t>MANTENIMIENTO PAPELERAS (PINTADO/BARNIZADO)</t>
  </si>
  <si>
    <t>CERTIFICACIÓN ÁREA JUEGOS INFANTILES</t>
  </si>
  <si>
    <t>PRODUCTOS ANTIGRAFFITI, MNTO PREVENTIVO/CORRECTIVO/CERTIFICACIÓN</t>
  </si>
  <si>
    <t xml:space="preserve">DESINFECCIÓN/RECEBO ÁREA JUEGOS INFANTILES </t>
  </si>
  <si>
    <t>ELIMINACIÓN GRAFFITI, REPINTADO, REPARACIONES</t>
  </si>
  <si>
    <t>RECEBO CAMINOS</t>
  </si>
  <si>
    <t>MANTENIMIENTO FUENTES</t>
  </si>
  <si>
    <t>DESINFECCIÓN/CONTROL LEGIONELLA</t>
  </si>
  <si>
    <t>MEDIOS AUXILIARES: GESTIÓN INTEGRAL DE PLAGAS</t>
  </si>
  <si>
    <t xml:space="preserve">MEDICIÓN </t>
  </si>
  <si>
    <t>HERBICIDAS</t>
  </si>
  <si>
    <t>M2</t>
  </si>
  <si>
    <t>ÁCIDO ACÉTICO</t>
  </si>
  <si>
    <t>l</t>
  </si>
  <si>
    <t xml:space="preserve">INSECTICIDAS </t>
  </si>
  <si>
    <t>EJEMPLAR</t>
  </si>
  <si>
    <t>ENDOTERAPIA (4DOSIS/EJEMPLAR)</t>
  </si>
  <si>
    <t>JABÓN POTASICO</t>
  </si>
  <si>
    <t>FUNGICIDAS</t>
  </si>
  <si>
    <t>TRATAMIENTO BIOLÓGICO TRICHODERMA</t>
  </si>
  <si>
    <t>MEDIDAS CONTROL BIOLÓGICO</t>
  </si>
  <si>
    <t>TRAMPA FEROMONAS POLILLAS</t>
  </si>
  <si>
    <t>ud</t>
  </si>
  <si>
    <t>TRAMPA FEROMONAS COLEOPTEROS</t>
  </si>
  <si>
    <t>MEDIDAS CULTURALES</t>
  </si>
  <si>
    <t>POTENCIADOR BIOLÓGICO FOLIAR</t>
  </si>
  <si>
    <t>POTENCIADOR BIOLÓGICO RADICULAR</t>
  </si>
  <si>
    <t>ENMIENDAS MINERALES</t>
  </si>
  <si>
    <t>Kg</t>
  </si>
  <si>
    <t xml:space="preserve">RESUMEN OTROS COSTES </t>
  </si>
  <si>
    <t>F.1</t>
  </si>
  <si>
    <t>COSTES DE EQUIPOS TECNÓLOGICOS Y LICENCIAS SOFTWARE</t>
  </si>
  <si>
    <t>F.2</t>
  </si>
  <si>
    <t>INVENTARIO (Media anual)</t>
  </si>
  <si>
    <t>F.3</t>
  </si>
  <si>
    <t>SERVICIOS PROFESIONALES</t>
  </si>
  <si>
    <t>F.4</t>
  </si>
  <si>
    <t>OTROS COSTES</t>
  </si>
  <si>
    <t>COSTES DE EQUIPOS TÉCNOLOGICOS Y LICENCIAS INFORMÁTICAS</t>
  </si>
  <si>
    <t>DISPOSITIVO  GPS</t>
  </si>
  <si>
    <t>Renting equipos GPS instalados bajo salpicadero+ Software (1ud/vehículo)</t>
  </si>
  <si>
    <t>TELEFONÍA MÓVIL</t>
  </si>
  <si>
    <t>DISPOSITIVO SMARTPHONE</t>
  </si>
  <si>
    <t>DISPOSITIVO TABLET</t>
  </si>
  <si>
    <t>TARJETA DATOS</t>
  </si>
  <si>
    <t>ORDENADORES Y PERIFÉRICOS</t>
  </si>
  <si>
    <t>Nº VEHÍCULOS</t>
  </si>
  <si>
    <t>DISPOSITIVO</t>
  </si>
  <si>
    <t>Nº OFICINAS TÉCNICAS</t>
  </si>
  <si>
    <t>ACCESO RED</t>
  </si>
  <si>
    <t>APLICACIONES INFORMÁTICAS</t>
  </si>
  <si>
    <t>PAQUETE MICROSOFT OFFICE</t>
  </si>
  <si>
    <t>SKETCHUP</t>
  </si>
  <si>
    <t>PRESTO</t>
  </si>
  <si>
    <t>AUTOCAD</t>
  </si>
  <si>
    <t>SOFTWARE GESTIÓN INFRAESTRUCTURA VERDE</t>
  </si>
  <si>
    <t>COSTES DE INVENTARIO</t>
  </si>
  <si>
    <t>UNIDAD</t>
  </si>
  <si>
    <t>ARBOLADO</t>
  </si>
  <si>
    <t>Inventario de posiciones arboladas - Revisión</t>
  </si>
  <si>
    <t>UD</t>
  </si>
  <si>
    <t>Inventario de posiciones arboladas - Alta</t>
  </si>
  <si>
    <t>ZONAS VERDES</t>
  </si>
  <si>
    <t>Inventario informatizado espacios verdes - Revisión</t>
  </si>
  <si>
    <t>ha</t>
  </si>
  <si>
    <t>Inventario informatizado espacios verdes - Alta</t>
  </si>
  <si>
    <t>ZONA FORESTAL</t>
  </si>
  <si>
    <t>Inventario informatizado zona forestal - Revisión</t>
  </si>
  <si>
    <t>Inventario informatizado zona forestal - Alta</t>
  </si>
  <si>
    <t>MOBILIARIO EN ZONA VERDE</t>
  </si>
  <si>
    <t>Inventario informatizado mobiliario zona verde - Revisión</t>
  </si>
  <si>
    <t>Inventario informatizado mobiliario zona verde - Alta</t>
  </si>
  <si>
    <t>MOBILIARIO EN SUELO URBANO</t>
  </si>
  <si>
    <t>Inventario informatizado mobiliario suelo urbano - Revisión</t>
  </si>
  <si>
    <t>Inventario informatizado mobiliario suelo urbano - Alta</t>
  </si>
  <si>
    <t>ÁREA DE JUEGO INFANTIL</t>
  </si>
  <si>
    <t>Inventario informatizado Juego Infantil - Revisión</t>
  </si>
  <si>
    <t>Inventario informatizado Juego Infantil - Alta</t>
  </si>
  <si>
    <t>COSTES DE SERVICIOS PROFESIONALES</t>
  </si>
  <si>
    <t>FOMENTO BIODIVERSIDAD</t>
  </si>
  <si>
    <t>REDACCIÓN PLAN</t>
  </si>
  <si>
    <t>* Trabajo de campo</t>
  </si>
  <si>
    <t xml:space="preserve">     Técnico Licenciado</t>
  </si>
  <si>
    <t>€/h</t>
  </si>
  <si>
    <t xml:space="preserve">     Técnico Diplomado</t>
  </si>
  <si>
    <t xml:space="preserve">     Técnico no titulado</t>
  </si>
  <si>
    <t xml:space="preserve">     Delineante</t>
  </si>
  <si>
    <t xml:space="preserve">     Operario</t>
  </si>
  <si>
    <t xml:space="preserve">     Consultor / Especialista</t>
  </si>
  <si>
    <t>* Trabajo de gabinete</t>
  </si>
  <si>
    <t>* Medios Auxiliares</t>
  </si>
  <si>
    <t xml:space="preserve">ACCIONES </t>
  </si>
  <si>
    <t>* Acción 1: Inventario Aves</t>
  </si>
  <si>
    <t>* Acción 2: Biodiversidad en alcorques</t>
  </si>
  <si>
    <t>* Acción 3: Control de fauna exótica</t>
  </si>
  <si>
    <t>* Acción 4: …</t>
  </si>
  <si>
    <t>PLAN DIRECTOR / PLAN ESTRATÉGICO</t>
  </si>
  <si>
    <t xml:space="preserve">    Consultor / Especialista</t>
  </si>
  <si>
    <t>* Acción 1: Estudio de Adecuación arbolada al cambio climático</t>
  </si>
  <si>
    <t>* Acción 2: Techos y muros verdes</t>
  </si>
  <si>
    <t>* Acción 3: …</t>
  </si>
  <si>
    <t>PLAN DE GESTIÓN DEL RIESGO</t>
  </si>
  <si>
    <t>* Acción 1: Plan de inspección de riesgo</t>
  </si>
  <si>
    <t>* Acción 2: Informes de riesgo + testificación instrumental</t>
  </si>
  <si>
    <t>PLAN DE COMUNICACIÓN Y PARTICIPACIÓN CIUDADANA</t>
  </si>
  <si>
    <t>* Acción 1: Activación cuenta Instagram / Facebook Infraestrucutura verde</t>
  </si>
  <si>
    <t>* Acción 2: Mesa del Árbol</t>
  </si>
  <si>
    <t>PLAN DE EDUCACIÓN AMBIENTAL</t>
  </si>
  <si>
    <t>* Acción 3: Talleres por estaciones</t>
  </si>
  <si>
    <t>OTROS SERVICIOS PROFESIONALES</t>
  </si>
  <si>
    <t xml:space="preserve">COSTE IMPLANTACIÓN CERTIFICADOS </t>
  </si>
  <si>
    <t>COSTE SEGURO RESPONSABILIDAD CIVIL</t>
  </si>
  <si>
    <t>Importe de póliza anual</t>
  </si>
  <si>
    <t>Canon vertidos</t>
  </si>
  <si>
    <t>Equipos apoyo Jardinería/Limpieza (Fiestas municipio, cabalgatas, etc.)</t>
  </si>
  <si>
    <t>TOTAL COSTES FIJOS /UD</t>
  </si>
  <si>
    <t>TOTAL COSTES FIJOS</t>
  </si>
  <si>
    <t>H=(E+F+G)*A</t>
  </si>
  <si>
    <t>COSTE UNITARIO JORNADA (€/jornada)</t>
  </si>
  <si>
    <t>COSTE UNITARIO ANUAL (€/año)</t>
  </si>
  <si>
    <t>TOTAL COSTES MNTO. (€/año)</t>
  </si>
  <si>
    <t>Nº DÍAS DE USO</t>
  </si>
  <si>
    <t>RESUMEN COSTES DE PERSONAL / AÑO</t>
  </si>
  <si>
    <t>TABLAS SALARIALES AÑO 2029</t>
  </si>
  <si>
    <t>TABLAS SALARIALES AÑO 2030</t>
  </si>
  <si>
    <t>TABLAS SALARIALES AÑO 2031</t>
  </si>
  <si>
    <t>TABLAS SALARIALES AÑO 2032</t>
  </si>
  <si>
    <t>PLUSES TRABAJOS TÓXICOS, PENOSOS Y PELIGROSOS 2026</t>
  </si>
  <si>
    <t xml:space="preserve">Por matrimonio </t>
  </si>
  <si>
    <t>Por nacimiento</t>
  </si>
  <si>
    <t>PLUS VEST.</t>
  </si>
  <si>
    <t>P.VERANO</t>
  </si>
  <si>
    <t>P. NAVIDAD</t>
  </si>
  <si>
    <t>P.VINCULACIÓN</t>
  </si>
  <si>
    <t>TOTAL ANUAL</t>
  </si>
  <si>
    <t>Aprendiz jardinero/a</t>
  </si>
  <si>
    <t>MEDIOS PERSONALES - INFORMACIÓN COSTES SOBRE EL PERSONAL A SUBROGAR 2026</t>
  </si>
  <si>
    <t>AÑO 2026</t>
  </si>
  <si>
    <t>AÑO 2027</t>
  </si>
  <si>
    <t>AÑO 2028</t>
  </si>
  <si>
    <t>AÑO 2029</t>
  </si>
  <si>
    <t>AÑO 2030</t>
  </si>
  <si>
    <t>AÑO 2031</t>
  </si>
  <si>
    <t>AÑO 2032</t>
  </si>
  <si>
    <t>AÑO FIN SERVICIO</t>
  </si>
  <si>
    <t xml:space="preserve">AÑO ANTIGÜEDAD </t>
  </si>
  <si>
    <t xml:space="preserve">TRAMO ANTIGÜEDAD </t>
  </si>
  <si>
    <t>COSTE ANTIGÜEDAD</t>
  </si>
  <si>
    <t>ANTIGÜEDAD AÑO 2026</t>
  </si>
  <si>
    <t>COSTE ANTIGÜEDAD MES AÑO 2026</t>
  </si>
  <si>
    <t>PLUS DE NOCTURNIDAD 2026</t>
  </si>
  <si>
    <t>DESPLAZAMIENTOS Y DIETAS 2026</t>
  </si>
  <si>
    <t>SUMA CONCEPTOS EXTRA AÑO 2026</t>
  </si>
  <si>
    <t>SALARIO BASE AÑO 2026</t>
  </si>
  <si>
    <t>TOTAL SALARIO ANUAL FINAL 2026</t>
  </si>
  <si>
    <t>% COTIZACIÓN SEGURIDAD SOCIAL 32%-38% (2026)</t>
  </si>
  <si>
    <t>IMPORTE SEGURIDAD SOCIAL (2026)</t>
  </si>
  <si>
    <t>PRECIO COSTE EMPRESA AÑO 2026</t>
  </si>
  <si>
    <t>TOTAL COSTE EMPRESA POR CATEGORÍA 2026</t>
  </si>
  <si>
    <t>ANTIGÜEDAD AÑO 2027</t>
  </si>
  <si>
    <t>COSTE ANTIGÜEDAD MES AÑO 2027</t>
  </si>
  <si>
    <t>PLUS DE NOCTURNIDAD 2027</t>
  </si>
  <si>
    <t>DESPLAZAMIENTOS Y DIETAS 2027</t>
  </si>
  <si>
    <t>SUMA CONCEPTOS EXTRA AÑO 2027</t>
  </si>
  <si>
    <t>SALARIO BASE AÑO 2027</t>
  </si>
  <si>
    <t>TOTAL SALARIO ANUAL FINAL 2027</t>
  </si>
  <si>
    <t>% COTIZACIÓN SEGURIDAD SOCIAL 32%-38% (2027)</t>
  </si>
  <si>
    <t>IMPORTE SEGURIDAD SOCIAL (2027)</t>
  </si>
  <si>
    <t>PRECIO COSTE EMPRESA AÑO 2027</t>
  </si>
  <si>
    <t>TOTAL COSTE EMPRESA POR CATEGORÍA 2027</t>
  </si>
  <si>
    <t>MEDIOS PERSONALES - INFORMACIÓN COSTES SOBRE EL PERSONAL A SUBROGAR 2027</t>
  </si>
  <si>
    <t>MEDIOS PERSONALES - INFORMACIÓN COSTES SOBRE EL PERSONAL A SUBROGAR 2028</t>
  </si>
  <si>
    <t>ANTIGÜEDAD AÑO 2028</t>
  </si>
  <si>
    <t>COSTE ANTIGÜEDAD MES AÑO 2028</t>
  </si>
  <si>
    <t>PLUS DE NOCTURNIDAD 2028</t>
  </si>
  <si>
    <t>DESPLAZAMIENTOS Y DIETAS 2028</t>
  </si>
  <si>
    <t>SUMA CONCEPTOS EXTRA AÑO 2028</t>
  </si>
  <si>
    <t>SALARIO BASE AÑO 2028</t>
  </si>
  <si>
    <t>TOTAL SALARIO ANUAL FINAL 2028</t>
  </si>
  <si>
    <t>% COTIZACIÓN SEGURIDAD SOCIAL 32%-38% (2028)</t>
  </si>
  <si>
    <t>IMPORTE SEGURIDAD SOCIAL (2028)</t>
  </si>
  <si>
    <t>PRECIO COSTE EMPRESA AÑO 2028</t>
  </si>
  <si>
    <t>TOTAL COSTE EMPRESA POR CATEGORÍA 2028</t>
  </si>
  <si>
    <t>MEDIOS PERSONALES - INFORMACIÓN COSTES SOBRE EL PERSONAL A SUBROGAR 2029</t>
  </si>
  <si>
    <t>ANTIGÜEDAD AÑO 2029</t>
  </si>
  <si>
    <t>COSTE ANTIGÜEDAD MES AÑO 2029</t>
  </si>
  <si>
    <t>PLUS DE NOCTURNIDAD 2029</t>
  </si>
  <si>
    <t>DESPLAZAMIENTOS Y DIETAS 2029</t>
  </si>
  <si>
    <t>SUMA CONCEPTOS EXTRA AÑO 2029</t>
  </si>
  <si>
    <t>SALARIO BASE AÑO 2029</t>
  </si>
  <si>
    <t>TOTAL SALARIO ANUAL FINAL 2029</t>
  </si>
  <si>
    <t>% COTIZACIÓN SEGURIDAD SOCIAL 32%-38% (2029)</t>
  </si>
  <si>
    <t>IMPORTE SEGURIDAD SOCIAL (2029)</t>
  </si>
  <si>
    <t>PRECIO COSTE EMPRESA AÑO 2029</t>
  </si>
  <si>
    <t>TOTAL COSTE EMPRESA POR CATEGORÍA 2029</t>
  </si>
  <si>
    <t>ANTIGÜEDAD AÑO 2030</t>
  </si>
  <si>
    <t>COSTE ANTIGÜEDAD MES AÑO 2030</t>
  </si>
  <si>
    <t>PLUS DE NOCTURNIDAD 2030</t>
  </si>
  <si>
    <t>DESPLAZAMIENTOS Y DIETAS 2030</t>
  </si>
  <si>
    <t>SUMA CONCEPTOS EXTRA AÑO 2030</t>
  </si>
  <si>
    <t>SALARIO BASE AÑO 2030</t>
  </si>
  <si>
    <t>TOTAL SALARIO ANUAL FINAL 2030</t>
  </si>
  <si>
    <t>% COTIZACIÓN SEGURIDAD SOCIAL 32%-38% (2030)</t>
  </si>
  <si>
    <t>IMPORTE SEGURIDAD SOCIAL (2030)</t>
  </si>
  <si>
    <t>PRECIO COSTE EMPRESA AÑO 2030</t>
  </si>
  <si>
    <t>TOTAL COSTE EMPRESA POR CATEGORÍA 2030</t>
  </si>
  <si>
    <t>MEDIOS PERSONALES - INFORMACIÓN COSTES SOBRE EL PERSONAL A SUBROGAR 2030</t>
  </si>
  <si>
    <t>MEDIOS PERSONALES - INFORMACIÓN COSTES SOBRE EL PERSONAL A SUBROGAR 2031</t>
  </si>
  <si>
    <t>ANTIGÜEDAD AÑO 2031</t>
  </si>
  <si>
    <t>COSTE ANTIGÜEDAD MES AÑO 2031</t>
  </si>
  <si>
    <t>PLUS DE NOCTURNIDAD 2031</t>
  </si>
  <si>
    <t>DESPLAZAMIENTOS Y DIETAS 2031</t>
  </si>
  <si>
    <t>SUMA CONCEPTOS EXTRA AÑO 2031</t>
  </si>
  <si>
    <t>SALARIO BASE AÑO 2031</t>
  </si>
  <si>
    <t>TOTAL SALARIO ANUAL FINAL 2031</t>
  </si>
  <si>
    <t>% COTIZACIÓN SEGURIDAD SOCIAL 32%-38% (2031)</t>
  </si>
  <si>
    <t>IMPORTE SEGURIDAD SOCIAL (2031)</t>
  </si>
  <si>
    <t>PRECIO COSTE EMPRESA AÑO 2031</t>
  </si>
  <si>
    <t>TOTAL COSTE EMPRESA POR CATEGORÍA 2031</t>
  </si>
  <si>
    <t>MEDIOS PERSONALES - INFORMACIÓN COSTES SOBRE EL PERSONAL A SUBROGAR 2032</t>
  </si>
  <si>
    <t>ANTIGÜEDAD AÑO 2032</t>
  </si>
  <si>
    <t>COSTE ANTIGÜEDAD MES AÑO 2032</t>
  </si>
  <si>
    <t>PLUS DE NOCTURNIDAD 2032</t>
  </si>
  <si>
    <t>DESPLAZAMIENTOS Y DIETAS 2032</t>
  </si>
  <si>
    <t>SUMA CONCEPTOS EXTRA AÑO 2032</t>
  </si>
  <si>
    <t>SALARIO BASE AÑO 2032</t>
  </si>
  <si>
    <t>TOTAL SALARIO ANUAL FINAL 2032</t>
  </si>
  <si>
    <t>% COTIZACIÓN SEGURIDAD SOCIAL 32%-38% (2032)</t>
  </si>
  <si>
    <t>IMPORTE SEGURIDAD SOCIAL (2032)</t>
  </si>
  <si>
    <t>PRECIO COSTE EMPRESA AÑO 2032</t>
  </si>
  <si>
    <t>TOTAL COSTE EMPRESA POR CATEGORÍA 2032</t>
  </si>
  <si>
    <t>HORARIO</t>
  </si>
  <si>
    <t>PACTOS EN VIGOR APLICABLES</t>
  </si>
  <si>
    <t>MEDIOS PERSONALES - INFORMACIÓN COSTES SOBRE EL PERSONAL A SUBROGAR
PLANTILLA</t>
  </si>
  <si>
    <t>OTROS PLUSES EN VIGOR AÑO 2026</t>
  </si>
  <si>
    <t>OTROS PLUSES EN VIGOR AÑO 2027</t>
  </si>
  <si>
    <t>OTROS PLUSES EN VIGOR AÑO 2029</t>
  </si>
  <si>
    <t>OTROS PLUSES EN VIGOR AÑO 2028</t>
  </si>
  <si>
    <t>OTROS PLUSES EN VIGOR AÑO 2030</t>
  </si>
  <si>
    <t>OTROS PLUSES EN VIGOR AÑO 2031</t>
  </si>
  <si>
    <t>OTROS PLUSES EN VIGOR AÑO 2032</t>
  </si>
  <si>
    <t>FECHA CONTRATACIÓN</t>
  </si>
  <si>
    <t>TOTAL COSTE MEDIOS NUEVA CONTRATACION</t>
  </si>
  <si>
    <t xml:space="preserve"> MAESTRO/A</t>
  </si>
  <si>
    <t xml:space="preserve"> TÉCNICO/A TITULADO/A</t>
  </si>
  <si>
    <t xml:space="preserve"> TÉCNICO/A NO TITULADO/A</t>
  </si>
  <si>
    <t xml:space="preserve">APRENDIZ ADMINISTRATIVO/A  </t>
  </si>
  <si>
    <t xml:space="preserve">AUXILIAR ADMINISTRATIVO/A  </t>
  </si>
  <si>
    <t xml:space="preserve">ADMINISTRATIVO/A  </t>
  </si>
  <si>
    <t xml:space="preserve">OFICIAL ADMINISTRATIVO/A  </t>
  </si>
  <si>
    <t xml:space="preserve">JEFE/A ADMINISTRATIVO/A  </t>
  </si>
  <si>
    <t>DELINEANTE</t>
  </si>
  <si>
    <t>VIGILANTE</t>
  </si>
  <si>
    <t>LIMPIADOR/A</t>
  </si>
  <si>
    <t>MEDIOS PERSONALES - INFORMACIÓN COSTES SOBRE EL PERSONAL A NUEVA CONTRATACIÓN 2026</t>
  </si>
  <si>
    <t>MEDIOS PERSONALES - INFORMACIÓN COSTES SOBRE EL PERSONAL A NUEVA CONTRATACIÓN 2027</t>
  </si>
  <si>
    <t>MEDIOS PERSONALES - INFORMACIÓN COSTES SOBRE EL PERSONAL A NUEVA CONTRATACIÓN 2028</t>
  </si>
  <si>
    <t>MEDIOS PERSONALES - INFORMACIÓN COSTES SOBRE EL PERSONAL A NUEVA CONTRATACIÓN 2029</t>
  </si>
  <si>
    <t>MEDIOS PERSONALES - INFORMACIÓN COSTES SOBRE EL PERSONAL A NUEVA CONTRATACIÓN 2030</t>
  </si>
  <si>
    <t>MEDIOS PERSONALES - INFORMACIÓN COSTES SOBRE EL PERSONAL A NUEVA CONTRATACIÓN 2031</t>
  </si>
  <si>
    <t>MEDIOS PERSONALES - INFORMACIÓN COSTES SOBRE EL PERSONAL A NUEVA CONTRATACIÓN 2032</t>
  </si>
  <si>
    <t xml:space="preserve">COSTES EJECUCIÓN MATERIAL </t>
  </si>
  <si>
    <t>TOTAL COSTES EJECUCIÓN MATERIAL DEL SERVICIO</t>
  </si>
  <si>
    <t xml:space="preserve">TOTAL CANON ANUAL SIN IVA </t>
  </si>
  <si>
    <t xml:space="preserve">TOTAL CANON ANUAL CON IVA </t>
  </si>
  <si>
    <t xml:space="preserve">CONCEPTOS </t>
  </si>
  <si>
    <t>COSTES AMORTIZACIÓN Y FINANCIACIÓN ANUAL</t>
  </si>
  <si>
    <t>COSTES CONSERVACIÓN, MANTENIMIENTO Y REPARACIONES</t>
  </si>
  <si>
    <t>COSTE COMBUSTIBLES Y LUBRICANTES</t>
  </si>
  <si>
    <t>COSTES SEGUROS  Y TASAS</t>
  </si>
  <si>
    <t>COSTES AMORTIZACIÓN ANUAL</t>
  </si>
  <si>
    <t>COSTES FINANCIACIÓN ANUAL</t>
  </si>
  <si>
    <t>AMORTIZACION ANUAL TOTAL</t>
  </si>
  <si>
    <t>GASTOS FIANCIEROS TOTAL ANUAL</t>
  </si>
  <si>
    <t xml:space="preserve">TOTAL AMORTIZACIÓN + GASTO FINANCIERO </t>
  </si>
  <si>
    <t>COSTE SEGUROS Y TASAS</t>
  </si>
  <si>
    <t>COSTE UNITARIO JORNADA COMBUSTIBLE Y LUBRICANTE</t>
  </si>
  <si>
    <t>COSTE TOTAL LUBRICANTE Y CONSUMIBLES</t>
  </si>
  <si>
    <t>COSTES REPARACIONES Y MANTENIMIENTO</t>
  </si>
  <si>
    <t>COSTE INVERSIÓN TOTAL VEHÍCULOS</t>
  </si>
  <si>
    <t>COSTE AMORTIZACION ANUAL</t>
  </si>
  <si>
    <t>COSTE FINANCIACIÓN ANUAL</t>
  </si>
  <si>
    <t>COSTE AMORTIZACION + FINANCIACIÓN ANUAL</t>
  </si>
  <si>
    <t>COSTES SEGUROS Y TASAS</t>
  </si>
  <si>
    <t>COSTE MANTENIMIENTO</t>
  </si>
  <si>
    <t>TOTAL AMORTIZACIÓN ANUAL</t>
  </si>
  <si>
    <t>TOTAL GASTO FINANCIERO ANUAL</t>
  </si>
  <si>
    <t>COSTE INVERSIÓN TOTAL MAQUINARIA</t>
  </si>
  <si>
    <t>INVENTARIO MOBILE MAPPING</t>
  </si>
  <si>
    <t>Inventario viario (vehículo)</t>
  </si>
  <si>
    <t>km</t>
  </si>
  <si>
    <t>Inventario zona verde (mochila/bici)</t>
  </si>
  <si>
    <t>CARACTERÍSTCAS GENERALES DEL CONTRATO</t>
  </si>
  <si>
    <t>FECHA  INICIO</t>
  </si>
  <si>
    <t>FECHA FIN</t>
  </si>
  <si>
    <t>CONSERVACIÓN %</t>
  </si>
  <si>
    <t>LIMPIEZA %</t>
  </si>
  <si>
    <t>GASTOS GENERALES %</t>
  </si>
  <si>
    <t>BENEFICIO INDUSTRIAL %</t>
  </si>
  <si>
    <t>GASTOS FINANCIEROS %</t>
  </si>
  <si>
    <t>Vigilante/limpieza</t>
  </si>
  <si>
    <t>ESTIMACIÓN INCREMENTO IPC %</t>
  </si>
  <si>
    <t>ESTIMACIÓN COSTES SALARIALES 2031 %</t>
  </si>
  <si>
    <t>ESTIMACIÓN COSTES SALARIALES 2032 %</t>
  </si>
  <si>
    <t>CÁLCULO DE % GASTOS SEGURIDAD SOCIAL</t>
  </si>
  <si>
    <t>% SEGURIDAD SOCIAL JARDINERÍA</t>
  </si>
  <si>
    <t>% SEGURIDAD SOCIAL OFICIAL CONDUCTOR</t>
  </si>
  <si>
    <t>AÑO INICIAL</t>
  </si>
  <si>
    <t>AÑO FINAL</t>
  </si>
  <si>
    <r>
      <t xml:space="preserve">Los </t>
    </r>
    <r>
      <rPr>
        <b/>
        <sz val="9"/>
        <rFont val="Arial"/>
        <family val="2"/>
      </rPr>
      <t>vehículos y maquinaria</t>
    </r>
    <r>
      <rPr>
        <sz val="9"/>
        <rFont val="Arial"/>
        <family val="2"/>
      </rPr>
      <t xml:space="preserve"> se actualizan en las pestañas correspondiente, actualiazando el nº de elementos y/o cualquier otra información. 
La actualización del IPC se realiza sólo en los gastos de mantenimiento de los vehículos y la maquinaria. </t>
    </r>
  </si>
  <si>
    <t>DURACIÓN (años)</t>
  </si>
  <si>
    <t>DURACIÓN (meses)</t>
  </si>
  <si>
    <r>
      <t xml:space="preserve">Para cumpliementar los datos del </t>
    </r>
    <r>
      <rPr>
        <b/>
        <sz val="9"/>
        <rFont val="Arial"/>
        <family val="2"/>
      </rPr>
      <t>personal a subrogar</t>
    </r>
    <r>
      <rPr>
        <sz val="9"/>
        <rFont val="Arial"/>
        <family val="2"/>
      </rPr>
      <t>, rellenar la pestaña "</t>
    </r>
    <r>
      <rPr>
        <b/>
        <sz val="9"/>
        <color theme="5" tint="-0.499984740745262"/>
        <rFont val="Arial"/>
        <family val="2"/>
      </rPr>
      <t>A.1. Plantilla Subrogación</t>
    </r>
    <r>
      <rPr>
        <sz val="9"/>
        <rFont val="Arial"/>
        <family val="2"/>
      </rPr>
      <t>"</t>
    </r>
  </si>
  <si>
    <r>
      <t xml:space="preserve">Para cumpliementar los datos del </t>
    </r>
    <r>
      <rPr>
        <b/>
        <sz val="9"/>
        <rFont val="Arial"/>
        <family val="2"/>
      </rPr>
      <t>personal de nueva contratación</t>
    </r>
    <r>
      <rPr>
        <sz val="9"/>
        <rFont val="Arial"/>
        <family val="2"/>
      </rPr>
      <t>, rellenar la pestaña "</t>
    </r>
    <r>
      <rPr>
        <b/>
        <sz val="9"/>
        <color theme="5" tint="-0.499984740745262"/>
        <rFont val="Arial"/>
        <family val="2"/>
      </rPr>
      <t>A.2. Plantilla NuevaContratación</t>
    </r>
    <r>
      <rPr>
        <sz val="9"/>
        <rFont val="Arial"/>
        <family val="2"/>
      </rPr>
      <t>"</t>
    </r>
  </si>
  <si>
    <t>(Total meses)</t>
  </si>
  <si>
    <t>Coste anual vestuario y transporte</t>
  </si>
  <si>
    <t>GASTOS FIJOS</t>
  </si>
  <si>
    <t>MEDIA CANON ANUAL</t>
  </si>
  <si>
    <t>MEDIA CANON</t>
  </si>
  <si>
    <t>GASTOS MANTENIMIENTO</t>
  </si>
  <si>
    <t>NUEVOS DESARROLLOS APLIACADOS  A LA GESTIÓN Y CONTROL DEL SERVICIO</t>
  </si>
  <si>
    <t>ACTUALIZACIÓN INVENTARIO VIARIO APOYADO EN TECNOLOGÍA SATELITAL</t>
  </si>
  <si>
    <t>CAMIÓN PORTACONTENEDORES</t>
  </si>
  <si>
    <t>CAMIÓN CISTERNA 10000L</t>
  </si>
  <si>
    <t>CAMIÓN GRÚA</t>
  </si>
  <si>
    <t>CAMIÓN GRUA BASCULANTE</t>
  </si>
  <si>
    <t>CAMIÓN TRES EJES BASCULANTE</t>
  </si>
  <si>
    <t>CAMIÓN CAJA BASCULANTE</t>
  </si>
  <si>
    <t>CAMIÓN TRES EJES PLUMA</t>
  </si>
  <si>
    <t>COSTE KwH</t>
  </si>
  <si>
    <t>CONSUMO (l/100Km)
(kWh/100kM)</t>
  </si>
  <si>
    <t>COSTE €/l.
(€/kWh)</t>
  </si>
  <si>
    <t>Oficial Jardin. - Conduc.</t>
  </si>
  <si>
    <t>AUXILIAR ADMIN.</t>
  </si>
  <si>
    <t xml:space="preserve">JEFE ADMINISTRATIVO/A  </t>
  </si>
  <si>
    <t xml:space="preserve">COSTES EJEC. MATERIAL MEDICIÓN/SUMINISTRO </t>
  </si>
  <si>
    <t>COMPLEMENTOS SALARIALES</t>
  </si>
  <si>
    <t>DESPLAZAMIENTO Y DIETAS</t>
  </si>
  <si>
    <t>DIETAS Y DESPLAZAMINENTOS</t>
  </si>
  <si>
    <t>TOTAL OTROS COSTES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</si>
</sst>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0.0%"/>
    <numFmt numFmtId="167" formatCode="0.0"/>
    <numFmt numFmtId="168" formatCode="0.000"/>
    <numFmt numFmtId="169" formatCode="0.0000"/>
    <numFmt numFmtId="170" formatCode="#,##0.0"/>
    <numFmt numFmtId="171" formatCode="#,##0.000000"/>
    <numFmt numFmtId="172" formatCode="#,##0.00\ _€"/>
  </numFmts>
  <fonts count="73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9"/>
      <name val="Arial"/>
      <family val="2"/>
    </font>
    <font>
      <b/>
      <sz val="11"/>
      <color indexed="10"/>
      <name val="Arial"/>
      <family val="2"/>
    </font>
    <font>
      <i/>
      <sz val="1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indexed="10"/>
      <name val="Arial"/>
      <family val="2"/>
    </font>
    <font>
      <b/>
      <sz val="11"/>
      <color theme="5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8"/>
      <name val="Arial"/>
      <family val="2"/>
    </font>
    <font>
      <b/>
      <sz val="11"/>
      <color theme="4" tint="-0.499984740745262"/>
      <name val="Calibri"/>
      <family val="2"/>
      <scheme val="minor"/>
    </font>
    <font>
      <b/>
      <sz val="9"/>
      <color indexed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9" tint="0.79992065187536243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9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9"/>
      <color theme="4" tint="0.7999816888943144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0"/>
      <color theme="8" tint="-0.499984740745262"/>
      <name val="Arial"/>
      <family val="2"/>
    </font>
    <font>
      <b/>
      <sz val="9"/>
      <color theme="5" tint="-0.499984740745262"/>
      <name val="Arial"/>
      <family val="2"/>
    </font>
    <font>
      <sz val="11"/>
      <color theme="2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 tint="0.249977111117893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4" tint="0.399914548173467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79992065187536243"/>
        <bgColor indexed="0"/>
      </patternFill>
    </fill>
    <fill>
      <patternFill patternType="solid">
        <fgColor theme="4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FD767"/>
        <bgColor indexed="64"/>
      </patternFill>
    </fill>
    <fill>
      <patternFill patternType="solid">
        <fgColor rgb="FFA3D14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/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auto="1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-0.249977111117893"/>
      </bottom>
      <diagonal/>
    </border>
    <border>
      <left/>
      <right/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-0.249977111117893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5" tint="-0.249977111117893"/>
      </left>
      <right/>
      <top/>
      <bottom/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0"/>
      </top>
      <bottom/>
      <diagonal/>
    </border>
    <border>
      <left style="thin">
        <color theme="5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5" tint="-0.249977111117893"/>
      </left>
      <right style="thin">
        <color theme="0"/>
      </right>
      <top/>
      <bottom style="thin">
        <color theme="0"/>
      </bottom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0"/>
      </bottom>
      <diagonal/>
    </border>
    <border>
      <left/>
      <right/>
      <top style="thin">
        <color theme="5" tint="-0.249977111117893"/>
      </top>
      <bottom style="thin">
        <color theme="0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0"/>
      </bottom>
      <diagonal/>
    </border>
    <border>
      <left style="thin">
        <color theme="0"/>
      </left>
      <right style="thin">
        <color theme="5" tint="-0.249977111117893"/>
      </right>
      <top style="thin">
        <color theme="0"/>
      </top>
      <bottom style="thin">
        <color theme="0"/>
      </bottom>
      <diagonal/>
    </border>
    <border>
      <left style="thin">
        <color theme="5" tint="-0.249977111117893"/>
      </left>
      <right/>
      <top/>
      <bottom style="thin">
        <color theme="0"/>
      </bottom>
      <diagonal/>
    </border>
    <border>
      <left style="thin">
        <color theme="5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 tint="-0.249977111117893"/>
      </left>
      <right/>
      <top style="thin">
        <color theme="0"/>
      </top>
      <bottom style="thin">
        <color theme="5" tint="-0.249977111117893"/>
      </bottom>
      <diagonal/>
    </border>
    <border>
      <left/>
      <right/>
      <top style="thin">
        <color theme="0"/>
      </top>
      <bottom style="thin">
        <color theme="5" tint="-0.249977111117893"/>
      </bottom>
      <diagonal/>
    </border>
    <border>
      <left style="thin">
        <color theme="0"/>
      </left>
      <right style="thin">
        <color theme="5" tint="-0.249977111117893"/>
      </right>
      <top style="thin">
        <color theme="0"/>
      </top>
      <bottom style="thin">
        <color theme="5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/>
      <bottom style="thin">
        <color theme="4" tint="0.59999389629810485"/>
      </bottom>
      <diagonal/>
    </border>
  </borders>
  <cellStyleXfs count="13">
    <xf numFmtId="0" fontId="0" fillId="0" borderId="0"/>
    <xf numFmtId="4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0"/>
    <xf numFmtId="0" fontId="43" fillId="0" borderId="0"/>
    <xf numFmtId="0" fontId="46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43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</cellStyleXfs>
  <cellXfs count="7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44" fontId="0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165" fontId="6" fillId="4" borderId="3" xfId="0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65" fontId="6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5" borderId="3" xfId="0" applyFont="1" applyFill="1" applyBorder="1" applyAlignment="1">
      <alignment vertical="center"/>
    </xf>
    <xf numFmtId="0" fontId="17" fillId="5" borderId="3" xfId="0" applyFont="1" applyFill="1" applyBorder="1" applyAlignment="1">
      <alignment horizontal="right" vertical="center"/>
    </xf>
    <xf numFmtId="0" fontId="17" fillId="5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2" borderId="14" xfId="0" applyFont="1" applyFill="1" applyBorder="1"/>
    <xf numFmtId="0" fontId="6" fillId="2" borderId="1" xfId="0" applyFont="1" applyFill="1" applyBorder="1"/>
    <xf numFmtId="165" fontId="19" fillId="2" borderId="1" xfId="0" applyNumberFormat="1" applyFont="1" applyFill="1" applyBorder="1"/>
    <xf numFmtId="4" fontId="0" fillId="0" borderId="0" xfId="0" applyNumberFormat="1"/>
    <xf numFmtId="0" fontId="6" fillId="0" borderId="7" xfId="0" applyFont="1" applyBorder="1" applyAlignment="1">
      <alignment vertical="center"/>
    </xf>
    <xf numFmtId="165" fontId="6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vertical="center"/>
    </xf>
    <xf numFmtId="44" fontId="0" fillId="0" borderId="0" xfId="1" applyFont="1"/>
    <xf numFmtId="4" fontId="7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4" fontId="6" fillId="0" borderId="3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3" fontId="0" fillId="0" borderId="0" xfId="0" applyNumberFormat="1"/>
    <xf numFmtId="44" fontId="0" fillId="0" borderId="0" xfId="1" applyFont="1" applyBorder="1"/>
    <xf numFmtId="0" fontId="21" fillId="0" borderId="0" xfId="0" applyFont="1"/>
    <xf numFmtId="0" fontId="7" fillId="0" borderId="7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9" fillId="2" borderId="3" xfId="0" applyFont="1" applyFill="1" applyBorder="1"/>
    <xf numFmtId="0" fontId="19" fillId="6" borderId="0" xfId="0" applyFont="1" applyFill="1"/>
    <xf numFmtId="0" fontId="0" fillId="3" borderId="0" xfId="0" applyFill="1"/>
    <xf numFmtId="3" fontId="14" fillId="0" borderId="3" xfId="0" applyNumberFormat="1" applyFont="1" applyBorder="1" applyAlignment="1">
      <alignment horizontal="center" vertical="center"/>
    </xf>
    <xf numFmtId="0" fontId="24" fillId="0" borderId="0" xfId="0" applyFont="1"/>
    <xf numFmtId="4" fontId="8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4" fontId="27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16" fillId="0" borderId="0" xfId="0" applyNumberFormat="1" applyFont="1" applyAlignment="1">
      <alignment vertical="center"/>
    </xf>
    <xf numFmtId="0" fontId="6" fillId="0" borderId="3" xfId="0" applyFont="1" applyBorder="1"/>
    <xf numFmtId="9" fontId="6" fillId="0" borderId="14" xfId="0" applyNumberFormat="1" applyFont="1" applyBorder="1"/>
    <xf numFmtId="0" fontId="6" fillId="0" borderId="1" xfId="0" applyFont="1" applyBorder="1"/>
    <xf numFmtId="0" fontId="6" fillId="0" borderId="2" xfId="0" applyFont="1" applyBorder="1"/>
    <xf numFmtId="2" fontId="23" fillId="2" borderId="0" xfId="0" applyNumberFormat="1" applyFont="1" applyFill="1" applyAlignment="1">
      <alignment horizontal="center" vertical="center" wrapText="1"/>
    </xf>
    <xf numFmtId="0" fontId="25" fillId="8" borderId="27" xfId="4" applyFont="1" applyFill="1" applyBorder="1" applyAlignment="1">
      <alignment horizontal="center" vertical="center" wrapText="1"/>
    </xf>
    <xf numFmtId="0" fontId="25" fillId="9" borderId="27" xfId="4" applyFont="1" applyFill="1" applyBorder="1" applyAlignment="1">
      <alignment horizontal="center" vertical="center" wrapText="1"/>
    </xf>
    <xf numFmtId="1" fontId="23" fillId="2" borderId="0" xfId="0" applyNumberFormat="1" applyFont="1" applyFill="1" applyAlignment="1">
      <alignment horizontal="center" vertical="center" wrapText="1"/>
    </xf>
    <xf numFmtId="0" fontId="30" fillId="7" borderId="0" xfId="4" applyFont="1" applyFill="1" applyAlignment="1">
      <alignment horizontal="center" vertical="center" wrapText="1"/>
    </xf>
    <xf numFmtId="0" fontId="12" fillId="10" borderId="27" xfId="4" applyFont="1" applyFill="1" applyBorder="1" applyAlignment="1">
      <alignment horizontal="center" vertical="center" wrapText="1"/>
    </xf>
    <xf numFmtId="0" fontId="31" fillId="7" borderId="27" xfId="4" applyFont="1" applyFill="1" applyBorder="1" applyAlignment="1">
      <alignment horizontal="center" vertical="center" wrapText="1"/>
    </xf>
    <xf numFmtId="0" fontId="19" fillId="0" borderId="0" xfId="6" applyFont="1" applyAlignment="1">
      <alignment horizontal="center"/>
    </xf>
    <xf numFmtId="169" fontId="23" fillId="2" borderId="0" xfId="0" applyNumberFormat="1" applyFont="1" applyFill="1" applyAlignment="1">
      <alignment horizontal="center" vertical="center" wrapText="1"/>
    </xf>
    <xf numFmtId="2" fontId="23" fillId="2" borderId="10" xfId="0" applyNumberFormat="1" applyFont="1" applyFill="1" applyBorder="1" applyAlignment="1">
      <alignment horizontal="center" vertical="center" wrapText="1"/>
    </xf>
    <xf numFmtId="0" fontId="6" fillId="0" borderId="0" xfId="6" applyFont="1" applyAlignment="1">
      <alignment horizontal="left"/>
    </xf>
    <xf numFmtId="0" fontId="6" fillId="0" borderId="0" xfId="6" applyFont="1"/>
    <xf numFmtId="0" fontId="32" fillId="0" borderId="0" xfId="0" applyFont="1"/>
    <xf numFmtId="0" fontId="22" fillId="10" borderId="27" xfId="4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4" borderId="3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71" fontId="6" fillId="0" borderId="0" xfId="0" applyNumberFormat="1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2" fontId="6" fillId="0" borderId="40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4" borderId="34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4" fillId="4" borderId="37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168" fontId="6" fillId="4" borderId="0" xfId="0" applyNumberFormat="1" applyFont="1" applyFill="1" applyAlignment="1">
      <alignment horizontal="center"/>
    </xf>
    <xf numFmtId="168" fontId="6" fillId="4" borderId="38" xfId="0" applyNumberFormat="1" applyFont="1" applyFill="1" applyBorder="1" applyAlignment="1">
      <alignment horizontal="center"/>
    </xf>
    <xf numFmtId="168" fontId="6" fillId="0" borderId="0" xfId="0" applyNumberFormat="1" applyFont="1" applyAlignment="1">
      <alignment horizontal="center"/>
    </xf>
    <xf numFmtId="168" fontId="6" fillId="0" borderId="38" xfId="0" applyNumberFormat="1" applyFont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168" fontId="6" fillId="4" borderId="40" xfId="0" applyNumberFormat="1" applyFont="1" applyFill="1" applyBorder="1" applyAlignment="1">
      <alignment horizontal="center"/>
    </xf>
    <xf numFmtId="168" fontId="6" fillId="4" borderId="41" xfId="0" applyNumberFormat="1" applyFont="1" applyFill="1" applyBorder="1" applyAlignment="1">
      <alignment horizontal="center"/>
    </xf>
    <xf numFmtId="0" fontId="19" fillId="0" borderId="0" xfId="0" applyFont="1"/>
    <xf numFmtId="0" fontId="25" fillId="4" borderId="35" xfId="0" applyFont="1" applyFill="1" applyBorder="1" applyAlignment="1">
      <alignment horizontal="right"/>
    </xf>
    <xf numFmtId="2" fontId="7" fillId="4" borderId="36" xfId="0" applyNumberFormat="1" applyFont="1" applyFill="1" applyBorder="1" applyAlignment="1">
      <alignment horizontal="center"/>
    </xf>
    <xf numFmtId="0" fontId="33" fillId="0" borderId="0" xfId="0" applyFont="1"/>
    <xf numFmtId="0" fontId="25" fillId="0" borderId="0" xfId="0" applyFont="1" applyAlignment="1">
      <alignment horizontal="right"/>
    </xf>
    <xf numFmtId="2" fontId="7" fillId="0" borderId="38" xfId="0" applyNumberFormat="1" applyFont="1" applyBorder="1" applyAlignment="1">
      <alignment horizontal="center"/>
    </xf>
    <xf numFmtId="0" fontId="10" fillId="0" borderId="0" xfId="0" applyFont="1"/>
    <xf numFmtId="0" fontId="25" fillId="4" borderId="0" xfId="0" applyFont="1" applyFill="1" applyAlignment="1">
      <alignment horizontal="right"/>
    </xf>
    <xf numFmtId="2" fontId="7" fillId="4" borderId="38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center" vertical="center"/>
    </xf>
    <xf numFmtId="0" fontId="34" fillId="11" borderId="42" xfId="0" applyFont="1" applyFill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14" fontId="0" fillId="0" borderId="42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35" fillId="0" borderId="42" xfId="0" applyFont="1" applyBorder="1" applyAlignment="1">
      <alignment vertical="center" wrapText="1"/>
    </xf>
    <xf numFmtId="4" fontId="35" fillId="0" borderId="4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" fontId="34" fillId="11" borderId="42" xfId="0" applyNumberFormat="1" applyFont="1" applyFill="1" applyBorder="1" applyAlignment="1">
      <alignment horizontal="center" vertical="center" wrapText="1"/>
    </xf>
    <xf numFmtId="49" fontId="34" fillId="11" borderId="42" xfId="0" applyNumberFormat="1" applyFont="1" applyFill="1" applyBorder="1" applyAlignment="1">
      <alignment horizontal="center" vertical="center" wrapText="1"/>
    </xf>
    <xf numFmtId="2" fontId="35" fillId="0" borderId="42" xfId="0" applyNumberFormat="1" applyFont="1" applyBorder="1" applyAlignment="1">
      <alignment horizontal="center" vertical="center" wrapText="1"/>
    </xf>
    <xf numFmtId="1" fontId="35" fillId="0" borderId="42" xfId="0" applyNumberFormat="1" applyFont="1" applyBorder="1" applyAlignment="1">
      <alignment horizontal="center" vertical="center" wrapText="1"/>
    </xf>
    <xf numFmtId="1" fontId="35" fillId="0" borderId="43" xfId="0" applyNumberFormat="1" applyFont="1" applyBorder="1" applyAlignment="1">
      <alignment horizontal="center" vertical="center" wrapText="1"/>
    </xf>
    <xf numFmtId="2" fontId="35" fillId="0" borderId="43" xfId="0" applyNumberFormat="1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4" fontId="36" fillId="12" borderId="42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" fontId="39" fillId="2" borderId="0" xfId="0" applyNumberFormat="1" applyFont="1" applyFill="1" applyAlignment="1">
      <alignment horizontal="center" vertical="center" wrapText="1"/>
    </xf>
    <xf numFmtId="14" fontId="6" fillId="0" borderId="3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0" fontId="6" fillId="5" borderId="0" xfId="0" applyFont="1" applyFill="1" applyAlignment="1">
      <alignment horizontal="center"/>
    </xf>
    <xf numFmtId="165" fontId="6" fillId="0" borderId="0" xfId="0" applyNumberFormat="1" applyFont="1"/>
    <xf numFmtId="0" fontId="7" fillId="0" borderId="0" xfId="0" applyFont="1" applyAlignment="1">
      <alignment horizontal="center"/>
    </xf>
    <xf numFmtId="4" fontId="6" fillId="5" borderId="0" xfId="0" applyNumberFormat="1" applyFont="1" applyFill="1" applyAlignment="1">
      <alignment horizontal="center"/>
    </xf>
    <xf numFmtId="2" fontId="6" fillId="5" borderId="0" xfId="0" applyNumberFormat="1" applyFont="1" applyFill="1" applyAlignment="1">
      <alignment horizontal="center"/>
    </xf>
    <xf numFmtId="164" fontId="6" fillId="0" borderId="0" xfId="2" applyFont="1" applyBorder="1"/>
    <xf numFmtId="8" fontId="6" fillId="5" borderId="0" xfId="2" applyNumberFormat="1" applyFont="1" applyFill="1" applyBorder="1"/>
    <xf numFmtId="1" fontId="6" fillId="0" borderId="3" xfId="0" applyNumberFormat="1" applyFont="1" applyBorder="1" applyAlignment="1">
      <alignment horizontal="center"/>
    </xf>
    <xf numFmtId="9" fontId="6" fillId="0" borderId="3" xfId="0" applyNumberFormat="1" applyFont="1" applyBorder="1" applyAlignment="1">
      <alignment horizontal="center"/>
    </xf>
    <xf numFmtId="8" fontId="6" fillId="0" borderId="3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0" fontId="4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8" fontId="6" fillId="0" borderId="0" xfId="0" applyNumberFormat="1" applyFont="1" applyAlignment="1">
      <alignment vertical="center"/>
    </xf>
    <xf numFmtId="0" fontId="6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2" fontId="6" fillId="4" borderId="0" xfId="0" applyNumberFormat="1" applyFont="1" applyFill="1" applyAlignment="1">
      <alignment vertical="center"/>
    </xf>
    <xf numFmtId="2" fontId="6" fillId="0" borderId="0" xfId="0" applyNumberFormat="1" applyFont="1" applyAlignment="1">
      <alignment vertical="center"/>
    </xf>
    <xf numFmtId="14" fontId="19" fillId="0" borderId="46" xfId="0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4" fontId="6" fillId="0" borderId="0" xfId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44" fontId="6" fillId="4" borderId="0" xfId="1" applyFont="1" applyFill="1" applyAlignment="1">
      <alignment vertical="center"/>
    </xf>
    <xf numFmtId="4" fontId="6" fillId="4" borderId="0" xfId="0" applyNumberFormat="1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10" fontId="6" fillId="4" borderId="0" xfId="3" applyNumberFormat="1" applyFont="1" applyFill="1" applyAlignment="1">
      <alignment horizontal="center" vertical="center"/>
    </xf>
    <xf numFmtId="0" fontId="11" fillId="6" borderId="0" xfId="0" applyFont="1" applyFill="1"/>
    <xf numFmtId="0" fontId="6" fillId="3" borderId="0" xfId="0" applyFont="1" applyFill="1" applyAlignment="1">
      <alignment horizontal="left"/>
    </xf>
    <xf numFmtId="0" fontId="6" fillId="5" borderId="3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6" fillId="5" borderId="3" xfId="0" applyFont="1" applyFill="1" applyBorder="1"/>
    <xf numFmtId="0" fontId="6" fillId="5" borderId="14" xfId="0" applyFont="1" applyFill="1" applyBorder="1"/>
    <xf numFmtId="4" fontId="6" fillId="5" borderId="14" xfId="0" applyNumberFormat="1" applyFont="1" applyFill="1" applyBorder="1"/>
    <xf numFmtId="4" fontId="6" fillId="5" borderId="1" xfId="0" applyNumberFormat="1" applyFont="1" applyFill="1" applyBorder="1"/>
    <xf numFmtId="4" fontId="6" fillId="5" borderId="2" xfId="0" applyNumberFormat="1" applyFont="1" applyFill="1" applyBorder="1"/>
    <xf numFmtId="0" fontId="19" fillId="2" borderId="14" xfId="0" applyFont="1" applyFill="1" applyBorder="1"/>
    <xf numFmtId="0" fontId="19" fillId="2" borderId="1" xfId="0" applyFont="1" applyFill="1" applyBorder="1"/>
    <xf numFmtId="0" fontId="12" fillId="0" borderId="0" xfId="0" applyFont="1"/>
    <xf numFmtId="0" fontId="41" fillId="0" borderId="0" xfId="0" applyFont="1" applyAlignment="1">
      <alignment horizontal="center"/>
    </xf>
    <xf numFmtId="0" fontId="6" fillId="3" borderId="9" xfId="0" applyFont="1" applyFill="1" applyBorder="1"/>
    <xf numFmtId="0" fontId="41" fillId="0" borderId="1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6" fillId="0" borderId="7" xfId="0" applyFont="1" applyBorder="1"/>
    <xf numFmtId="0" fontId="6" fillId="3" borderId="10" xfId="0" applyFont="1" applyFill="1" applyBorder="1"/>
    <xf numFmtId="0" fontId="7" fillId="5" borderId="0" xfId="0" applyFont="1" applyFill="1" applyAlignment="1">
      <alignment vertical="center"/>
    </xf>
    <xf numFmtId="9" fontId="7" fillId="5" borderId="0" xfId="0" applyNumberFormat="1" applyFont="1" applyFill="1" applyAlignment="1">
      <alignment vertical="center"/>
    </xf>
    <xf numFmtId="0" fontId="6" fillId="16" borderId="9" xfId="0" applyFont="1" applyFill="1" applyBorder="1"/>
    <xf numFmtId="0" fontId="6" fillId="16" borderId="0" xfId="0" applyFont="1" applyFill="1"/>
    <xf numFmtId="0" fontId="12" fillId="16" borderId="0" xfId="0" applyFont="1" applyFill="1" applyAlignment="1">
      <alignment horizontal="center"/>
    </xf>
    <xf numFmtId="0" fontId="12" fillId="16" borderId="21" xfId="0" applyFont="1" applyFill="1" applyBorder="1"/>
    <xf numFmtId="0" fontId="12" fillId="16" borderId="22" xfId="0" applyFont="1" applyFill="1" applyBorder="1"/>
    <xf numFmtId="0" fontId="12" fillId="16" borderId="30" xfId="0" applyFont="1" applyFill="1" applyBorder="1"/>
    <xf numFmtId="9" fontId="6" fillId="16" borderId="1" xfId="0" applyNumberFormat="1" applyFont="1" applyFill="1" applyBorder="1"/>
    <xf numFmtId="0" fontId="6" fillId="16" borderId="1" xfId="0" applyFont="1" applyFill="1" applyBorder="1"/>
    <xf numFmtId="0" fontId="12" fillId="16" borderId="18" xfId="0" applyFont="1" applyFill="1" applyBorder="1" applyAlignment="1">
      <alignment vertical="center" wrapText="1"/>
    </xf>
    <xf numFmtId="0" fontId="12" fillId="16" borderId="19" xfId="0" applyFont="1" applyFill="1" applyBorder="1" applyAlignment="1">
      <alignment vertical="center" wrapText="1"/>
    </xf>
    <xf numFmtId="0" fontId="12" fillId="16" borderId="20" xfId="0" applyFont="1" applyFill="1" applyBorder="1" applyAlignment="1">
      <alignment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12" fillId="16" borderId="3" xfId="0" applyFont="1" applyFill="1" applyBorder="1" applyAlignment="1">
      <alignment horizontal="center" vertical="center" textRotation="90" wrapText="1"/>
    </xf>
    <xf numFmtId="0" fontId="12" fillId="16" borderId="0" xfId="0" applyFont="1" applyFill="1" applyAlignment="1">
      <alignment horizontal="right"/>
    </xf>
    <xf numFmtId="4" fontId="12" fillId="16" borderId="0" xfId="0" applyNumberFormat="1" applyFont="1" applyFill="1" applyAlignment="1">
      <alignment horizontal="center"/>
    </xf>
    <xf numFmtId="165" fontId="12" fillId="16" borderId="0" xfId="0" applyNumberFormat="1" applyFont="1" applyFill="1" applyAlignment="1">
      <alignment horizontal="center"/>
    </xf>
    <xf numFmtId="0" fontId="23" fillId="16" borderId="3" xfId="0" applyFont="1" applyFill="1" applyBorder="1" applyAlignment="1">
      <alignment horizontal="center" vertical="center" textRotation="90" wrapText="1"/>
    </xf>
    <xf numFmtId="0" fontId="12" fillId="16" borderId="0" xfId="0" applyFont="1" applyFill="1" applyAlignment="1">
      <alignment horizontal="center" vertical="center" textRotation="90" wrapText="1"/>
    </xf>
    <xf numFmtId="0" fontId="25" fillId="15" borderId="37" xfId="0" applyFont="1" applyFill="1" applyBorder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25" fillId="15" borderId="38" xfId="0" applyFont="1" applyFill="1" applyBorder="1" applyAlignment="1">
      <alignment horizontal="center" vertical="center"/>
    </xf>
    <xf numFmtId="0" fontId="6" fillId="15" borderId="34" xfId="0" applyFont="1" applyFill="1" applyBorder="1" applyAlignment="1">
      <alignment horizontal="center"/>
    </xf>
    <xf numFmtId="0" fontId="19" fillId="15" borderId="37" xfId="0" applyFont="1" applyFill="1" applyBorder="1" applyAlignment="1">
      <alignment horizontal="center"/>
    </xf>
    <xf numFmtId="0" fontId="6" fillId="15" borderId="39" xfId="0" applyFont="1" applyFill="1" applyBorder="1" applyAlignment="1">
      <alignment horizontal="center"/>
    </xf>
    <xf numFmtId="0" fontId="25" fillId="15" borderId="40" xfId="0" applyFont="1" applyFill="1" applyBorder="1" applyAlignment="1">
      <alignment horizontal="center" vertical="center"/>
    </xf>
    <xf numFmtId="0" fontId="25" fillId="15" borderId="41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left" vertical="center"/>
    </xf>
    <xf numFmtId="4" fontId="18" fillId="15" borderId="0" xfId="0" applyNumberFormat="1" applyFont="1" applyFill="1" applyAlignment="1">
      <alignment vertical="center"/>
    </xf>
    <xf numFmtId="0" fontId="18" fillId="15" borderId="0" xfId="0" applyFont="1" applyFill="1" applyAlignment="1">
      <alignment horizontal="center" vertical="center"/>
    </xf>
    <xf numFmtId="4" fontId="18" fillId="15" borderId="10" xfId="0" applyNumberFormat="1" applyFont="1" applyFill="1" applyBorder="1" applyAlignment="1">
      <alignment vertical="center"/>
    </xf>
    <xf numFmtId="165" fontId="18" fillId="15" borderId="10" xfId="0" applyNumberFormat="1" applyFont="1" applyFill="1" applyBorder="1" applyAlignment="1">
      <alignment vertical="center"/>
    </xf>
    <xf numFmtId="0" fontId="6" fillId="16" borderId="11" xfId="0" applyFont="1" applyFill="1" applyBorder="1" applyAlignment="1">
      <alignment horizontal="center" vertical="center"/>
    </xf>
    <xf numFmtId="0" fontId="6" fillId="16" borderId="12" xfId="0" applyFont="1" applyFill="1" applyBorder="1" applyAlignment="1">
      <alignment vertical="center"/>
    </xf>
    <xf numFmtId="0" fontId="6" fillId="16" borderId="12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right" vertical="center"/>
    </xf>
    <xf numFmtId="0" fontId="4" fillId="16" borderId="12" xfId="0" applyFont="1" applyFill="1" applyBorder="1" applyAlignment="1">
      <alignment vertical="center"/>
    </xf>
    <xf numFmtId="165" fontId="4" fillId="16" borderId="13" xfId="0" applyNumberFormat="1" applyFont="1" applyFill="1" applyBorder="1" applyAlignment="1">
      <alignment vertical="center"/>
    </xf>
    <xf numFmtId="0" fontId="5" fillId="15" borderId="0" xfId="0" applyFont="1" applyFill="1" applyAlignment="1">
      <alignment horizontal="center" vertical="center"/>
    </xf>
    <xf numFmtId="0" fontId="5" fillId="15" borderId="9" xfId="0" applyFont="1" applyFill="1" applyBorder="1" applyAlignment="1">
      <alignment horizontal="left" vertical="center"/>
    </xf>
    <xf numFmtId="0" fontId="23" fillId="15" borderId="0" xfId="0" applyFont="1" applyFill="1" applyAlignment="1">
      <alignment horizontal="center" vertical="center"/>
    </xf>
    <xf numFmtId="0" fontId="5" fillId="15" borderId="10" xfId="0" applyFont="1" applyFill="1" applyBorder="1" applyAlignment="1">
      <alignment horizontal="left" vertical="center"/>
    </xf>
    <xf numFmtId="165" fontId="5" fillId="15" borderId="0" xfId="0" applyNumberFormat="1" applyFont="1" applyFill="1" applyAlignment="1">
      <alignment horizontal="left" vertical="center"/>
    </xf>
    <xf numFmtId="165" fontId="5" fillId="15" borderId="10" xfId="0" applyNumberFormat="1" applyFont="1" applyFill="1" applyBorder="1" applyAlignment="1">
      <alignment horizontal="left" vertical="center"/>
    </xf>
    <xf numFmtId="0" fontId="3" fillId="16" borderId="6" xfId="0" applyFont="1" applyFill="1" applyBorder="1" applyAlignment="1">
      <alignment vertical="center"/>
    </xf>
    <xf numFmtId="4" fontId="5" fillId="15" borderId="0" xfId="0" applyNumberFormat="1" applyFont="1" applyFill="1" applyAlignment="1">
      <alignment horizontal="left" vertical="center"/>
    </xf>
    <xf numFmtId="165" fontId="4" fillId="16" borderId="12" xfId="0" applyNumberFormat="1" applyFont="1" applyFill="1" applyBorder="1" applyAlignment="1">
      <alignment vertical="center"/>
    </xf>
    <xf numFmtId="0" fontId="20" fillId="15" borderId="0" xfId="0" applyFont="1" applyFill="1" applyAlignment="1">
      <alignment horizontal="center" vertical="center"/>
    </xf>
    <xf numFmtId="0" fontId="4" fillId="16" borderId="11" xfId="0" applyFont="1" applyFill="1" applyBorder="1" applyAlignment="1">
      <alignment horizontal="right" vertical="center"/>
    </xf>
    <xf numFmtId="0" fontId="13" fillId="15" borderId="0" xfId="0" applyFont="1" applyFill="1" applyAlignment="1">
      <alignment horizontal="left" vertical="center"/>
    </xf>
    <xf numFmtId="0" fontId="11" fillId="15" borderId="0" xfId="0" applyFont="1" applyFill="1" applyAlignment="1">
      <alignment horizontal="left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0" xfId="0" applyFont="1" applyFill="1" applyAlignment="1">
      <alignment horizontal="right" vertical="center"/>
    </xf>
    <xf numFmtId="165" fontId="4" fillId="16" borderId="0" xfId="0" applyNumberFormat="1" applyFont="1" applyFill="1" applyAlignment="1">
      <alignment vertical="center"/>
    </xf>
    <xf numFmtId="0" fontId="12" fillId="16" borderId="12" xfId="0" applyFont="1" applyFill="1" applyBorder="1" applyAlignment="1">
      <alignment vertical="center"/>
    </xf>
    <xf numFmtId="0" fontId="11" fillId="15" borderId="9" xfId="0" applyFont="1" applyFill="1" applyBorder="1" applyAlignment="1">
      <alignment horizontal="center" vertical="center"/>
    </xf>
    <xf numFmtId="2" fontId="11" fillId="15" borderId="9" xfId="0" applyNumberFormat="1" applyFont="1" applyFill="1" applyBorder="1" applyAlignment="1">
      <alignment horizontal="center" vertical="center"/>
    </xf>
    <xf numFmtId="0" fontId="12" fillId="17" borderId="27" xfId="4" applyFont="1" applyFill="1" applyBorder="1" applyAlignment="1">
      <alignment horizontal="center" vertical="center" wrapText="1"/>
    </xf>
    <xf numFmtId="0" fontId="48" fillId="7" borderId="59" xfId="4" applyFont="1" applyFill="1" applyBorder="1" applyAlignment="1">
      <alignment horizontal="center" vertical="center" wrapText="1"/>
    </xf>
    <xf numFmtId="0" fontId="31" fillId="7" borderId="59" xfId="4" applyFont="1" applyFill="1" applyBorder="1" applyAlignment="1">
      <alignment horizontal="center" vertical="center" wrapText="1"/>
    </xf>
    <xf numFmtId="0" fontId="29" fillId="0" borderId="60" xfId="9" applyFont="1" applyBorder="1" applyAlignment="1">
      <alignment vertical="center" wrapText="1"/>
    </xf>
    <xf numFmtId="4" fontId="29" fillId="0" borderId="60" xfId="9" applyNumberFormat="1" applyFont="1" applyBorder="1" applyAlignment="1">
      <alignment horizontal="right" vertical="center" wrapText="1"/>
    </xf>
    <xf numFmtId="4" fontId="50" fillId="0" borderId="60" xfId="9" applyNumberFormat="1" applyFont="1" applyBorder="1" applyAlignment="1">
      <alignment horizontal="right" vertical="center" wrapText="1"/>
    </xf>
    <xf numFmtId="2" fontId="29" fillId="0" borderId="60" xfId="9" applyNumberFormat="1" applyFont="1" applyBorder="1" applyAlignment="1">
      <alignment horizontal="right" vertical="center" wrapText="1"/>
    </xf>
    <xf numFmtId="0" fontId="29" fillId="0" borderId="60" xfId="9" applyFont="1" applyBorder="1" applyAlignment="1">
      <alignment wrapText="1"/>
    </xf>
    <xf numFmtId="4" fontId="29" fillId="0" borderId="60" xfId="9" applyNumberFormat="1" applyFont="1" applyBorder="1" applyAlignment="1">
      <alignment horizontal="right" wrapText="1"/>
    </xf>
    <xf numFmtId="2" fontId="29" fillId="0" borderId="60" xfId="9" applyNumberFormat="1" applyFont="1" applyBorder="1" applyAlignment="1">
      <alignment horizontal="right" wrapText="1"/>
    </xf>
    <xf numFmtId="0" fontId="29" fillId="0" borderId="60" xfId="5" applyFont="1" applyBorder="1" applyAlignment="1">
      <alignment wrapText="1"/>
    </xf>
    <xf numFmtId="2" fontId="29" fillId="0" borderId="60" xfId="4" applyNumberFormat="1" applyFont="1" applyBorder="1" applyAlignment="1">
      <alignment horizontal="right" vertical="center" wrapText="1"/>
    </xf>
    <xf numFmtId="0" fontId="29" fillId="0" borderId="60" xfId="4" applyFont="1" applyBorder="1" applyAlignment="1">
      <alignment horizontal="left" vertical="center" wrapText="1"/>
    </xf>
    <xf numFmtId="0" fontId="29" fillId="0" borderId="60" xfId="4" applyFont="1" applyBorder="1" applyAlignment="1">
      <alignment vertical="center" wrapText="1"/>
    </xf>
    <xf numFmtId="4" fontId="29" fillId="0" borderId="60" xfId="4" applyNumberFormat="1" applyFont="1" applyBorder="1" applyAlignment="1">
      <alignment horizontal="center" vertical="center" wrapText="1"/>
    </xf>
    <xf numFmtId="2" fontId="29" fillId="0" borderId="60" xfId="4" applyNumberFormat="1" applyFont="1" applyBorder="1" applyAlignment="1">
      <alignment horizontal="center" vertical="center" wrapText="1"/>
    </xf>
    <xf numFmtId="1" fontId="29" fillId="0" borderId="60" xfId="4" applyNumberFormat="1" applyFont="1" applyBorder="1" applyAlignment="1">
      <alignment horizontal="center" vertical="center" wrapText="1"/>
    </xf>
    <xf numFmtId="4" fontId="29" fillId="0" borderId="60" xfId="9" applyNumberFormat="1" applyFont="1" applyBorder="1" applyAlignment="1">
      <alignment horizontal="center" vertical="center" wrapText="1"/>
    </xf>
    <xf numFmtId="4" fontId="47" fillId="0" borderId="60" xfId="4" applyNumberFormat="1" applyFont="1" applyBorder="1" applyAlignment="1">
      <alignment horizontal="center" vertical="center" wrapText="1"/>
    </xf>
    <xf numFmtId="168" fontId="29" fillId="0" borderId="60" xfId="4" applyNumberFormat="1" applyFont="1" applyBorder="1" applyAlignment="1">
      <alignment horizontal="center" vertical="center" wrapText="1"/>
    </xf>
    <xf numFmtId="170" fontId="29" fillId="0" borderId="60" xfId="4" applyNumberFormat="1" applyFont="1" applyBorder="1" applyAlignment="1">
      <alignment vertical="center" wrapText="1"/>
    </xf>
    <xf numFmtId="0" fontId="7" fillId="0" borderId="61" xfId="9" applyFont="1" applyBorder="1" applyAlignment="1">
      <alignment horizontal="center" vertical="center" wrapText="1"/>
    </xf>
    <xf numFmtId="0" fontId="29" fillId="0" borderId="62" xfId="9" applyFont="1" applyBorder="1" applyAlignment="1">
      <alignment vertical="center" wrapText="1"/>
    </xf>
    <xf numFmtId="4" fontId="29" fillId="0" borderId="62" xfId="9" applyNumberFormat="1" applyFont="1" applyBorder="1" applyAlignment="1">
      <alignment horizontal="right" vertical="center" wrapText="1"/>
    </xf>
    <xf numFmtId="4" fontId="29" fillId="0" borderId="63" xfId="9" applyNumberFormat="1" applyFont="1" applyBorder="1" applyAlignment="1">
      <alignment horizontal="right" vertical="center" wrapText="1"/>
    </xf>
    <xf numFmtId="0" fontId="7" fillId="0" borderId="64" xfId="9" applyFont="1" applyBorder="1" applyAlignment="1">
      <alignment horizontal="center" vertical="center" wrapText="1"/>
    </xf>
    <xf numFmtId="4" fontId="29" fillId="0" borderId="65" xfId="9" applyNumberFormat="1" applyFont="1" applyBorder="1" applyAlignment="1">
      <alignment horizontal="right" vertical="center" wrapText="1"/>
    </xf>
    <xf numFmtId="0" fontId="7" fillId="0" borderId="66" xfId="9" applyFont="1" applyBorder="1" applyAlignment="1">
      <alignment horizontal="center" vertical="center" wrapText="1"/>
    </xf>
    <xf numFmtId="0" fontId="29" fillId="0" borderId="67" xfId="9" applyFont="1" applyBorder="1" applyAlignment="1">
      <alignment vertical="center" wrapText="1"/>
    </xf>
    <xf numFmtId="4" fontId="29" fillId="0" borderId="67" xfId="9" applyNumberFormat="1" applyFont="1" applyBorder="1" applyAlignment="1">
      <alignment horizontal="right" vertical="center" wrapText="1"/>
    </xf>
    <xf numFmtId="4" fontId="29" fillId="0" borderId="68" xfId="9" applyNumberFormat="1" applyFont="1" applyBorder="1" applyAlignment="1">
      <alignment horizontal="right" vertical="center" wrapText="1"/>
    </xf>
    <xf numFmtId="4" fontId="29" fillId="0" borderId="61" xfId="9" applyNumberFormat="1" applyFont="1" applyBorder="1" applyAlignment="1">
      <alignment horizontal="right" vertical="center" wrapText="1"/>
    </xf>
    <xf numFmtId="4" fontId="50" fillId="0" borderId="62" xfId="9" applyNumberFormat="1" applyFont="1" applyBorder="1" applyAlignment="1">
      <alignment horizontal="right" vertical="center" wrapText="1"/>
    </xf>
    <xf numFmtId="2" fontId="29" fillId="0" borderId="62" xfId="9" applyNumberFormat="1" applyFont="1" applyBorder="1" applyAlignment="1">
      <alignment horizontal="right" vertical="center" wrapText="1"/>
    </xf>
    <xf numFmtId="4" fontId="29" fillId="0" borderId="64" xfId="9" applyNumberFormat="1" applyFont="1" applyBorder="1" applyAlignment="1">
      <alignment horizontal="right" vertical="center" wrapText="1"/>
    </xf>
    <xf numFmtId="4" fontId="29" fillId="0" borderId="66" xfId="9" applyNumberFormat="1" applyFont="1" applyBorder="1" applyAlignment="1">
      <alignment horizontal="right" vertical="center" wrapText="1"/>
    </xf>
    <xf numFmtId="2" fontId="29" fillId="0" borderId="67" xfId="9" applyNumberFormat="1" applyFont="1" applyBorder="1" applyAlignment="1">
      <alignment horizontal="right" vertical="center" wrapText="1"/>
    </xf>
    <xf numFmtId="4" fontId="29" fillId="0" borderId="61" xfId="9" applyNumberFormat="1" applyFont="1" applyBorder="1" applyAlignment="1">
      <alignment horizontal="right" wrapText="1"/>
    </xf>
    <xf numFmtId="4" fontId="29" fillId="0" borderId="62" xfId="9" applyNumberFormat="1" applyFont="1" applyBorder="1" applyAlignment="1">
      <alignment horizontal="right" wrapText="1"/>
    </xf>
    <xf numFmtId="2" fontId="29" fillId="0" borderId="62" xfId="9" applyNumberFormat="1" applyFont="1" applyBorder="1" applyAlignment="1">
      <alignment horizontal="right" wrapText="1"/>
    </xf>
    <xf numFmtId="4" fontId="29" fillId="0" borderId="63" xfId="9" applyNumberFormat="1" applyFont="1" applyBorder="1" applyAlignment="1">
      <alignment horizontal="right" wrapText="1"/>
    </xf>
    <xf numFmtId="4" fontId="29" fillId="0" borderId="64" xfId="9" applyNumberFormat="1" applyFont="1" applyBorder="1" applyAlignment="1">
      <alignment horizontal="right" wrapText="1"/>
    </xf>
    <xf numFmtId="4" fontId="29" fillId="0" borderId="65" xfId="9" applyNumberFormat="1" applyFont="1" applyBorder="1" applyAlignment="1">
      <alignment horizontal="right" wrapText="1"/>
    </xf>
    <xf numFmtId="4" fontId="29" fillId="0" borderId="66" xfId="9" applyNumberFormat="1" applyFont="1" applyBorder="1" applyAlignment="1">
      <alignment horizontal="right" wrapText="1"/>
    </xf>
    <xf numFmtId="4" fontId="29" fillId="0" borderId="67" xfId="9" applyNumberFormat="1" applyFont="1" applyBorder="1" applyAlignment="1">
      <alignment horizontal="right" wrapText="1"/>
    </xf>
    <xf numFmtId="2" fontId="29" fillId="0" borderId="67" xfId="9" applyNumberFormat="1" applyFont="1" applyBorder="1" applyAlignment="1">
      <alignment horizontal="right" wrapText="1"/>
    </xf>
    <xf numFmtId="4" fontId="29" fillId="0" borderId="68" xfId="9" applyNumberFormat="1" applyFont="1" applyBorder="1" applyAlignment="1">
      <alignment horizontal="right" wrapText="1"/>
    </xf>
    <xf numFmtId="2" fontId="29" fillId="0" borderId="67" xfId="4" applyNumberFormat="1" applyFont="1" applyBorder="1" applyAlignment="1">
      <alignment horizontal="right" vertical="center" wrapText="1"/>
    </xf>
    <xf numFmtId="0" fontId="29" fillId="0" borderId="62" xfId="9" applyFont="1" applyBorder="1" applyAlignment="1">
      <alignment wrapText="1"/>
    </xf>
    <xf numFmtId="0" fontId="29" fillId="0" borderId="67" xfId="9" applyFont="1" applyBorder="1" applyAlignment="1">
      <alignment wrapText="1"/>
    </xf>
    <xf numFmtId="0" fontId="29" fillId="0" borderId="62" xfId="4" applyFont="1" applyBorder="1" applyAlignment="1">
      <alignment horizontal="left" vertical="center" wrapText="1"/>
    </xf>
    <xf numFmtId="0" fontId="29" fillId="0" borderId="62" xfId="4" applyFont="1" applyBorder="1" applyAlignment="1">
      <alignment vertical="center" wrapText="1"/>
    </xf>
    <xf numFmtId="4" fontId="29" fillId="0" borderId="62" xfId="4" applyNumberFormat="1" applyFont="1" applyBorder="1" applyAlignment="1">
      <alignment horizontal="center" vertical="center" wrapText="1"/>
    </xf>
    <xf numFmtId="2" fontId="29" fillId="0" borderId="62" xfId="4" applyNumberFormat="1" applyFont="1" applyBorder="1" applyAlignment="1">
      <alignment horizontal="center" vertical="center" wrapText="1"/>
    </xf>
    <xf numFmtId="1" fontId="29" fillId="0" borderId="62" xfId="4" applyNumberFormat="1" applyFont="1" applyBorder="1" applyAlignment="1">
      <alignment horizontal="center" vertical="center" wrapText="1"/>
    </xf>
    <xf numFmtId="4" fontId="29" fillId="0" borderId="62" xfId="9" applyNumberFormat="1" applyFont="1" applyBorder="1" applyAlignment="1">
      <alignment horizontal="center" vertical="center" wrapText="1"/>
    </xf>
    <xf numFmtId="4" fontId="47" fillId="0" borderId="63" xfId="4" applyNumberFormat="1" applyFont="1" applyBorder="1" applyAlignment="1">
      <alignment horizontal="center" vertical="center" wrapText="1"/>
    </xf>
    <xf numFmtId="0" fontId="7" fillId="0" borderId="64" xfId="4" applyFont="1" applyBorder="1" applyAlignment="1">
      <alignment horizontal="center" vertical="center" wrapText="1"/>
    </xf>
    <xf numFmtId="4" fontId="47" fillId="0" borderId="65" xfId="4" applyNumberFormat="1" applyFont="1" applyBorder="1" applyAlignment="1">
      <alignment horizontal="center" vertical="center" wrapText="1"/>
    </xf>
    <xf numFmtId="0" fontId="29" fillId="0" borderId="67" xfId="4" applyFont="1" applyBorder="1" applyAlignment="1">
      <alignment horizontal="left" vertical="center" wrapText="1"/>
    </xf>
    <xf numFmtId="0" fontId="29" fillId="0" borderId="67" xfId="4" applyFont="1" applyBorder="1" applyAlignment="1">
      <alignment vertical="center" wrapText="1"/>
    </xf>
    <xf numFmtId="4" fontId="29" fillId="0" borderId="67" xfId="4" applyNumberFormat="1" applyFont="1" applyBorder="1" applyAlignment="1">
      <alignment horizontal="center" vertical="center" wrapText="1"/>
    </xf>
    <xf numFmtId="2" fontId="29" fillId="0" borderId="67" xfId="4" applyNumberFormat="1" applyFont="1" applyBorder="1" applyAlignment="1">
      <alignment horizontal="center" vertical="center" wrapText="1"/>
    </xf>
    <xf numFmtId="1" fontId="29" fillId="0" borderId="67" xfId="4" applyNumberFormat="1" applyFont="1" applyBorder="1" applyAlignment="1">
      <alignment horizontal="center" vertical="center" wrapText="1"/>
    </xf>
    <xf numFmtId="4" fontId="29" fillId="0" borderId="67" xfId="9" applyNumberFormat="1" applyFont="1" applyBorder="1" applyAlignment="1">
      <alignment horizontal="center" vertical="center" wrapText="1"/>
    </xf>
    <xf numFmtId="4" fontId="47" fillId="0" borderId="68" xfId="4" applyNumberFormat="1" applyFont="1" applyBorder="1" applyAlignment="1">
      <alignment horizontal="center" vertical="center" wrapText="1"/>
    </xf>
    <xf numFmtId="168" fontId="29" fillId="0" borderId="61" xfId="4" applyNumberFormat="1" applyFont="1" applyBorder="1" applyAlignment="1">
      <alignment horizontal="center" vertical="center" wrapText="1"/>
    </xf>
    <xf numFmtId="168" fontId="29" fillId="0" borderId="62" xfId="4" applyNumberFormat="1" applyFont="1" applyBorder="1" applyAlignment="1">
      <alignment horizontal="center" vertical="center" wrapText="1"/>
    </xf>
    <xf numFmtId="4" fontId="47" fillId="0" borderId="62" xfId="4" applyNumberFormat="1" applyFont="1" applyBorder="1" applyAlignment="1">
      <alignment horizontal="center" vertical="center" wrapText="1"/>
    </xf>
    <xf numFmtId="4" fontId="47" fillId="0" borderId="63" xfId="4" applyNumberFormat="1" applyFont="1" applyBorder="1" applyAlignment="1">
      <alignment horizontal="right" vertical="center" wrapText="1"/>
    </xf>
    <xf numFmtId="168" fontId="29" fillId="0" borderId="64" xfId="4" applyNumberFormat="1" applyFont="1" applyBorder="1" applyAlignment="1">
      <alignment horizontal="center" vertical="center" wrapText="1"/>
    </xf>
    <xf numFmtId="4" fontId="47" fillId="0" borderId="65" xfId="4" applyNumberFormat="1" applyFont="1" applyBorder="1" applyAlignment="1">
      <alignment horizontal="right" vertical="center" wrapText="1"/>
    </xf>
    <xf numFmtId="168" fontId="29" fillId="0" borderId="66" xfId="4" applyNumberFormat="1" applyFont="1" applyBorder="1" applyAlignment="1">
      <alignment horizontal="center" vertical="center" wrapText="1"/>
    </xf>
    <xf numFmtId="168" fontId="29" fillId="0" borderId="67" xfId="4" applyNumberFormat="1" applyFont="1" applyBorder="1" applyAlignment="1">
      <alignment horizontal="center" vertical="center" wrapText="1"/>
    </xf>
    <xf numFmtId="4" fontId="47" fillId="0" borderId="67" xfId="4" applyNumberFormat="1" applyFont="1" applyBorder="1" applyAlignment="1">
      <alignment horizontal="center" vertical="center" wrapText="1"/>
    </xf>
    <xf numFmtId="4" fontId="47" fillId="0" borderId="68" xfId="4" applyNumberFormat="1" applyFont="1" applyBorder="1" applyAlignment="1">
      <alignment horizontal="right" vertical="center" wrapText="1"/>
    </xf>
    <xf numFmtId="4" fontId="29" fillId="0" borderId="66" xfId="4" applyNumberFormat="1" applyFont="1" applyBorder="1" applyAlignment="1">
      <alignment horizontal="center" vertical="center" wrapText="1"/>
    </xf>
    <xf numFmtId="170" fontId="29" fillId="0" borderId="67" xfId="4" applyNumberFormat="1" applyFont="1" applyBorder="1" applyAlignment="1">
      <alignment vertical="center" wrapText="1"/>
    </xf>
    <xf numFmtId="2" fontId="23" fillId="2" borderId="70" xfId="0" applyNumberFormat="1" applyFont="1" applyFill="1" applyBorder="1" applyAlignment="1">
      <alignment horizontal="center" vertical="center" wrapText="1"/>
    </xf>
    <xf numFmtId="2" fontId="49" fillId="2" borderId="0" xfId="0" applyNumberFormat="1" applyFont="1" applyFill="1" applyAlignment="1">
      <alignment horizontal="center" vertical="center" wrapText="1"/>
    </xf>
    <xf numFmtId="2" fontId="49" fillId="2" borderId="70" xfId="0" applyNumberFormat="1" applyFont="1" applyFill="1" applyBorder="1" applyAlignment="1">
      <alignment horizontal="center" vertical="center" wrapText="1"/>
    </xf>
    <xf numFmtId="0" fontId="25" fillId="8" borderId="0" xfId="4" applyFont="1" applyFill="1" applyAlignment="1">
      <alignment horizontal="center" vertical="center" wrapText="1"/>
    </xf>
    <xf numFmtId="0" fontId="25" fillId="8" borderId="77" xfId="4" applyFont="1" applyFill="1" applyBorder="1" applyAlignment="1">
      <alignment horizontal="center" vertical="center" wrapText="1"/>
    </xf>
    <xf numFmtId="0" fontId="25" fillId="9" borderId="78" xfId="4" applyFont="1" applyFill="1" applyBorder="1" applyAlignment="1">
      <alignment horizontal="center" vertical="center" wrapText="1"/>
    </xf>
    <xf numFmtId="0" fontId="25" fillId="8" borderId="78" xfId="4" applyFont="1" applyFill="1" applyBorder="1" applyAlignment="1">
      <alignment vertical="center" wrapText="1"/>
    </xf>
    <xf numFmtId="0" fontId="25" fillId="8" borderId="78" xfId="4" applyFont="1" applyFill="1" applyBorder="1" applyAlignment="1">
      <alignment horizontal="center" vertical="center" wrapText="1"/>
    </xf>
    <xf numFmtId="0" fontId="31" fillId="7" borderId="78" xfId="4" applyFont="1" applyFill="1" applyBorder="1" applyAlignment="1">
      <alignment horizontal="center" vertical="center" wrapText="1"/>
    </xf>
    <xf numFmtId="0" fontId="25" fillId="8" borderId="86" xfId="4" applyFont="1" applyFill="1" applyBorder="1" applyAlignment="1">
      <alignment horizontal="center" vertical="center" wrapText="1"/>
    </xf>
    <xf numFmtId="0" fontId="6" fillId="0" borderId="69" xfId="0" applyFont="1" applyBorder="1" applyAlignment="1">
      <alignment vertical="center"/>
    </xf>
    <xf numFmtId="0" fontId="6" fillId="0" borderId="70" xfId="0" applyFont="1" applyBorder="1"/>
    <xf numFmtId="0" fontId="12" fillId="16" borderId="77" xfId="0" applyFont="1" applyFill="1" applyBorder="1" applyAlignment="1">
      <alignment vertical="center"/>
    </xf>
    <xf numFmtId="0" fontId="12" fillId="16" borderId="78" xfId="0" applyFont="1" applyFill="1" applyBorder="1"/>
    <xf numFmtId="4" fontId="12" fillId="16" borderId="80" xfId="0" applyNumberFormat="1" applyFont="1" applyFill="1" applyBorder="1"/>
    <xf numFmtId="172" fontId="19" fillId="0" borderId="14" xfId="0" applyNumberFormat="1" applyFont="1" applyBorder="1" applyAlignment="1">
      <alignment horizontal="right"/>
    </xf>
    <xf numFmtId="172" fontId="19" fillId="5" borderId="54" xfId="0" applyNumberFormat="1" applyFont="1" applyFill="1" applyBorder="1" applyAlignment="1">
      <alignment horizontal="right"/>
    </xf>
    <xf numFmtId="172" fontId="5" fillId="5" borderId="54" xfId="0" applyNumberFormat="1" applyFont="1" applyFill="1" applyBorder="1" applyAlignment="1">
      <alignment horizontal="right"/>
    </xf>
    <xf numFmtId="172" fontId="6" fillId="0" borderId="45" xfId="0" applyNumberFormat="1" applyFont="1" applyBorder="1" applyAlignment="1">
      <alignment horizontal="right"/>
    </xf>
    <xf numFmtId="172" fontId="6" fillId="0" borderId="14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center"/>
    </xf>
    <xf numFmtId="166" fontId="6" fillId="0" borderId="14" xfId="0" applyNumberFormat="1" applyFont="1" applyBorder="1" applyAlignment="1">
      <alignment horizontal="center"/>
    </xf>
    <xf numFmtId="166" fontId="6" fillId="2" borderId="14" xfId="0" applyNumberFormat="1" applyFont="1" applyFill="1" applyBorder="1" applyAlignment="1">
      <alignment horizontal="center"/>
    </xf>
    <xf numFmtId="0" fontId="12" fillId="16" borderId="15" xfId="0" applyFont="1" applyFill="1" applyBorder="1" applyAlignment="1">
      <alignment horizontal="center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16" borderId="15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166" fontId="7" fillId="0" borderId="14" xfId="0" applyNumberFormat="1" applyFont="1" applyBorder="1"/>
    <xf numFmtId="0" fontId="12" fillId="16" borderId="18" xfId="0" applyFont="1" applyFill="1" applyBorder="1" applyAlignment="1">
      <alignment horizontal="center" wrapText="1"/>
    </xf>
    <xf numFmtId="0" fontId="6" fillId="0" borderId="45" xfId="0" applyFont="1" applyBorder="1"/>
    <xf numFmtId="0" fontId="32" fillId="14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165" fontId="6" fillId="4" borderId="3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4" borderId="0" xfId="0" applyNumberFormat="1" applyFont="1" applyFill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51" fillId="16" borderId="0" xfId="0" applyFont="1" applyFill="1" applyAlignment="1">
      <alignment horizontal="center"/>
    </xf>
    <xf numFmtId="0" fontId="52" fillId="16" borderId="0" xfId="0" applyFont="1" applyFill="1" applyAlignment="1">
      <alignment horizontal="center" vertical="center" textRotation="90" wrapText="1"/>
    </xf>
    <xf numFmtId="0" fontId="52" fillId="16" borderId="19" xfId="0" applyFont="1" applyFill="1" applyBorder="1" applyAlignment="1">
      <alignment horizontal="center" vertical="center" textRotation="90" wrapText="1"/>
    </xf>
    <xf numFmtId="0" fontId="51" fillId="0" borderId="0" xfId="0" applyFont="1"/>
    <xf numFmtId="0" fontId="52" fillId="16" borderId="0" xfId="0" applyFont="1" applyFill="1" applyAlignment="1">
      <alignment horizontal="center" vertical="center" wrapText="1"/>
    </xf>
    <xf numFmtId="0" fontId="25" fillId="18" borderId="0" xfId="0" applyFont="1" applyFill="1" applyAlignment="1">
      <alignment horizontal="center" vertical="center" textRotation="90" wrapText="1"/>
    </xf>
    <xf numFmtId="0" fontId="25" fillId="18" borderId="0" xfId="0" applyFont="1" applyFill="1" applyAlignment="1">
      <alignment horizontal="center" vertical="center" wrapText="1"/>
    </xf>
    <xf numFmtId="1" fontId="30" fillId="2" borderId="0" xfId="0" applyNumberFormat="1" applyFont="1" applyFill="1" applyAlignment="1">
      <alignment horizontal="center" vertical="center" wrapText="1"/>
    </xf>
    <xf numFmtId="0" fontId="25" fillId="19" borderId="0" xfId="0" applyFont="1" applyFill="1" applyAlignment="1">
      <alignment horizontal="center" vertical="center" textRotation="90" wrapText="1"/>
    </xf>
    <xf numFmtId="0" fontId="25" fillId="19" borderId="0" xfId="0" applyFont="1" applyFill="1" applyAlignment="1">
      <alignment horizontal="center" vertical="center" wrapText="1"/>
    </xf>
    <xf numFmtId="1" fontId="30" fillId="19" borderId="0" xfId="0" applyNumberFormat="1" applyFont="1" applyFill="1" applyAlignment="1">
      <alignment horizontal="center" vertical="center" wrapText="1"/>
    </xf>
    <xf numFmtId="0" fontId="25" fillId="20" borderId="0" xfId="0" applyFont="1" applyFill="1" applyAlignment="1">
      <alignment horizontal="center" vertical="center" textRotation="90" wrapText="1"/>
    </xf>
    <xf numFmtId="0" fontId="25" fillId="20" borderId="0" xfId="0" applyFont="1" applyFill="1" applyAlignment="1">
      <alignment horizontal="center" vertical="center" wrapText="1"/>
    </xf>
    <xf numFmtId="165" fontId="6" fillId="5" borderId="0" xfId="0" applyNumberFormat="1" applyFont="1" applyFill="1" applyAlignment="1">
      <alignment horizontal="center"/>
    </xf>
    <xf numFmtId="2" fontId="23" fillId="2" borderId="19" xfId="0" applyNumberFormat="1" applyFont="1" applyFill="1" applyBorder="1" applyAlignment="1">
      <alignment vertical="center" wrapText="1"/>
    </xf>
    <xf numFmtId="165" fontId="6" fillId="0" borderId="14" xfId="0" applyNumberFormat="1" applyFont="1" applyBorder="1"/>
    <xf numFmtId="165" fontId="6" fillId="0" borderId="2" xfId="0" applyNumberFormat="1" applyFont="1" applyBorder="1"/>
    <xf numFmtId="0" fontId="6" fillId="5" borderId="0" xfId="0" applyFont="1" applyFill="1" applyAlignment="1">
      <alignment horizontal="left"/>
    </xf>
    <xf numFmtId="0" fontId="12" fillId="16" borderId="0" xfId="0" applyFont="1" applyFill="1"/>
    <xf numFmtId="0" fontId="12" fillId="3" borderId="0" xfId="0" applyFont="1" applyFill="1" applyAlignment="1">
      <alignment horizontal="left"/>
    </xf>
    <xf numFmtId="0" fontId="12" fillId="16" borderId="3" xfId="0" applyFont="1" applyFill="1" applyBorder="1" applyAlignment="1">
      <alignment horizontal="left" vertical="center" textRotation="90" wrapText="1"/>
    </xf>
    <xf numFmtId="0" fontId="52" fillId="16" borderId="0" xfId="0" applyFont="1" applyFill="1" applyAlignment="1">
      <alignment horizontal="left" vertical="center" textRotation="90" wrapText="1"/>
    </xf>
    <xf numFmtId="2" fontId="23" fillId="2" borderId="0" xfId="0" applyNumberFormat="1" applyFont="1" applyFill="1" applyAlignment="1">
      <alignment horizontal="left" vertical="center" wrapText="1"/>
    </xf>
    <xf numFmtId="0" fontId="12" fillId="16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12" fillId="16" borderId="15" xfId="0" applyFont="1" applyFill="1" applyBorder="1"/>
    <xf numFmtId="165" fontId="6" fillId="0" borderId="1" xfId="0" applyNumberFormat="1" applyFont="1" applyBorder="1"/>
    <xf numFmtId="165" fontId="6" fillId="2" borderId="14" xfId="0" applyNumberFormat="1" applyFont="1" applyFill="1" applyBorder="1"/>
    <xf numFmtId="165" fontId="6" fillId="2" borderId="1" xfId="0" applyNumberFormat="1" applyFont="1" applyFill="1" applyBorder="1"/>
    <xf numFmtId="165" fontId="6" fillId="2" borderId="2" xfId="0" applyNumberFormat="1" applyFont="1" applyFill="1" applyBorder="1"/>
    <xf numFmtId="0" fontId="12" fillId="16" borderId="15" xfId="0" applyFont="1" applyFill="1" applyBorder="1" applyAlignment="1">
      <alignment horizontal="right"/>
    </xf>
    <xf numFmtId="165" fontId="19" fillId="16" borderId="1" xfId="0" applyNumberFormat="1" applyFont="1" applyFill="1" applyBorder="1"/>
    <xf numFmtId="0" fontId="12" fillId="16" borderId="10" xfId="0" applyFont="1" applyFill="1" applyBorder="1"/>
    <xf numFmtId="172" fontId="15" fillId="0" borderId="14" xfId="0" applyNumberFormat="1" applyFont="1" applyBorder="1" applyAlignment="1">
      <alignment horizontal="right"/>
    </xf>
    <xf numFmtId="0" fontId="54" fillId="0" borderId="0" xfId="0" applyFont="1" applyAlignment="1">
      <alignment horizontal="center"/>
    </xf>
    <xf numFmtId="0" fontId="55" fillId="16" borderId="9" xfId="0" applyFont="1" applyFill="1" applyBorder="1"/>
    <xf numFmtId="0" fontId="55" fillId="0" borderId="0" xfId="0" applyFont="1"/>
    <xf numFmtId="0" fontId="6" fillId="0" borderId="0" xfId="6" applyFont="1" applyAlignment="1">
      <alignment horizontal="center"/>
    </xf>
    <xf numFmtId="0" fontId="6" fillId="0" borderId="3" xfId="6" applyFont="1" applyBorder="1" applyAlignment="1">
      <alignment horizontal="center"/>
    </xf>
    <xf numFmtId="0" fontId="6" fillId="0" borderId="3" xfId="6" applyFont="1" applyBorder="1"/>
    <xf numFmtId="0" fontId="25" fillId="22" borderId="27" xfId="4" applyFont="1" applyFill="1" applyBorder="1" applyAlignment="1">
      <alignment horizontal="center" vertical="center" wrapText="1"/>
    </xf>
    <xf numFmtId="0" fontId="58" fillId="8" borderId="87" xfId="4" applyFont="1" applyFill="1" applyBorder="1" applyAlignment="1">
      <alignment horizontal="center" vertical="center" wrapText="1"/>
    </xf>
    <xf numFmtId="0" fontId="58" fillId="9" borderId="88" xfId="4" applyFont="1" applyFill="1" applyBorder="1" applyAlignment="1">
      <alignment horizontal="center" vertical="center" wrapText="1"/>
    </xf>
    <xf numFmtId="0" fontId="58" fillId="8" borderId="88" xfId="4" applyFont="1" applyFill="1" applyBorder="1" applyAlignment="1">
      <alignment horizontal="center" vertical="center" wrapText="1"/>
    </xf>
    <xf numFmtId="0" fontId="58" fillId="9" borderId="78" xfId="4" applyFont="1" applyFill="1" applyBorder="1" applyAlignment="1">
      <alignment horizontal="center" vertical="center" wrapText="1"/>
    </xf>
    <xf numFmtId="0" fontId="58" fillId="8" borderId="78" xfId="4" applyFont="1" applyFill="1" applyBorder="1" applyAlignment="1">
      <alignment horizontal="center" vertical="center" wrapText="1"/>
    </xf>
    <xf numFmtId="0" fontId="59" fillId="8" borderId="78" xfId="4" applyFont="1" applyFill="1" applyBorder="1" applyAlignment="1">
      <alignment horizontal="center" vertical="center" wrapText="1"/>
    </xf>
    <xf numFmtId="0" fontId="60" fillId="7" borderId="78" xfId="4" applyFont="1" applyFill="1" applyBorder="1" applyAlignment="1">
      <alignment horizontal="center" vertical="center" wrapText="1"/>
    </xf>
    <xf numFmtId="2" fontId="61" fillId="2" borderId="78" xfId="0" applyNumberFormat="1" applyFont="1" applyFill="1" applyBorder="1" applyAlignment="1">
      <alignment horizontal="center" vertical="center" wrapText="1"/>
    </xf>
    <xf numFmtId="0" fontId="62" fillId="7" borderId="78" xfId="4" applyFont="1" applyFill="1" applyBorder="1" applyAlignment="1">
      <alignment horizontal="center" vertical="center" wrapText="1"/>
    </xf>
    <xf numFmtId="0" fontId="63" fillId="10" borderId="78" xfId="4" applyFont="1" applyFill="1" applyBorder="1" applyAlignment="1">
      <alignment horizontal="center" vertical="center" wrapText="1"/>
    </xf>
    <xf numFmtId="0" fontId="42" fillId="0" borderId="0" xfId="0" applyFont="1"/>
    <xf numFmtId="4" fontId="57" fillId="0" borderId="62" xfId="9" applyNumberFormat="1" applyFont="1" applyBorder="1" applyAlignment="1">
      <alignment horizontal="right" wrapText="1"/>
    </xf>
    <xf numFmtId="4" fontId="57" fillId="0" borderId="60" xfId="9" applyNumberFormat="1" applyFont="1" applyBorder="1" applyAlignment="1">
      <alignment horizontal="right" wrapText="1"/>
    </xf>
    <xf numFmtId="4" fontId="57" fillId="0" borderId="67" xfId="9" applyNumberFormat="1" applyFont="1" applyBorder="1" applyAlignment="1">
      <alignment horizontal="right" wrapText="1"/>
    </xf>
    <xf numFmtId="2" fontId="64" fillId="2" borderId="0" xfId="0" applyNumberFormat="1" applyFont="1" applyFill="1" applyAlignment="1">
      <alignment horizontal="center" vertical="center" wrapText="1"/>
    </xf>
    <xf numFmtId="0" fontId="30" fillId="21" borderId="0" xfId="0" applyFont="1" applyFill="1" applyAlignment="1">
      <alignment horizontal="left"/>
    </xf>
    <xf numFmtId="0" fontId="30" fillId="21" borderId="0" xfId="0" applyFont="1" applyFill="1" applyAlignment="1">
      <alignment horizontal="right"/>
    </xf>
    <xf numFmtId="4" fontId="56" fillId="21" borderId="0" xfId="0" applyNumberFormat="1" applyFont="1" applyFill="1"/>
    <xf numFmtId="0" fontId="30" fillId="21" borderId="0" xfId="0" applyFont="1" applyFill="1"/>
    <xf numFmtId="4" fontId="6" fillId="0" borderId="0" xfId="0" applyNumberFormat="1" applyFont="1"/>
    <xf numFmtId="4" fontId="7" fillId="0" borderId="7" xfId="0" applyNumberFormat="1" applyFont="1" applyBorder="1" applyAlignment="1">
      <alignment vertical="center"/>
    </xf>
    <xf numFmtId="4" fontId="13" fillId="15" borderId="9" xfId="0" applyNumberFormat="1" applyFont="1" applyFill="1" applyBorder="1" applyAlignment="1">
      <alignment horizontal="left" vertical="center"/>
    </xf>
    <xf numFmtId="0" fontId="46" fillId="0" borderId="0" xfId="0" applyFont="1"/>
    <xf numFmtId="0" fontId="0" fillId="0" borderId="90" xfId="0" applyBorder="1"/>
    <xf numFmtId="14" fontId="65" fillId="23" borderId="90" xfId="0" applyNumberFormat="1" applyFont="1" applyFill="1" applyBorder="1"/>
    <xf numFmtId="9" fontId="65" fillId="23" borderId="90" xfId="0" applyNumberFormat="1" applyFont="1" applyFill="1" applyBorder="1"/>
    <xf numFmtId="165" fontId="36" fillId="2" borderId="14" xfId="0" applyNumberFormat="1" applyFont="1" applyFill="1" applyBorder="1"/>
    <xf numFmtId="0" fontId="36" fillId="2" borderId="1" xfId="0" applyFont="1" applyFill="1" applyBorder="1"/>
    <xf numFmtId="10" fontId="65" fillId="23" borderId="90" xfId="0" applyNumberFormat="1" applyFont="1" applyFill="1" applyBorder="1"/>
    <xf numFmtId="0" fontId="12" fillId="16" borderId="93" xfId="0" applyFont="1" applyFill="1" applyBorder="1"/>
    <xf numFmtId="0" fontId="12" fillId="16" borderId="94" xfId="0" applyFont="1" applyFill="1" applyBorder="1"/>
    <xf numFmtId="0" fontId="12" fillId="16" borderId="95" xfId="0" applyFont="1" applyFill="1" applyBorder="1"/>
    <xf numFmtId="10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vertical="center"/>
    </xf>
    <xf numFmtId="10" fontId="67" fillId="0" borderId="0" xfId="0" applyNumberFormat="1" applyFont="1" applyAlignment="1">
      <alignment horizontal="center" vertical="center"/>
    </xf>
    <xf numFmtId="170" fontId="0" fillId="0" borderId="90" xfId="0" applyNumberFormat="1" applyBorder="1"/>
    <xf numFmtId="0" fontId="46" fillId="0" borderId="0" xfId="0" applyFont="1" applyAlignment="1">
      <alignment horizontal="center"/>
    </xf>
    <xf numFmtId="2" fontId="68" fillId="16" borderId="15" xfId="0" applyNumberFormat="1" applyFont="1" applyFill="1" applyBorder="1"/>
    <xf numFmtId="0" fontId="55" fillId="16" borderId="0" xfId="0" applyFont="1" applyFill="1"/>
    <xf numFmtId="172" fontId="6" fillId="0" borderId="8" xfId="0" applyNumberFormat="1" applyFont="1" applyBorder="1" applyAlignment="1">
      <alignment horizontal="right"/>
    </xf>
    <xf numFmtId="172" fontId="19" fillId="0" borderId="8" xfId="0" applyNumberFormat="1" applyFont="1" applyBorder="1" applyAlignment="1">
      <alignment horizontal="right"/>
    </xf>
    <xf numFmtId="172" fontId="15" fillId="0" borderId="8" xfId="0" applyNumberFormat="1" applyFont="1" applyBorder="1" applyAlignment="1">
      <alignment horizontal="right"/>
    </xf>
    <xf numFmtId="172" fontId="19" fillId="5" borderId="96" xfId="0" applyNumberFormat="1" applyFont="1" applyFill="1" applyBorder="1" applyAlignment="1">
      <alignment horizontal="right"/>
    </xf>
    <xf numFmtId="172" fontId="5" fillId="5" borderId="96" xfId="0" applyNumberFormat="1" applyFont="1" applyFill="1" applyBorder="1" applyAlignment="1">
      <alignment horizontal="right"/>
    </xf>
    <xf numFmtId="172" fontId="6" fillId="0" borderId="97" xfId="0" applyNumberFormat="1" applyFont="1" applyBorder="1" applyAlignment="1">
      <alignment horizontal="right"/>
    </xf>
    <xf numFmtId="2" fontId="69" fillId="16" borderId="0" xfId="0" applyNumberFormat="1" applyFont="1" applyFill="1" applyAlignment="1">
      <alignment horizontal="center"/>
    </xf>
    <xf numFmtId="2" fontId="69" fillId="16" borderId="10" xfId="0" applyNumberFormat="1" applyFont="1" applyFill="1" applyBorder="1" applyAlignment="1">
      <alignment horizontal="center"/>
    </xf>
    <xf numFmtId="10" fontId="6" fillId="4" borderId="3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165" fontId="70" fillId="0" borderId="0" xfId="0" applyNumberFormat="1" applyFont="1" applyAlignment="1">
      <alignment vertical="center"/>
    </xf>
    <xf numFmtId="166" fontId="15" fillId="0" borderId="14" xfId="0" applyNumberFormat="1" applyFont="1" applyBorder="1" applyAlignment="1">
      <alignment horizontal="center"/>
    </xf>
    <xf numFmtId="165" fontId="15" fillId="4" borderId="14" xfId="0" applyNumberFormat="1" applyFont="1" applyFill="1" applyBorder="1"/>
    <xf numFmtId="165" fontId="15" fillId="4" borderId="1" xfId="0" applyNumberFormat="1" applyFont="1" applyFill="1" applyBorder="1"/>
    <xf numFmtId="165" fontId="15" fillId="4" borderId="2" xfId="0" applyNumberFormat="1" applyFont="1" applyFill="1" applyBorder="1"/>
    <xf numFmtId="0" fontId="15" fillId="4" borderId="14" xfId="0" applyFont="1" applyFill="1" applyBorder="1"/>
    <xf numFmtId="0" fontId="15" fillId="4" borderId="1" xfId="0" applyFont="1" applyFill="1" applyBorder="1"/>
    <xf numFmtId="0" fontId="15" fillId="4" borderId="2" xfId="0" applyFont="1" applyFill="1" applyBorder="1"/>
    <xf numFmtId="0" fontId="19" fillId="16" borderId="0" xfId="0" applyFont="1" applyFill="1"/>
    <xf numFmtId="0" fontId="14" fillId="4" borderId="39" xfId="0" applyFont="1" applyFill="1" applyBorder="1" applyAlignment="1">
      <alignment horizontal="center"/>
    </xf>
    <xf numFmtId="0" fontId="25" fillId="4" borderId="40" xfId="0" applyFont="1" applyFill="1" applyBorder="1" applyAlignment="1">
      <alignment horizontal="right"/>
    </xf>
    <xf numFmtId="2" fontId="7" fillId="4" borderId="41" xfId="0" applyNumberFormat="1" applyFont="1" applyFill="1" applyBorder="1" applyAlignment="1">
      <alignment horizontal="center"/>
    </xf>
    <xf numFmtId="0" fontId="38" fillId="16" borderId="0" xfId="0" applyFont="1" applyFill="1" applyAlignment="1">
      <alignment horizontal="center" vertical="center"/>
    </xf>
    <xf numFmtId="10" fontId="15" fillId="24" borderId="0" xfId="3" applyNumberFormat="1" applyFont="1" applyFill="1" applyBorder="1" applyAlignment="1">
      <alignment horizontal="center" vertical="center" wrapText="1"/>
    </xf>
    <xf numFmtId="0" fontId="15" fillId="21" borderId="0" xfId="0" applyFont="1" applyFill="1" applyAlignment="1">
      <alignment horizontal="center"/>
    </xf>
    <xf numFmtId="9" fontId="72" fillId="21" borderId="0" xfId="0" applyNumberFormat="1" applyFont="1" applyFill="1"/>
    <xf numFmtId="0" fontId="6" fillId="21" borderId="7" xfId="0" applyFont="1" applyFill="1" applyBorder="1" applyAlignment="1">
      <alignment horizontal="center" vertical="center"/>
    </xf>
    <xf numFmtId="0" fontId="17" fillId="21" borderId="3" xfId="0" applyFont="1" applyFill="1" applyBorder="1" applyAlignment="1">
      <alignment horizontal="center" vertical="center"/>
    </xf>
    <xf numFmtId="0" fontId="6" fillId="21" borderId="7" xfId="0" applyFont="1" applyFill="1" applyBorder="1" applyAlignment="1">
      <alignment vertical="center"/>
    </xf>
    <xf numFmtId="3" fontId="6" fillId="21" borderId="7" xfId="0" applyNumberFormat="1" applyFont="1" applyFill="1" applyBorder="1" applyAlignment="1">
      <alignment vertical="center"/>
    </xf>
    <xf numFmtId="0" fontId="15" fillId="21" borderId="2" xfId="0" applyFont="1" applyFill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0" fontId="13" fillId="15" borderId="9" xfId="0" applyFont="1" applyFill="1" applyBorder="1" applyAlignment="1">
      <alignment horizontal="left" vertical="center"/>
    </xf>
    <xf numFmtId="2" fontId="7" fillId="0" borderId="7" xfId="0" applyNumberFormat="1" applyFont="1" applyBorder="1" applyAlignment="1">
      <alignment vertical="center"/>
    </xf>
    <xf numFmtId="2" fontId="13" fillId="15" borderId="9" xfId="0" applyNumberFormat="1" applyFont="1" applyFill="1" applyBorder="1" applyAlignment="1">
      <alignment horizontal="left" vertical="center"/>
    </xf>
    <xf numFmtId="4" fontId="6" fillId="0" borderId="3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4" fontId="6" fillId="21" borderId="3" xfId="0" applyNumberFormat="1" applyFont="1" applyFill="1" applyBorder="1" applyAlignment="1">
      <alignment horizontal="center"/>
    </xf>
    <xf numFmtId="2" fontId="5" fillId="15" borderId="0" xfId="0" applyNumberFormat="1" applyFont="1" applyFill="1" applyAlignment="1">
      <alignment horizontal="center" vertical="center"/>
    </xf>
    <xf numFmtId="165" fontId="7" fillId="24" borderId="3" xfId="0" applyNumberFormat="1" applyFont="1" applyFill="1" applyBorder="1" applyAlignment="1">
      <alignment vertical="center"/>
    </xf>
    <xf numFmtId="165" fontId="7" fillId="24" borderId="0" xfId="0" applyNumberFormat="1" applyFont="1" applyFill="1" applyAlignment="1">
      <alignment vertical="center"/>
    </xf>
    <xf numFmtId="0" fontId="12" fillId="16" borderId="21" xfId="0" applyFont="1" applyFill="1" applyBorder="1" applyAlignment="1">
      <alignment horizontal="center"/>
    </xf>
    <xf numFmtId="0" fontId="12" fillId="16" borderId="22" xfId="0" applyFont="1" applyFill="1" applyBorder="1" applyAlignment="1">
      <alignment horizontal="center"/>
    </xf>
    <xf numFmtId="0" fontId="12" fillId="16" borderId="30" xfId="0" applyFont="1" applyFill="1" applyBorder="1" applyAlignment="1">
      <alignment horizontal="center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left"/>
    </xf>
    <xf numFmtId="9" fontId="6" fillId="0" borderId="48" xfId="0" applyNumberFormat="1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9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9" fillId="0" borderId="7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5" borderId="49" xfId="0" applyFont="1" applyFill="1" applyBorder="1" applyAlignment="1">
      <alignment horizontal="left"/>
    </xf>
    <xf numFmtId="0" fontId="19" fillId="5" borderId="50" xfId="0" applyFont="1" applyFill="1" applyBorder="1" applyAlignment="1">
      <alignment horizontal="left"/>
    </xf>
    <xf numFmtId="9" fontId="6" fillId="5" borderId="50" xfId="0" applyNumberFormat="1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19" fillId="0" borderId="51" xfId="0" applyFont="1" applyBorder="1" applyAlignment="1">
      <alignment horizontal="left"/>
    </xf>
    <xf numFmtId="0" fontId="19" fillId="0" borderId="52" xfId="0" applyFont="1" applyBorder="1" applyAlignment="1">
      <alignment horizontal="left"/>
    </xf>
    <xf numFmtId="9" fontId="6" fillId="0" borderId="52" xfId="0" applyNumberFormat="1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9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9" fontId="6" fillId="0" borderId="8" xfId="0" applyNumberFormat="1" applyFont="1" applyBorder="1" applyAlignment="1">
      <alignment horizontal="center"/>
    </xf>
    <xf numFmtId="0" fontId="19" fillId="2" borderId="9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165" fontId="19" fillId="2" borderId="44" xfId="0" applyNumberFormat="1" applyFont="1" applyFill="1" applyBorder="1" applyAlignment="1">
      <alignment horizontal="right"/>
    </xf>
    <xf numFmtId="165" fontId="19" fillId="2" borderId="0" xfId="0" applyNumberFormat="1" applyFont="1" applyFill="1" applyAlignment="1">
      <alignment horizontal="right"/>
    </xf>
    <xf numFmtId="165" fontId="19" fillId="2" borderId="10" xfId="0" applyNumberFormat="1" applyFont="1" applyFill="1" applyBorder="1" applyAlignment="1">
      <alignment horizontal="right"/>
    </xf>
    <xf numFmtId="0" fontId="19" fillId="2" borderId="11" xfId="0" applyFont="1" applyFill="1" applyBorder="1" applyAlignment="1">
      <alignment horizontal="left"/>
    </xf>
    <xf numFmtId="0" fontId="19" fillId="2" borderId="12" xfId="0" applyFont="1" applyFill="1" applyBorder="1" applyAlignment="1">
      <alignment horizontal="left"/>
    </xf>
    <xf numFmtId="165" fontId="19" fillId="2" borderId="56" xfId="0" applyNumberFormat="1" applyFont="1" applyFill="1" applyBorder="1" applyAlignment="1">
      <alignment horizontal="right"/>
    </xf>
    <xf numFmtId="165" fontId="19" fillId="2" borderId="12" xfId="0" applyNumberFormat="1" applyFont="1" applyFill="1" applyBorder="1" applyAlignment="1">
      <alignment horizontal="right"/>
    </xf>
    <xf numFmtId="165" fontId="19" fillId="2" borderId="13" xfId="0" applyNumberFormat="1" applyFont="1" applyFill="1" applyBorder="1" applyAlignment="1">
      <alignment horizontal="right"/>
    </xf>
    <xf numFmtId="166" fontId="6" fillId="0" borderId="53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0" fontId="6" fillId="0" borderId="49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9" fontId="6" fillId="0" borderId="50" xfId="0" applyNumberFormat="1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66" fontId="6" fillId="0" borderId="54" xfId="0" applyNumberFormat="1" applyFont="1" applyBorder="1" applyAlignment="1">
      <alignment horizontal="center"/>
    </xf>
    <xf numFmtId="166" fontId="6" fillId="0" borderId="55" xfId="0" applyNumberFormat="1" applyFont="1" applyBorder="1" applyAlignment="1">
      <alignment horizontal="center"/>
    </xf>
    <xf numFmtId="166" fontId="6" fillId="0" borderId="58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5" fontId="19" fillId="2" borderId="12" xfId="0" applyNumberFormat="1" applyFont="1" applyFill="1" applyBorder="1" applyAlignment="1">
      <alignment horizontal="center"/>
    </xf>
    <xf numFmtId="9" fontId="19" fillId="2" borderId="12" xfId="0" applyNumberFormat="1" applyFont="1" applyFill="1" applyBorder="1" applyAlignment="1">
      <alignment horizontal="center"/>
    </xf>
    <xf numFmtId="9" fontId="19" fillId="2" borderId="13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4" fontId="6" fillId="0" borderId="14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57" xfId="0" applyNumberFormat="1" applyFont="1" applyBorder="1" applyAlignment="1">
      <alignment horizontal="center" vertical="center"/>
    </xf>
    <xf numFmtId="0" fontId="6" fillId="0" borderId="91" xfId="0" applyFont="1" applyBorder="1" applyAlignment="1">
      <alignment horizontal="left"/>
    </xf>
    <xf numFmtId="0" fontId="6" fillId="0" borderId="92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19" fillId="16" borderId="0" xfId="0" applyFont="1" applyFill="1" applyAlignment="1">
      <alignment horizontal="left"/>
    </xf>
    <xf numFmtId="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1" fillId="5" borderId="3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5" fillId="4" borderId="14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0" fontId="12" fillId="16" borderId="0" xfId="0" applyFont="1" applyFill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12" fillId="16" borderId="15" xfId="0" applyFont="1" applyFill="1" applyBorder="1" applyAlignment="1">
      <alignment horizontal="center"/>
    </xf>
    <xf numFmtId="0" fontId="12" fillId="16" borderId="14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5" fontId="6" fillId="5" borderId="2" xfId="0" applyNumberFormat="1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165" fontId="6" fillId="5" borderId="2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" fontId="7" fillId="0" borderId="14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5" borderId="14" xfId="0" applyNumberFormat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/>
    </xf>
    <xf numFmtId="4" fontId="6" fillId="5" borderId="2" xfId="0" applyNumberFormat="1" applyFont="1" applyFill="1" applyBorder="1" applyAlignment="1">
      <alignment horizontal="center"/>
    </xf>
    <xf numFmtId="165" fontId="42" fillId="5" borderId="14" xfId="0" applyNumberFormat="1" applyFont="1" applyFill="1" applyBorder="1" applyAlignment="1">
      <alignment horizontal="center"/>
    </xf>
    <xf numFmtId="165" fontId="42" fillId="5" borderId="1" xfId="0" applyNumberFormat="1" applyFont="1" applyFill="1" applyBorder="1" applyAlignment="1">
      <alignment horizontal="center"/>
    </xf>
    <xf numFmtId="165" fontId="42" fillId="5" borderId="2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9" fontId="7" fillId="0" borderId="14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6" fillId="0" borderId="14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9" fillId="2" borderId="1" xfId="0" applyNumberFormat="1" applyFont="1" applyFill="1" applyBorder="1" applyAlignment="1">
      <alignment horizontal="right"/>
    </xf>
    <xf numFmtId="165" fontId="19" fillId="2" borderId="2" xfId="0" applyNumberFormat="1" applyFont="1" applyFill="1" applyBorder="1" applyAlignment="1">
      <alignment horizontal="right"/>
    </xf>
    <xf numFmtId="9" fontId="6" fillId="0" borderId="14" xfId="0" applyNumberFormat="1" applyFont="1" applyBorder="1" applyAlignment="1">
      <alignment horizontal="center"/>
    </xf>
    <xf numFmtId="165" fontId="19" fillId="16" borderId="1" xfId="0" applyNumberFormat="1" applyFont="1" applyFill="1" applyBorder="1" applyAlignment="1">
      <alignment horizontal="right"/>
    </xf>
    <xf numFmtId="165" fontId="19" fillId="16" borderId="2" xfId="0" applyNumberFormat="1" applyFont="1" applyFill="1" applyBorder="1" applyAlignment="1">
      <alignment horizontal="right"/>
    </xf>
    <xf numFmtId="165" fontId="19" fillId="2" borderId="1" xfId="0" applyNumberFormat="1" applyFont="1" applyFill="1" applyBorder="1"/>
    <xf numFmtId="0" fontId="19" fillId="2" borderId="1" xfId="0" applyFont="1" applyFill="1" applyBorder="1"/>
    <xf numFmtId="165" fontId="6" fillId="0" borderId="14" xfId="0" applyNumberFormat="1" applyFont="1" applyBorder="1"/>
    <xf numFmtId="165" fontId="6" fillId="0" borderId="2" xfId="0" applyNumberFormat="1" applyFont="1" applyBorder="1"/>
    <xf numFmtId="0" fontId="12" fillId="16" borderId="15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4" fontId="53" fillId="16" borderId="1" xfId="0" applyNumberFormat="1" applyFont="1" applyFill="1" applyBorder="1" applyAlignment="1">
      <alignment horizontal="center" vertical="center" wrapText="1"/>
    </xf>
    <xf numFmtId="0" fontId="53" fillId="16" borderId="1" xfId="0" applyFont="1" applyFill="1" applyBorder="1" applyAlignment="1">
      <alignment horizontal="center" vertical="center" wrapText="1"/>
    </xf>
    <xf numFmtId="165" fontId="19" fillId="0" borderId="14" xfId="0" applyNumberFormat="1" applyFont="1" applyBorder="1"/>
    <xf numFmtId="165" fontId="19" fillId="0" borderId="1" xfId="0" applyNumberFormat="1" applyFont="1" applyBorder="1"/>
    <xf numFmtId="165" fontId="19" fillId="0" borderId="2" xfId="0" applyNumberFormat="1" applyFont="1" applyBorder="1"/>
    <xf numFmtId="0" fontId="4" fillId="13" borderId="0" xfId="0" applyFont="1" applyFill="1" applyAlignment="1">
      <alignment horizontal="center" vertical="center"/>
    </xf>
    <xf numFmtId="0" fontId="12" fillId="14" borderId="0" xfId="0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2" fillId="16" borderId="3" xfId="0" applyFont="1" applyFill="1" applyBorder="1" applyAlignment="1">
      <alignment horizontal="center" vertical="center" wrapText="1"/>
    </xf>
    <xf numFmtId="0" fontId="32" fillId="14" borderId="0" xfId="0" applyFont="1" applyFill="1" applyAlignment="1">
      <alignment horizontal="left" vertical="center"/>
    </xf>
    <xf numFmtId="0" fontId="38" fillId="16" borderId="0" xfId="0" applyFont="1" applyFill="1" applyAlignment="1">
      <alignment horizontal="center" vertical="center" wrapText="1"/>
    </xf>
    <xf numFmtId="0" fontId="38" fillId="16" borderId="0" xfId="0" applyFont="1" applyFill="1" applyAlignment="1">
      <alignment horizontal="center" vertical="center"/>
    </xf>
    <xf numFmtId="2" fontId="23" fillId="2" borderId="19" xfId="0" applyNumberFormat="1" applyFont="1" applyFill="1" applyBorder="1" applyAlignment="1">
      <alignment horizontal="center" vertical="center" wrapText="1"/>
    </xf>
    <xf numFmtId="0" fontId="12" fillId="16" borderId="0" xfId="0" applyFont="1" applyFill="1" applyAlignment="1">
      <alignment horizontal="right"/>
    </xf>
    <xf numFmtId="0" fontId="36" fillId="12" borderId="42" xfId="0" applyFont="1" applyFill="1" applyBorder="1" applyAlignment="1">
      <alignment horizontal="center" vertical="center"/>
    </xf>
    <xf numFmtId="44" fontId="6" fillId="2" borderId="14" xfId="0" applyNumberFormat="1" applyFont="1" applyFill="1" applyBorder="1" applyAlignment="1">
      <alignment horizontal="center"/>
    </xf>
    <xf numFmtId="44" fontId="6" fillId="2" borderId="1" xfId="0" applyNumberFormat="1" applyFont="1" applyFill="1" applyBorder="1" applyAlignment="1">
      <alignment horizontal="center"/>
    </xf>
    <xf numFmtId="44" fontId="19" fillId="2" borderId="1" xfId="0" applyNumberFormat="1" applyFont="1" applyFill="1" applyBorder="1" applyAlignment="1">
      <alignment horizontal="center"/>
    </xf>
    <xf numFmtId="44" fontId="6" fillId="0" borderId="14" xfId="0" applyNumberFormat="1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44" fontId="6" fillId="0" borderId="2" xfId="0" applyNumberFormat="1" applyFont="1" applyBorder="1" applyAlignment="1">
      <alignment horizontal="center"/>
    </xf>
    <xf numFmtId="44" fontId="6" fillId="0" borderId="3" xfId="0" applyNumberFormat="1" applyFont="1" applyBorder="1" applyAlignment="1">
      <alignment horizontal="right"/>
    </xf>
    <xf numFmtId="44" fontId="12" fillId="16" borderId="1" xfId="6" applyNumberFormat="1" applyFont="1" applyFill="1" applyBorder="1" applyAlignment="1">
      <alignment horizontal="center"/>
    </xf>
    <xf numFmtId="0" fontId="12" fillId="16" borderId="3" xfId="6" applyFont="1" applyFill="1" applyBorder="1" applyAlignment="1">
      <alignment horizontal="left"/>
    </xf>
    <xf numFmtId="44" fontId="6" fillId="0" borderId="14" xfId="6" applyNumberFormat="1" applyFont="1" applyBorder="1" applyAlignment="1">
      <alignment horizontal="center"/>
    </xf>
    <xf numFmtId="44" fontId="6" fillId="0" borderId="1" xfId="6" applyNumberFormat="1" applyFont="1" applyBorder="1" applyAlignment="1">
      <alignment horizontal="center"/>
    </xf>
    <xf numFmtId="44" fontId="6" fillId="0" borderId="2" xfId="6" applyNumberFormat="1" applyFont="1" applyBorder="1" applyAlignment="1">
      <alignment horizontal="center"/>
    </xf>
    <xf numFmtId="44" fontId="6" fillId="0" borderId="3" xfId="6" applyNumberFormat="1" applyFont="1" applyBorder="1" applyAlignment="1">
      <alignment horizontal="right"/>
    </xf>
    <xf numFmtId="0" fontId="12" fillId="16" borderId="15" xfId="6" applyFont="1" applyFill="1" applyBorder="1" applyAlignment="1">
      <alignment horizontal="center" vertical="center"/>
    </xf>
    <xf numFmtId="0" fontId="12" fillId="16" borderId="17" xfId="6" applyFont="1" applyFill="1" applyBorder="1" applyAlignment="1">
      <alignment horizontal="center" vertical="center"/>
    </xf>
    <xf numFmtId="0" fontId="12" fillId="16" borderId="14" xfId="6" applyFont="1" applyFill="1" applyBorder="1" applyAlignment="1">
      <alignment horizontal="center" vertical="center" wrapText="1"/>
    </xf>
    <xf numFmtId="0" fontId="12" fillId="16" borderId="1" xfId="6" applyFont="1" applyFill="1" applyBorder="1" applyAlignment="1">
      <alignment horizontal="center" vertical="center" wrapText="1"/>
    </xf>
    <xf numFmtId="0" fontId="12" fillId="16" borderId="2" xfId="6" applyFont="1" applyFill="1" applyBorder="1" applyAlignment="1">
      <alignment horizontal="center" vertical="center" wrapText="1"/>
    </xf>
    <xf numFmtId="0" fontId="30" fillId="7" borderId="34" xfId="4" applyFont="1" applyFill="1" applyBorder="1" applyAlignment="1">
      <alignment horizontal="center" vertical="center" wrapText="1"/>
    </xf>
    <xf numFmtId="0" fontId="30" fillId="7" borderId="37" xfId="4" applyFont="1" applyFill="1" applyBorder="1" applyAlignment="1">
      <alignment horizontal="center" vertical="center" wrapText="1"/>
    </xf>
    <xf numFmtId="0" fontId="30" fillId="7" borderId="35" xfId="4" applyFont="1" applyFill="1" applyBorder="1" applyAlignment="1">
      <alignment horizontal="center" vertical="center" wrapText="1"/>
    </xf>
    <xf numFmtId="0" fontId="30" fillId="7" borderId="0" xfId="4" applyFont="1" applyFill="1" applyAlignment="1">
      <alignment horizontal="center" vertical="center" wrapText="1"/>
    </xf>
    <xf numFmtId="0" fontId="30" fillId="7" borderId="36" xfId="4" applyFont="1" applyFill="1" applyBorder="1" applyAlignment="1">
      <alignment horizontal="center" vertical="center" wrapText="1"/>
    </xf>
    <xf numFmtId="0" fontId="30" fillId="7" borderId="41" xfId="4" applyFont="1" applyFill="1" applyBorder="1" applyAlignment="1">
      <alignment horizontal="center" vertical="center" wrapText="1"/>
    </xf>
    <xf numFmtId="0" fontId="30" fillId="7" borderId="39" xfId="4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38" xfId="0" applyFont="1" applyFill="1" applyBorder="1" applyAlignment="1">
      <alignment horizontal="center" vertical="center" wrapText="1"/>
    </xf>
    <xf numFmtId="0" fontId="30" fillId="7" borderId="40" xfId="4" applyFont="1" applyFill="1" applyBorder="1" applyAlignment="1">
      <alignment horizontal="center" vertical="center" wrapText="1"/>
    </xf>
    <xf numFmtId="0" fontId="30" fillId="7" borderId="38" xfId="4" applyFont="1" applyFill="1" applyBorder="1" applyAlignment="1">
      <alignment horizontal="center" vertical="center" wrapText="1"/>
    </xf>
    <xf numFmtId="0" fontId="4" fillId="14" borderId="81" xfId="0" applyFont="1" applyFill="1" applyBorder="1" applyAlignment="1">
      <alignment horizontal="center" vertical="center"/>
    </xf>
    <xf numFmtId="0" fontId="4" fillId="14" borderId="82" xfId="0" applyFont="1" applyFill="1" applyBorder="1" applyAlignment="1">
      <alignment horizontal="center" vertical="center"/>
    </xf>
    <xf numFmtId="0" fontId="4" fillId="14" borderId="83" xfId="0" applyFont="1" applyFill="1" applyBorder="1" applyAlignment="1">
      <alignment horizontal="center" vertical="center"/>
    </xf>
    <xf numFmtId="0" fontId="30" fillId="7" borderId="27" xfId="4" applyFont="1" applyFill="1" applyBorder="1" applyAlignment="1">
      <alignment horizontal="center" vertical="center" wrapText="1"/>
    </xf>
    <xf numFmtId="0" fontId="30" fillId="21" borderId="0" xfId="0" applyFont="1" applyFill="1" applyAlignment="1">
      <alignment horizontal="right"/>
    </xf>
    <xf numFmtId="2" fontId="25" fillId="2" borderId="69" xfId="0" applyNumberFormat="1" applyFont="1" applyFill="1" applyBorder="1" applyAlignment="1">
      <alignment horizontal="center" vertical="center" wrapText="1"/>
    </xf>
    <xf numFmtId="2" fontId="25" fillId="2" borderId="0" xfId="0" applyNumberFormat="1" applyFont="1" applyFill="1" applyAlignment="1">
      <alignment horizontal="center" vertical="center" wrapText="1"/>
    </xf>
    <xf numFmtId="0" fontId="4" fillId="10" borderId="27" xfId="4" applyFont="1" applyFill="1" applyBorder="1" applyAlignment="1">
      <alignment horizontal="center" vertical="center" wrapText="1"/>
    </xf>
    <xf numFmtId="0" fontId="4" fillId="17" borderId="84" xfId="4" applyFont="1" applyFill="1" applyBorder="1" applyAlignment="1">
      <alignment horizontal="center" vertical="center" wrapText="1"/>
    </xf>
    <xf numFmtId="0" fontId="4" fillId="17" borderId="89" xfId="4" applyFont="1" applyFill="1" applyBorder="1" applyAlignment="1">
      <alignment horizontal="center" vertical="center" wrapText="1"/>
    </xf>
    <xf numFmtId="0" fontId="30" fillId="7" borderId="26" xfId="4" applyFont="1" applyFill="1" applyBorder="1" applyAlignment="1">
      <alignment horizontal="center" vertical="center" wrapText="1"/>
    </xf>
    <xf numFmtId="0" fontId="30" fillId="7" borderId="23" xfId="4" applyFont="1" applyFill="1" applyBorder="1" applyAlignment="1">
      <alignment horizontal="center" vertical="center" wrapText="1"/>
    </xf>
    <xf numFmtId="0" fontId="4" fillId="17" borderId="59" xfId="4" applyFont="1" applyFill="1" applyBorder="1" applyAlignment="1">
      <alignment horizontal="center" vertical="center" wrapText="1"/>
    </xf>
    <xf numFmtId="0" fontId="25" fillId="22" borderId="24" xfId="4" applyFont="1" applyFill="1" applyBorder="1" applyAlignment="1">
      <alignment horizontal="center" vertical="center" wrapText="1"/>
    </xf>
    <xf numFmtId="0" fontId="25" fillId="22" borderId="25" xfId="4" applyFont="1" applyFill="1" applyBorder="1" applyAlignment="1">
      <alignment horizontal="center" vertical="center" wrapText="1"/>
    </xf>
    <xf numFmtId="0" fontId="30" fillId="8" borderId="27" xfId="4" applyFont="1" applyFill="1" applyBorder="1" applyAlignment="1">
      <alignment horizontal="center" vertical="center" wrapText="1"/>
    </xf>
    <xf numFmtId="0" fontId="25" fillId="7" borderId="26" xfId="4" applyFont="1" applyFill="1" applyBorder="1" applyAlignment="1">
      <alignment horizontal="center" vertical="center" wrapText="1"/>
    </xf>
    <xf numFmtId="0" fontId="25" fillId="7" borderId="23" xfId="4" applyFont="1" applyFill="1" applyBorder="1" applyAlignment="1">
      <alignment horizontal="center" vertical="center" wrapText="1"/>
    </xf>
    <xf numFmtId="0" fontId="25" fillId="7" borderId="28" xfId="4" applyFont="1" applyFill="1" applyBorder="1" applyAlignment="1">
      <alignment horizontal="center" vertical="center" wrapText="1"/>
    </xf>
    <xf numFmtId="0" fontId="25" fillId="7" borderId="33" xfId="4" applyFont="1" applyFill="1" applyBorder="1" applyAlignment="1">
      <alignment horizontal="center" vertical="center" wrapText="1"/>
    </xf>
    <xf numFmtId="0" fontId="25" fillId="7" borderId="31" xfId="4" applyFont="1" applyFill="1" applyBorder="1" applyAlignment="1">
      <alignment horizontal="center" vertical="center" wrapText="1"/>
    </xf>
    <xf numFmtId="0" fontId="25" fillId="7" borderId="32" xfId="4" applyFont="1" applyFill="1" applyBorder="1" applyAlignment="1">
      <alignment horizontal="center" vertical="center" wrapText="1"/>
    </xf>
    <xf numFmtId="0" fontId="25" fillId="7" borderId="74" xfId="4" applyFont="1" applyFill="1" applyBorder="1" applyAlignment="1">
      <alignment horizontal="center" vertical="center" wrapText="1"/>
    </xf>
    <xf numFmtId="0" fontId="25" fillId="7" borderId="85" xfId="4" applyFont="1" applyFill="1" applyBorder="1" applyAlignment="1">
      <alignment horizontal="center" vertical="center" wrapText="1"/>
    </xf>
    <xf numFmtId="2" fontId="12" fillId="2" borderId="69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12" fillId="17" borderId="27" xfId="4" applyFont="1" applyFill="1" applyBorder="1" applyAlignment="1">
      <alignment horizontal="center" vertical="center" wrapText="1"/>
    </xf>
    <xf numFmtId="0" fontId="12" fillId="17" borderId="79" xfId="4" applyFont="1" applyFill="1" applyBorder="1" applyAlignment="1">
      <alignment horizontal="center" vertical="center" wrapText="1"/>
    </xf>
    <xf numFmtId="0" fontId="4" fillId="10" borderId="79" xfId="4" applyFont="1" applyFill="1" applyBorder="1" applyAlignment="1">
      <alignment horizontal="center" vertical="center" wrapText="1"/>
    </xf>
    <xf numFmtId="0" fontId="25" fillId="9" borderId="27" xfId="4" applyFont="1" applyFill="1" applyBorder="1" applyAlignment="1">
      <alignment horizontal="center" vertical="center" wrapText="1"/>
    </xf>
    <xf numFmtId="0" fontId="12" fillId="10" borderId="27" xfId="4" applyFont="1" applyFill="1" applyBorder="1" applyAlignment="1">
      <alignment horizontal="center" vertical="center" wrapText="1"/>
    </xf>
    <xf numFmtId="0" fontId="4" fillId="16" borderId="71" xfId="0" applyFont="1" applyFill="1" applyBorder="1" applyAlignment="1">
      <alignment horizontal="center" vertical="center"/>
    </xf>
    <xf numFmtId="0" fontId="4" fillId="16" borderId="72" xfId="0" applyFont="1" applyFill="1" applyBorder="1" applyAlignment="1">
      <alignment horizontal="center" vertical="center"/>
    </xf>
    <xf numFmtId="0" fontId="4" fillId="16" borderId="73" xfId="0" applyFont="1" applyFill="1" applyBorder="1" applyAlignment="1">
      <alignment horizontal="center" vertical="center"/>
    </xf>
    <xf numFmtId="0" fontId="30" fillId="7" borderId="29" xfId="4" applyFont="1" applyFill="1" applyBorder="1" applyAlignment="1">
      <alignment horizontal="center" vertical="center" wrapText="1"/>
    </xf>
    <xf numFmtId="0" fontId="25" fillId="9" borderId="24" xfId="4" applyFont="1" applyFill="1" applyBorder="1" applyAlignment="1">
      <alignment horizontal="center" vertical="center" wrapText="1"/>
    </xf>
    <xf numFmtId="0" fontId="25" fillId="9" borderId="25" xfId="4" applyFont="1" applyFill="1" applyBorder="1" applyAlignment="1">
      <alignment horizontal="center" vertical="center" wrapText="1"/>
    </xf>
    <xf numFmtId="0" fontId="25" fillId="8" borderId="24" xfId="4" applyFont="1" applyFill="1" applyBorder="1" applyAlignment="1">
      <alignment horizontal="center" vertical="center" wrapText="1"/>
    </xf>
    <xf numFmtId="0" fontId="25" fillId="8" borderId="25" xfId="4" applyFont="1" applyFill="1" applyBorder="1" applyAlignment="1">
      <alignment horizontal="center" vertical="center" wrapText="1"/>
    </xf>
    <xf numFmtId="0" fontId="4" fillId="10" borderId="70" xfId="4" applyFont="1" applyFill="1" applyBorder="1" applyAlignment="1">
      <alignment horizontal="center" vertical="center" wrapText="1"/>
    </xf>
    <xf numFmtId="0" fontId="4" fillId="10" borderId="80" xfId="4" applyFont="1" applyFill="1" applyBorder="1" applyAlignment="1">
      <alignment horizontal="center" vertical="center" wrapText="1"/>
    </xf>
    <xf numFmtId="0" fontId="25" fillId="8" borderId="75" xfId="4" applyFont="1" applyFill="1" applyBorder="1" applyAlignment="1">
      <alignment horizontal="center" vertical="center" wrapText="1"/>
    </xf>
    <xf numFmtId="0" fontId="25" fillId="8" borderId="76" xfId="4" applyFont="1" applyFill="1" applyBorder="1" applyAlignment="1">
      <alignment horizontal="center" vertical="center" wrapText="1"/>
    </xf>
    <xf numFmtId="0" fontId="25" fillId="8" borderId="24" xfId="4" applyFont="1" applyFill="1" applyBorder="1" applyAlignment="1">
      <alignment vertical="center" wrapText="1"/>
    </xf>
    <xf numFmtId="0" fontId="25" fillId="8" borderId="25" xfId="4" applyFont="1" applyFill="1" applyBorder="1" applyAlignment="1">
      <alignment vertical="center" wrapText="1"/>
    </xf>
    <xf numFmtId="2" fontId="25" fillId="2" borderId="9" xfId="0" applyNumberFormat="1" applyFont="1" applyFill="1" applyBorder="1" applyAlignment="1">
      <alignment horizontal="left" vertical="center" wrapText="1"/>
    </xf>
    <xf numFmtId="2" fontId="25" fillId="2" borderId="0" xfId="0" applyNumberFormat="1" applyFont="1" applyFill="1" applyAlignment="1">
      <alignment horizontal="left" vertical="center" wrapText="1"/>
    </xf>
    <xf numFmtId="165" fontId="6" fillId="0" borderId="3" xfId="0" applyNumberFormat="1" applyFont="1" applyBorder="1" applyAlignment="1">
      <alignment horizontal="right"/>
    </xf>
    <xf numFmtId="0" fontId="3" fillId="16" borderId="4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12" fillId="16" borderId="0" xfId="0" applyFont="1" applyFill="1" applyAlignment="1">
      <alignment horizontal="center" wrapText="1"/>
    </xf>
    <xf numFmtId="0" fontId="3" fillId="16" borderId="16" xfId="0" applyFont="1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</cellXfs>
  <cellStyles count="13">
    <cellStyle name="Euro" xfId="7" xr:uid="{00000000-0005-0000-0000-000000000000}"/>
    <cellStyle name="Euro 2" xfId="8" xr:uid="{00000000-0005-0000-0000-000001000000}"/>
    <cellStyle name="Euro 2 2" xfId="11" xr:uid="{0B013870-36F4-49F0-8833-C8362ED80CD8}"/>
    <cellStyle name="Euro 3" xfId="10" xr:uid="{0C0347B2-C2AB-4303-A95E-D7E69979647D}"/>
    <cellStyle name="Millares" xfId="2" builtinId="3"/>
    <cellStyle name="Moneda" xfId="1" builtinId="4"/>
    <cellStyle name="Moneda 2" xfId="12" xr:uid="{F1B02C25-077C-4595-BC34-BF014296285E}"/>
    <cellStyle name="Normal" xfId="0" builtinId="0"/>
    <cellStyle name="Normal 2" xfId="6" xr:uid="{00000000-0005-0000-0000-000005000000}"/>
    <cellStyle name="Normal_2.1-VEHÍCULOS" xfId="5" xr:uid="{00000000-0005-0000-0000-000006000000}"/>
    <cellStyle name="Normal_Hoja1 (2)" xfId="9" xr:uid="{00000000-0005-0000-0000-000007000000}"/>
    <cellStyle name="Normal_Hoja1_1" xfId="4" xr:uid="{00000000-0005-0000-0000-000008000000}"/>
    <cellStyle name="Porcentaje" xfId="3" builtinId="5"/>
  </cellStyles>
  <dxfs count="125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4" tint="0.3999450666829432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5F5F5"/>
      <rgbColor rgb="00DDDDDD"/>
      <rgbColor rgb="00FFFFCC"/>
      <rgbColor rgb="00FFFFDD"/>
      <rgbColor rgb="00E1E1D9"/>
      <rgbColor rgb="00FFE5AB"/>
      <rgbColor rgb="00FFF2D1"/>
      <rgbColor rgb="00FFEAD5"/>
      <rgbColor rgb="00000080"/>
      <rgbColor rgb="00FFCC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FD767"/>
      <color rgb="FFA3D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38100</xdr:rowOff>
    </xdr:from>
    <xdr:to>
      <xdr:col>6</xdr:col>
      <xdr:colOff>682626</xdr:colOff>
      <xdr:row>53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000" y="200025"/>
          <a:ext cx="4956175" cy="84137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APLICATIVO PARA LA ELABORACIÓN DEL ESTUDIO ECONÓMICO EN LA CONTRATACIÓN DE SERVICIOS DE CONSERVACIÓN Y MANTENIMIENTO DE LA INFRAESTRUCTURA VERDE.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aplicativo se ha generado para facilitar la elaboración del 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estudio económico 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la  contratación de servicios de Conservación y Mantenimiento de la Infraestrucutra Verde, siguiendo las líneas generales trazadas en la Guía de Recomendaciones para la  Contratación de Servicios de Conservación y Mantenimiento de la Infraestructura Verde.</a:t>
          </a:r>
        </a:p>
        <a:p>
          <a:endParaRPr lang="es-ES">
            <a:effectLst/>
          </a:endParaRPr>
        </a:p>
        <a:p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han generado diferentes pestañas que facilitan su uso e interpretación. Además se  ha maquetado el Excel de tal forma que si se crea un pdf con las pestañas seleccionadas, éste se genera directamente en modo impresión. 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Las pestañas se han coloreado por temáticas de cálculo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 facilitar su manejo y comprensión. Cada pestaña se acompaña de un recuadro explicativo que no aparece en el pdf o la impresión final.</a:t>
          </a:r>
        </a:p>
        <a:p>
          <a:endParaRPr lang="es-E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organización será:</a:t>
          </a: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RESUMEN CÁLCULOS PRESUPUESTO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A. COSTES DE PERSONAL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B. COSTES DE VEHÍCULOS Y MAQUINARIA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C. COSTES VESTUARIO, EQUIPAMIENTOS, ÚTILES Y HERRAMIENTAS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D. COSTES LOCALES E INSTALACIONES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E. COSTES MATERIALES DE CONSERVACIÓN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F. TOTAL OTROS COSTES</a:t>
          </a:r>
          <a:r>
            <a:rPr lang="es-ES"/>
            <a:t> </a:t>
          </a:r>
        </a:p>
        <a:p>
          <a:endParaRPr lang="es-ES">
            <a:effectLst/>
          </a:endParaRPr>
        </a:p>
        <a:p>
          <a:r>
            <a:rPr lang="es-ES" b="1">
              <a:effectLst/>
            </a:rPr>
            <a:t>NOVEDADES 2026.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la pestaña "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Características del contrato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se rellenan los datos generales de duración contrato (defha inicio y fecha fin), pesos destinados a Conservación y limpieza, para los correspondientes cálculos de los IVAs, etc. Se incorpora el IPC  para determinar el incremento de </a:t>
          </a:r>
          <a:r>
            <a:rPr lang="es-E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los gastos variables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los vehículos y maquinaria, así como para costes de vestuario, locales, materiales y otros costes. </a:t>
          </a:r>
          <a:endParaRPr lang="es-ES">
            <a:effectLst/>
          </a:endParaRPr>
        </a:p>
        <a:p>
          <a:r>
            <a:rPr lang="es-ES">
              <a:effectLst/>
            </a:rPr>
            <a:t>El</a:t>
          </a:r>
          <a:r>
            <a:rPr lang="es-ES" baseline="0">
              <a:effectLst/>
            </a:rPr>
            <a:t> calculo de los </a:t>
          </a:r>
          <a:r>
            <a:rPr lang="es-ES" b="1" baseline="0">
              <a:effectLst/>
            </a:rPr>
            <a:t>gastos de personal </a:t>
          </a:r>
          <a:r>
            <a:rPr lang="es-ES" baseline="0">
              <a:effectLst/>
            </a:rPr>
            <a:t>se ha modificado para poder adaptarse a los nuevos requerimientos del Convenio Colectivo Estatal de Jardinería (2025-2030). Además se ha ajustado mejor el cálculo de los porcentajes de coste de la Seguridad social, diferenciando por el tipo de contrato y categoría profesional. </a:t>
          </a:r>
        </a:p>
        <a:p>
          <a:endParaRPr lang="es-ES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8EA8111-20A3-44C7-B783-263413110B31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5C0561B-C1E9-41A5-984E-95FEDEA92584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C02CA82-6627-40F7-A57C-600543395B5D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1450747-1F13-4CBE-A189-0ED129393CEE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1B0BD1B-AB61-4F73-B4F8-8069E590101C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EF6B73E-C7D0-4185-8240-9805D21CBBA1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439536-DEEF-4CAD-8EF3-870A8B9620C9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9223BA5-25D0-41A2-9326-C21C6B400796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C09CEFD-3489-47A9-851A-E36E05DC9E13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B31AA53-E7B5-4C46-B30C-653F23536131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AED30CD-C7D3-493F-BAA7-ABB352010806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980FF2-726A-4E45-AEF4-4D6F8C51F845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C28AF30-68CF-4D38-9973-03E7DFCC1093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5CF9379-DA9A-4CF0-B399-F10C9D85DF1F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B6F464A-6088-4D1B-9F20-7DAEEC644457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0B5B515-8DFE-4B5C-A5B9-8A8DA3E1DEF4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1A6785F-A4DB-473E-A608-C7AA02A6B3BB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21DAE5-704C-4896-B0E1-05E37D20C063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51857FF-96FB-4BBF-840B-6CCE837D84E3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9AE5A93-6C4E-4DF6-A466-4D95645551C5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326764</xdr:colOff>
      <xdr:row>5</xdr:row>
      <xdr:rowOff>0</xdr:rowOff>
    </xdr:from>
    <xdr:to>
      <xdr:col>29</xdr:col>
      <xdr:colOff>768724</xdr:colOff>
      <xdr:row>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87BED61-F5E1-46CF-AEC8-16839CF87666}"/>
            </a:ext>
          </a:extLst>
        </xdr:cNvPr>
        <xdr:cNvSpPr txBox="1"/>
      </xdr:nvSpPr>
      <xdr:spPr>
        <a:xfrm>
          <a:off x="14629504" y="2127212"/>
          <a:ext cx="5915025" cy="281559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9</xdr:row>
      <xdr:rowOff>0</xdr:rowOff>
    </xdr:from>
    <xdr:to>
      <xdr:col>37</xdr:col>
      <xdr:colOff>438151</xdr:colOff>
      <xdr:row>24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EE34BCC-C97C-49A4-9BBE-EDE3C0379BA3}"/>
            </a:ext>
          </a:extLst>
        </xdr:cNvPr>
        <xdr:cNvSpPr txBox="1"/>
      </xdr:nvSpPr>
      <xdr:spPr>
        <a:xfrm>
          <a:off x="19802475" y="2790825"/>
          <a:ext cx="590169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37</xdr:col>
      <xdr:colOff>438151</xdr:colOff>
      <xdr:row>34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6C144FA-AA9C-4834-9FF4-ED160284D5F5}"/>
            </a:ext>
          </a:extLst>
        </xdr:cNvPr>
        <xdr:cNvSpPr txBox="1"/>
      </xdr:nvSpPr>
      <xdr:spPr>
        <a:xfrm>
          <a:off x="19802475" y="6048375"/>
          <a:ext cx="590169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34F1FCA-1B2B-447A-9A7F-57B0F5325A94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3CA3B1E-A63C-40D7-82DF-D955AF788336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16484B1-8115-40A4-8184-59FFDAE04E1C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182880</xdr:colOff>
      <xdr:row>2</xdr:row>
      <xdr:rowOff>97155</xdr:rowOff>
    </xdr:from>
    <xdr:to>
      <xdr:col>28</xdr:col>
      <xdr:colOff>598170</xdr:colOff>
      <xdr:row>11</xdr:row>
      <xdr:rowOff>62865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89055" y="335280"/>
          <a:ext cx="5101590" cy="16135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RESUMEN  - PRESUPUESTO BASE DE LICITACIÓN</a:t>
          </a:r>
        </a:p>
        <a:p>
          <a:endParaRPr lang="es-ES" sz="1100" b="1"/>
        </a:p>
        <a:p>
          <a:r>
            <a:rPr lang="es-ES" sz="1100"/>
            <a:t>* Todos los datos salen de vínculos</a:t>
          </a:r>
          <a:r>
            <a:rPr lang="es-ES" sz="1100" baseline="0"/>
            <a:t> con otras páginas. </a:t>
          </a:r>
        </a:p>
        <a:p>
          <a:r>
            <a:rPr lang="es-ES" sz="1100" baseline="0"/>
            <a:t>* Se deben ajustar los coeficientes de ajuste de los años 5 y 6 respectivamente (en </a:t>
          </a:r>
          <a:r>
            <a:rPr lang="es-ES" sz="1100" baseline="0">
              <a:solidFill>
                <a:schemeClr val="accent5">
                  <a:lumMod val="50000"/>
                </a:schemeClr>
              </a:solidFill>
            </a:rPr>
            <a:t>azul)</a:t>
          </a:r>
        </a:p>
        <a:p>
          <a:endParaRPr lang="es-E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65D3434-C08A-4FF2-80B1-96DE551F832E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5080B23-DD63-440E-92D1-D6B9210C245B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06E9169-B2CA-401E-A4DD-C3C7D578530C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11BC922-FCF4-4DEF-A115-A3A9BE0E54CD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20953</xdr:colOff>
      <xdr:row>2</xdr:row>
      <xdr:rowOff>55245</xdr:rowOff>
    </xdr:from>
    <xdr:to>
      <xdr:col>23</xdr:col>
      <xdr:colOff>467359</xdr:colOff>
      <xdr:row>5</xdr:row>
      <xdr:rowOff>45720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990328" y="293370"/>
          <a:ext cx="4335781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 </a:t>
          </a:r>
          <a:r>
            <a:rPr lang="es-ES" sz="1100" b="1"/>
            <a:t>TABLA RESUMEN COSTES DE VEHÍCULOS Y MAQUINARIA</a:t>
          </a:r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14</xdr:col>
      <xdr:colOff>209551</xdr:colOff>
      <xdr:row>15</xdr:row>
      <xdr:rowOff>81643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5295900" y="914400"/>
          <a:ext cx="5777865" cy="198628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0. </a:t>
          </a:r>
          <a:r>
            <a:rPr lang="es-ES" sz="1100" b="1"/>
            <a:t>TABLA Consumibles Vehiculos y Maquinaria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maquinaria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maquinaria.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</xdr:row>
      <xdr:rowOff>0</xdr:rowOff>
    </xdr:from>
    <xdr:to>
      <xdr:col>49</xdr:col>
      <xdr:colOff>438151</xdr:colOff>
      <xdr:row>9</xdr:row>
      <xdr:rowOff>462643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244165" y="1552575"/>
          <a:ext cx="5776595" cy="762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1. </a:t>
          </a:r>
          <a:r>
            <a:rPr lang="es-ES" sz="1100" b="1"/>
            <a:t>TABLA RESUMEN COSTES DE VEHÍCULOS 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vehículos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vehículos.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</xdr:row>
      <xdr:rowOff>0</xdr:rowOff>
    </xdr:from>
    <xdr:to>
      <xdr:col>49</xdr:col>
      <xdr:colOff>438151</xdr:colOff>
      <xdr:row>10</xdr:row>
      <xdr:rowOff>272143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7709495" y="1857375"/>
          <a:ext cx="5776595" cy="952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2. </a:t>
          </a:r>
          <a:r>
            <a:rPr lang="es-ES" sz="1100" b="1"/>
            <a:t>TABLA RESUMEN COSTES DE MAQUINARIA 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maquinaria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maquinaria.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8930005" y="247650"/>
          <a:ext cx="5782945" cy="1038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 </a:t>
          </a:r>
          <a:r>
            <a:rPr lang="es-ES" sz="1100" b="1"/>
            <a:t>TABLA RESUMEN COSTES DE VESTUARIO, EQUIPAMIENTOS,</a:t>
          </a:r>
          <a:r>
            <a:rPr lang="es-ES" sz="1100" b="1" baseline="0"/>
            <a:t> UTILES Y HERRAMIENTAS</a:t>
          </a:r>
          <a:endParaRPr lang="es-ES" sz="1100" b="1"/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deben actualizar los gastos financieros si procede. </a:t>
          </a:r>
          <a:endParaRPr lang="es-ES" sz="1100" b="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15</xdr:col>
      <xdr:colOff>438151</xdr:colOff>
      <xdr:row>13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9266555" y="1804035"/>
          <a:ext cx="5776595" cy="11811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1.1 TABLA CÁLCULO VESTUARIO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calculan los costes de vestuario en función del personal operativo indicado en las tablas A1 y A2. </a:t>
          </a:r>
        </a:p>
        <a:p>
          <a:r>
            <a:rPr lang="es-ES" sz="1100" b="0"/>
            <a:t>* Se calcula</a:t>
          </a:r>
          <a:r>
            <a:rPr lang="es-ES" sz="1100" b="0" baseline="0"/>
            <a:t> coste de prenda de abrigo y calzado apropiado para el personal técnico. </a:t>
          </a:r>
        </a:p>
        <a:p>
          <a:r>
            <a:rPr lang="es-ES" sz="1100" b="0" baseline="0"/>
            <a:t>* Se deben estimar/actualizar los gastos financieros si procede</a:t>
          </a:r>
          <a:endParaRPr lang="es-E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179069</xdr:colOff>
      <xdr:row>3</xdr:row>
      <xdr:rowOff>91440</xdr:rowOff>
    </xdr:from>
    <xdr:to>
      <xdr:col>33</xdr:col>
      <xdr:colOff>657225</xdr:colOff>
      <xdr:row>13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4818994" y="520065"/>
          <a:ext cx="6402706" cy="18802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CANON ANUAL</a:t>
          </a:r>
        </a:p>
        <a:p>
          <a:endParaRPr lang="es-ES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="1"/>
            <a:t>*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verde los datos que se pueden ajustar según las necesidades del servicio</a:t>
          </a:r>
          <a:endParaRPr lang="es-ES" sz="1100" b="1"/>
        </a:p>
        <a:p>
          <a:r>
            <a:rPr lang="es-ES" sz="1100"/>
            <a:t>* Los</a:t>
          </a:r>
          <a:r>
            <a:rPr lang="es-ES" sz="1100" baseline="0"/>
            <a:t> costes de ejecución material se obtienen de vínculos con otras pestañas ( A, B, C, D, E y F)</a:t>
          </a:r>
        </a:p>
        <a:p>
          <a:r>
            <a:rPr lang="es-ES" sz="1100" baseline="0"/>
            <a:t>* Se pueden cambiar los porcentajes:</a:t>
          </a:r>
        </a:p>
        <a:p>
          <a:r>
            <a:rPr lang="es-ES" sz="1100" baseline="0"/>
            <a:t>         * Gastos generales y beneficio industrial (pueden variar entre </a:t>
          </a:r>
          <a:r>
            <a:rPr lang="es-ES" sz="1100" baseline="0">
              <a:solidFill>
                <a:srgbClr val="C00000"/>
              </a:solidFill>
            </a:rPr>
            <a:t>X</a:t>
          </a:r>
          <a:r>
            <a:rPr lang="es-ES" sz="1100" baseline="0"/>
            <a:t> y </a:t>
          </a:r>
          <a:r>
            <a:rPr lang="es-ES" sz="1100" baseline="0">
              <a:solidFill>
                <a:srgbClr val="C00000"/>
              </a:solidFill>
            </a:rPr>
            <a:t>Z</a:t>
          </a:r>
          <a:r>
            <a:rPr lang="es-ES" sz="1100" baseline="0"/>
            <a:t>)</a:t>
          </a:r>
        </a:p>
        <a:p>
          <a:r>
            <a:rPr lang="es-ES" sz="1100" baseline="0"/>
            <a:t>         * Canon anual de conservación y limpieza (al modificar el porcentaje del canon de conservación se 	calcula automaticamente el canon de limpieza.</a:t>
          </a:r>
          <a:endParaRPr lang="es-ES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18</xdr:col>
      <xdr:colOff>190500</xdr:colOff>
      <xdr:row>13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8161020" y="2009775"/>
          <a:ext cx="6291580" cy="15601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1.2 TABLA CÁLCULO COSTES DE EQUIPOS DE PROTECCIÓN INDIVIDUAL Y COLECTIVA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estiman los cálculos en función de los EPIS necesarios por cada 10 personas del personal operativo calculados en las tablas A1 y A2 para un servicio de estas características.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/>
            <a:t>* Para el personal administrativo y técnico adscrito al servicio,</a:t>
          </a:r>
          <a:r>
            <a:rPr lang="es-ES" sz="1100" b="0" baseline="0"/>
            <a:t> </a:t>
          </a:r>
          <a:r>
            <a:rPr lang="es-ES" sz="1100" b="0"/>
            <a:t>se</a:t>
          </a:r>
          <a:r>
            <a:rPr lang="es-ES" sz="1100" b="0" baseline="0"/>
            <a:t> incluyen los gastos de formación en Segu</a:t>
          </a:r>
        </a:p>
        <a:p>
          <a:r>
            <a:rPr lang="es-ES" sz="1100" b="0" baseline="0"/>
            <a:t>ridad y Salud y los reconocimientos médicos.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Se deben estimar/actualizar los gastos financieros si procede</a:t>
          </a:r>
          <a:endParaRPr lang="es-ES">
            <a:effectLst/>
          </a:endParaRPr>
        </a:p>
        <a:p>
          <a:endParaRPr lang="es-ES" sz="1100" b="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18</xdr:col>
      <xdr:colOff>190500</xdr:colOff>
      <xdr:row>15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7578090" y="1914525"/>
          <a:ext cx="6057900" cy="15144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</a:t>
          </a:r>
          <a:r>
            <a:rPr lang="es-ES" sz="1100" b="1" baseline="0"/>
            <a:t>.2 TABLA CÁLCULO COSTES DE ÚTILES Y HERRAMIENTAS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estiman los cálculos en función de los útiles y herramientas necesarios por cada 10 personas del personal operativo calculados en las tablas A1 y A2 para un servicio de estas características.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8930005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</a:t>
          </a:r>
          <a:r>
            <a:rPr lang="es-ES" sz="1100" b="1" baseline="0"/>
            <a:t> </a:t>
          </a:r>
          <a:r>
            <a:rPr lang="es-ES" sz="1100" b="1"/>
            <a:t>TABLA RESUMEN COSTES DE LOCALES E INSTALACIONES</a:t>
          </a:r>
          <a:endParaRPr lang="es-ES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76198</xdr:colOff>
      <xdr:row>1</xdr:row>
      <xdr:rowOff>276225</xdr:rowOff>
    </xdr:from>
    <xdr:to>
      <xdr:col>18</xdr:col>
      <xdr:colOff>409574</xdr:colOff>
      <xdr:row>9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8214360" y="466725"/>
          <a:ext cx="5782945" cy="17716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D.1. TABLA DE COSTES FIJOS</a:t>
          </a:r>
          <a:r>
            <a:rPr lang="es-ES" sz="1100" b="1" baseline="0"/>
            <a:t> </a:t>
          </a:r>
          <a:r>
            <a:rPr lang="es-ES" sz="1100" b="1"/>
            <a:t>DE LOCALES E INSTALACIONES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 Se incluirá este coste si es necesario alquilar algún tipo de nave/s u</a:t>
          </a:r>
          <a:r>
            <a:rPr lang="es-ES" sz="1100" b="0" baseline="0"/>
            <a:t> oficina técnica de forma específica para el adecuado desarrollo del contrato. </a:t>
          </a:r>
        </a:p>
        <a:p>
          <a:r>
            <a:rPr lang="es-ES" sz="1100" b="0" baseline="0"/>
            <a:t>* El coste anual se realiza a partir de las superficies de instalaciones estimadas para poder albergar todos los vehículos y maquinaria disponibles. </a:t>
          </a:r>
        </a:p>
        <a:p>
          <a:r>
            <a:rPr lang="es-ES" sz="1100" b="0" baseline="0"/>
            <a:t>* El precio del m2 debe ajustarse a cada municipio, pues es un dato que puede variar ampliamente. </a:t>
          </a:r>
        </a:p>
      </xdr:txBody>
    </xdr:sp>
    <xdr:clientData/>
  </xdr:twoCellAnchor>
  <xdr:twoCellAnchor>
    <xdr:from>
      <xdr:col>8</xdr:col>
      <xdr:colOff>83344</xdr:colOff>
      <xdr:row>15</xdr:row>
      <xdr:rowOff>35719</xdr:rowOff>
    </xdr:from>
    <xdr:to>
      <xdr:col>18</xdr:col>
      <xdr:colOff>416720</xdr:colOff>
      <xdr:row>19</xdr:row>
      <xdr:rowOff>283369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8221980" y="3274060"/>
          <a:ext cx="5782945" cy="12979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D.2. TABLA DE COSTES VARIABLES</a:t>
          </a:r>
          <a:r>
            <a:rPr lang="es-ES" sz="1100" b="1" baseline="0"/>
            <a:t> </a:t>
          </a:r>
          <a:r>
            <a:rPr lang="es-ES" sz="1100" b="1"/>
            <a:t>DE LOCALES E INSTALACIONES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 Si</a:t>
          </a:r>
          <a:r>
            <a:rPr lang="es-ES" sz="1100" b="0" baseline="0"/>
            <a:t> en el pliego se exige que las naves deben estar acondicionadas, se deberán estimar estos costes, bien sean en instalaciones cedidas por el Ayuntamiento o en las instalaciones alquiladas. </a:t>
          </a:r>
        </a:p>
        <a:p>
          <a:r>
            <a:rPr lang="es-ES" sz="1100" b="0" baseline="0"/>
            <a:t>* Se deberá calcular, además, el gasto de consumibles (luz, agua, gas, etc.). para que las instalaciones funcionen adecuadamente. 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8930005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</a:t>
          </a:r>
          <a:r>
            <a:rPr lang="es-ES" sz="1100" b="1" baseline="0"/>
            <a:t> </a:t>
          </a:r>
          <a:r>
            <a:rPr lang="es-ES" sz="1100" b="1"/>
            <a:t>TABLA RESUMEN COSTES MATERIALES DE CONSERVACIÓN</a:t>
          </a:r>
        </a:p>
        <a:p>
          <a:endParaRPr lang="es-ES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19</xdr:col>
      <xdr:colOff>444501</xdr:colOff>
      <xdr:row>7</xdr:row>
      <xdr:rowOff>166687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16163290" y="876300"/>
          <a:ext cx="5578475" cy="92837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E.1.</a:t>
          </a:r>
          <a:r>
            <a:rPr lang="es-ES" sz="1100" b="1" baseline="0"/>
            <a:t> </a:t>
          </a:r>
          <a:r>
            <a:rPr lang="es-ES" sz="1100" b="1"/>
            <a:t>TABLA COSTES MATERIAS PRIMAS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Se determinan los materiales que se sabe que se van utilizar en funcion de las características del contrato</a:t>
          </a:r>
        </a:p>
        <a:p>
          <a:endParaRPr lang="es-ES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13</xdr:col>
      <xdr:colOff>444501</xdr:colOff>
      <xdr:row>5</xdr:row>
      <xdr:rowOff>166687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348730" y="190500"/>
          <a:ext cx="5578475" cy="92837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E.2.</a:t>
          </a:r>
          <a:r>
            <a:rPr lang="es-ES" sz="1100" b="1" baseline="0"/>
            <a:t> </a:t>
          </a:r>
          <a:r>
            <a:rPr lang="es-ES" sz="1100" b="1"/>
            <a:t>TABLA COSTES PRODUCTOS</a:t>
          </a:r>
          <a:r>
            <a:rPr lang="es-ES" sz="1100" b="1" baseline="0"/>
            <a:t> FITOSANITARIOS</a:t>
          </a:r>
          <a:endParaRPr lang="es-ES" sz="1100" b="1"/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Se determinan los materiales que se sabe que se van utilizar en funcion de las características del contrato</a:t>
          </a:r>
        </a:p>
        <a:p>
          <a:endParaRPr lang="es-ES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19048</xdr:colOff>
      <xdr:row>2</xdr:row>
      <xdr:rowOff>9525</xdr:rowOff>
    </xdr:from>
    <xdr:to>
      <xdr:col>25</xdr:col>
      <xdr:colOff>19049</xdr:colOff>
      <xdr:row>6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8441055" y="247650"/>
          <a:ext cx="578294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 </a:t>
          </a:r>
          <a:r>
            <a:rPr lang="es-ES" sz="1100" b="1"/>
            <a:t>TABLA RESUMEN OTROS COSTES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17</xdr:col>
      <xdr:colOff>438151</xdr:colOff>
      <xdr:row>15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11740515" y="2476500"/>
          <a:ext cx="577659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1. </a:t>
          </a:r>
          <a:r>
            <a:rPr lang="es-ES" sz="1100" b="1"/>
            <a:t>TABLA COSTES EQUIPOS TECNOLÓGICOS Y DE SOFTWARE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14</xdr:col>
      <xdr:colOff>438151</xdr:colOff>
      <xdr:row>7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8688705" y="952500"/>
          <a:ext cx="577659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2. </a:t>
          </a:r>
          <a:r>
            <a:rPr lang="es-ES" sz="1100" b="1"/>
            <a:t>TABLA COSTES REVISIÓN</a:t>
          </a:r>
          <a:r>
            <a:rPr lang="es-ES" sz="1100" b="1" baseline="0"/>
            <a:t> Y ACTUALIZACIÓN DE INVENTARIO</a:t>
          </a:r>
          <a:endParaRPr lang="es-ES" sz="1100" b="1"/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476250</xdr:colOff>
      <xdr:row>3</xdr:row>
      <xdr:rowOff>47625</xdr:rowOff>
    </xdr:from>
    <xdr:to>
      <xdr:col>36</xdr:col>
      <xdr:colOff>114300</xdr:colOff>
      <xdr:row>16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55050" y="666750"/>
          <a:ext cx="4976495" cy="22574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TRABAJOS</a:t>
          </a:r>
          <a:r>
            <a:rPr lang="es-ES" sz="1100" b="1" baseline="0"/>
            <a:t> POR MEDICIÓN / SUMINISTRO</a:t>
          </a:r>
        </a:p>
        <a:p>
          <a:endParaRPr lang="es-ES" sz="1100" b="1" baseline="0"/>
        </a:p>
        <a:p>
          <a:r>
            <a:rPr lang="es-ES" sz="1100" b="0" baseline="0"/>
            <a:t>* Se han determinado aquellas mediciones estimadas para los distintos ámbitos del servicio.</a:t>
          </a:r>
        </a:p>
        <a:p>
          <a:r>
            <a:rPr lang="es-ES" sz="1100" b="0" baseline="0"/>
            <a:t>* Deben adecuarse al alcance del contrato</a:t>
          </a:r>
        </a:p>
        <a:p>
          <a:r>
            <a:rPr lang="es-ES" sz="1100" b="0" baseline="0"/>
            <a:t>* Pueden ajustarse los conceptos de gastos generales y beneficio industrial</a:t>
          </a:r>
        </a:p>
        <a:p>
          <a:endParaRPr lang="es-ES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</xdr:rowOff>
    </xdr:from>
    <xdr:to>
      <xdr:col>14</xdr:col>
      <xdr:colOff>438151</xdr:colOff>
      <xdr:row>17</xdr:row>
      <xdr:rowOff>42333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7844155" y="952500"/>
          <a:ext cx="5776595" cy="270891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3. </a:t>
          </a:r>
          <a:r>
            <a:rPr lang="es-ES" sz="1100" b="1"/>
            <a:t>TABLA COSTES DE</a:t>
          </a:r>
          <a:r>
            <a:rPr lang="es-ES" sz="1100" b="1" baseline="0"/>
            <a:t> SERVICIOS PROFESIONALES</a:t>
          </a:r>
          <a:endParaRPr lang="es-ES" sz="1100" b="1"/>
        </a:p>
        <a:p>
          <a:endParaRPr lang="es-ES" sz="1100" b="1"/>
        </a:p>
        <a:p>
          <a:r>
            <a:rPr lang="es-ES" sz="1100" b="0"/>
            <a:t>* En función</a:t>
          </a:r>
          <a:r>
            <a:rPr lang="es-ES" sz="1100" b="0" baseline="0"/>
            <a:t> de las necesidades detectadas en el Estudio Técnico y del alcance de lo que se incorpore al Pliego de Prescripciones Técnicas, se calcularán los siguientes apartados. </a:t>
          </a:r>
        </a:p>
        <a:p>
          <a:endParaRPr lang="es-ES" sz="1100" b="0" baseline="0"/>
        </a:p>
        <a:p>
          <a:r>
            <a:rPr lang="es-ES" sz="1100" b="0" baseline="0"/>
            <a:t>* Son conceptos muy amplios y variables, y bajo el mismo título el </a:t>
          </a:r>
          <a:r>
            <a:rPr lang="es-ES" sz="1100" b="1" baseline="0"/>
            <a:t>alcance</a:t>
          </a:r>
          <a:r>
            <a:rPr lang="es-ES" sz="1100" b="0" baseline="0"/>
            <a:t> puede variar enormemente,  y en la mayor parte de las situaciones es necesario realizar estudios económicos diferenciados o solicitarlos a empresas especializadas para tener una referencia. </a:t>
          </a:r>
        </a:p>
        <a:p>
          <a:endParaRPr lang="es-ES" sz="1100" b="0" baseline="0"/>
        </a:p>
        <a:p>
          <a:r>
            <a:rPr lang="es-ES" sz="1100" b="0" baseline="0"/>
            <a:t>* Este tipo de costes pueden incorporarse al estudio económico por Canon o por Medición/Suministro, según se considere. </a:t>
          </a:r>
        </a:p>
        <a:p>
          <a:endParaRPr lang="es-ES" sz="1100" b="0" baseline="0"/>
        </a:p>
        <a:p>
          <a:r>
            <a:rPr lang="es-ES" sz="1100" b="0" baseline="0"/>
            <a:t>* Puede ser recomendable que estudios o acciones puntuales se saquen por medición y acciones que se realicen de forma sistemática a lo largo de todos los años del servicio se saque por canon. 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438151</xdr:colOff>
      <xdr:row>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10377170" y="762000"/>
          <a:ext cx="5776595" cy="1143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3. </a:t>
          </a:r>
          <a:r>
            <a:rPr lang="es-ES" sz="1100" b="1"/>
            <a:t>TABLA OTROS COSTES 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19048</xdr:colOff>
      <xdr:row>2</xdr:row>
      <xdr:rowOff>9525</xdr:rowOff>
    </xdr:from>
    <xdr:to>
      <xdr:col>31</xdr:col>
      <xdr:colOff>19049</xdr:colOff>
      <xdr:row>16</xdr:row>
      <xdr:rowOff>68580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479F71-E6C7-4E3D-AD82-2279ECFD541C}"/>
            </a:ext>
          </a:extLst>
        </xdr:cNvPr>
        <xdr:cNvSpPr txBox="1"/>
      </xdr:nvSpPr>
      <xdr:spPr>
        <a:xfrm>
          <a:off x="10146028" y="245745"/>
          <a:ext cx="5951221" cy="2436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</a:t>
          </a:r>
          <a:r>
            <a:rPr lang="es-ES" sz="1100" b="1" baseline="0"/>
            <a:t> </a:t>
          </a:r>
          <a:r>
            <a:rPr lang="es-ES" sz="1100" b="1"/>
            <a:t>TABLA RESUMEN COSTES DE PERSONAL</a:t>
          </a:r>
        </a:p>
        <a:p>
          <a:endParaRPr lang="es-ES" sz="1100"/>
        </a:p>
        <a:p>
          <a:r>
            <a:rPr lang="es-ES" sz="1100"/>
            <a:t>*</a:t>
          </a:r>
          <a:r>
            <a:rPr lang="es-ES" sz="1100" baseline="0"/>
            <a:t> En </a:t>
          </a:r>
          <a:r>
            <a:rPr lang="es-ES" sz="1100" baseline="0">
              <a:solidFill>
                <a:schemeClr val="accent5">
                  <a:lumMod val="50000"/>
                </a:schemeClr>
              </a:solidFill>
            </a:rPr>
            <a:t>azul</a:t>
          </a:r>
          <a:r>
            <a:rPr lang="es-ES" sz="1100" baseline="0"/>
            <a:t> los datos que se pueden ajustar según las necesidades del servicio</a:t>
          </a:r>
          <a:endParaRPr lang="es-ES" sz="1100"/>
        </a:p>
        <a:p>
          <a:r>
            <a:rPr lang="es-ES" sz="1100"/>
            <a:t>*</a:t>
          </a:r>
          <a:r>
            <a:rPr lang="es-ES" sz="1100" baseline="0"/>
            <a:t> Los </a:t>
          </a:r>
          <a:r>
            <a:rPr lang="es-ES" sz="1100" b="1" baseline="0"/>
            <a:t>costes personales </a:t>
          </a:r>
          <a:r>
            <a:rPr lang="es-ES" sz="1100" baseline="0"/>
            <a:t>se obtienen de las tablas de </a:t>
          </a:r>
          <a:r>
            <a:rPr lang="es-ES" sz="1100" u="sng" baseline="0"/>
            <a:t>Costes A.1 y A.2</a:t>
          </a:r>
        </a:p>
        <a:p>
          <a:r>
            <a:rPr lang="es-ES" sz="1100" baseline="0"/>
            <a:t>* Los </a:t>
          </a:r>
          <a:r>
            <a:rPr lang="es-ES" sz="1100" b="1" baseline="0"/>
            <a:t>porcentajes de sustitución y absentismo </a:t>
          </a:r>
          <a:r>
            <a:rPr lang="es-ES" sz="1100" baseline="0"/>
            <a:t>se pueden ajustar, pero se recomienda que estén entre los siguientes porcentajes:</a:t>
          </a:r>
        </a:p>
        <a:p>
          <a:r>
            <a:rPr lang="es-ES" sz="1100" baseline="0"/>
            <a:t>         * Sustitución por vacaciones: </a:t>
          </a:r>
          <a:r>
            <a:rPr lang="es-ES" sz="1100" baseline="0">
              <a:solidFill>
                <a:srgbClr val="FF0000"/>
              </a:solidFill>
            </a:rPr>
            <a:t>8-9 %</a:t>
          </a:r>
        </a:p>
        <a:p>
          <a:r>
            <a:rPr lang="es-ES" sz="1100" baseline="0"/>
            <a:t>         * Sustitución por horas de formación: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2-5 %</a:t>
          </a:r>
          <a:endParaRPr lang="es-ES" sz="1100" baseline="0">
            <a:solidFill>
              <a:srgbClr val="FF0000"/>
            </a:solidFill>
          </a:endParaRPr>
        </a:p>
        <a:p>
          <a:r>
            <a:rPr lang="es-ES" sz="1100" baseline="0"/>
            <a:t>         * Absentismo y bajas: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10-15 %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* Peligrosidad y otros: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1,5% - 2,5%</a:t>
          </a:r>
        </a:p>
        <a:p>
          <a:r>
            <a:rPr lang="es-ES" sz="1100">
              <a:solidFill>
                <a:sysClr val="windowText" lastClr="000000"/>
              </a:solidFill>
            </a:rPr>
            <a:t>	</a:t>
          </a:r>
          <a:r>
            <a:rPr lang="es-ES" sz="11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s-ES" sz="1100" baseline="0">
              <a:solidFill>
                <a:sysClr val="windowText" lastClr="000000"/>
              </a:solidFill>
            </a:rPr>
            <a:t>* Los </a:t>
          </a:r>
          <a:r>
            <a:rPr lang="es-ES" sz="1100" b="1" baseline="0">
              <a:solidFill>
                <a:sysClr val="windowText" lastClr="000000"/>
              </a:solidFill>
            </a:rPr>
            <a:t>costes de peligrosidad </a:t>
          </a:r>
          <a:r>
            <a:rPr lang="es-ES" sz="1100" baseline="0">
              <a:solidFill>
                <a:sysClr val="windowText" lastClr="000000"/>
              </a:solidFill>
            </a:rPr>
            <a:t>deben calcularse en función de la organización del servicio. 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         * Con caracter general las gratificaciones por permanencia según convenio ya están calculadas en los costes de personal, este campo corresponde a gratificaciones extra.</a:t>
          </a:r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51436</xdr:colOff>
      <xdr:row>16</xdr:row>
      <xdr:rowOff>188595</xdr:rowOff>
    </xdr:from>
    <xdr:to>
      <xdr:col>31</xdr:col>
      <xdr:colOff>51436</xdr:colOff>
      <xdr:row>19</xdr:row>
      <xdr:rowOff>64770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766438F-9330-4A54-B694-E373726883FE}"/>
            </a:ext>
          </a:extLst>
        </xdr:cNvPr>
        <xdr:cNvSpPr txBox="1"/>
      </xdr:nvSpPr>
      <xdr:spPr>
        <a:xfrm>
          <a:off x="10178416" y="2802255"/>
          <a:ext cx="5951220" cy="4476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Es 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imprescindible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actulizar los años de inicio y final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contrato para poder calcular adecuadamente la antigüedad del personal del servicio</a:t>
          </a:r>
          <a:endParaRPr lang="es-ES">
            <a:effectLst/>
          </a:endParaRPr>
        </a:p>
        <a:p>
          <a:endParaRPr lang="es-E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326764</xdr:colOff>
      <xdr:row>5</xdr:row>
      <xdr:rowOff>33617</xdr:rowOff>
    </xdr:from>
    <xdr:to>
      <xdr:col>29</xdr:col>
      <xdr:colOff>768724</xdr:colOff>
      <xdr:row>25</xdr:row>
      <xdr:rowOff>136487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097C372-2CED-45C5-86B9-BB77718B7B3C}"/>
            </a:ext>
          </a:extLst>
        </xdr:cNvPr>
        <xdr:cNvSpPr txBox="1"/>
      </xdr:nvSpPr>
      <xdr:spPr>
        <a:xfrm>
          <a:off x="14188440" y="1949823"/>
          <a:ext cx="5932843" cy="279228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349176</xdr:colOff>
      <xdr:row>27</xdr:row>
      <xdr:rowOff>123265</xdr:rowOff>
    </xdr:from>
    <xdr:to>
      <xdr:col>30</xdr:col>
      <xdr:colOff>6724</xdr:colOff>
      <xdr:row>43</xdr:row>
      <xdr:rowOff>46841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20D8F0-E82B-4976-977E-5B95F3A293DC}"/>
            </a:ext>
          </a:extLst>
        </xdr:cNvPr>
        <xdr:cNvSpPr txBox="1"/>
      </xdr:nvSpPr>
      <xdr:spPr>
        <a:xfrm>
          <a:off x="14210852" y="5087471"/>
          <a:ext cx="5932843" cy="279228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13</xdr:row>
      <xdr:rowOff>0</xdr:rowOff>
    </xdr:from>
    <xdr:to>
      <xdr:col>37</xdr:col>
      <xdr:colOff>438151</xdr:colOff>
      <xdr:row>28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7564735" y="2505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31</xdr:row>
      <xdr:rowOff>0</xdr:rowOff>
    </xdr:from>
    <xdr:to>
      <xdr:col>37</xdr:col>
      <xdr:colOff>438151</xdr:colOff>
      <xdr:row>46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7564735" y="5934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49</xdr:row>
      <xdr:rowOff>0</xdr:rowOff>
    </xdr:from>
    <xdr:to>
      <xdr:col>37</xdr:col>
      <xdr:colOff>438151</xdr:colOff>
      <xdr:row>64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7564735" y="9363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84</xdr:row>
      <xdr:rowOff>0</xdr:rowOff>
    </xdr:from>
    <xdr:to>
      <xdr:col>37</xdr:col>
      <xdr:colOff>438151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7564735" y="12982575"/>
          <a:ext cx="577659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F2B2384-8CC1-4E82-A9C0-EC6576986B72}"/>
            </a:ext>
          </a:extLst>
        </xdr:cNvPr>
        <xdr:cNvSpPr txBox="1"/>
      </xdr:nvSpPr>
      <xdr:spPr>
        <a:xfrm>
          <a:off x="13783123" y="2209464"/>
          <a:ext cx="5938558" cy="279037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34E4A04-E2DE-41D7-95AC-B302CD55F4C5}"/>
            </a:ext>
          </a:extLst>
        </xdr:cNvPr>
        <xdr:cNvSpPr txBox="1"/>
      </xdr:nvSpPr>
      <xdr:spPr>
        <a:xfrm>
          <a:off x="19091910" y="5577840"/>
          <a:ext cx="5932171" cy="2847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D98D57B-9B51-4260-9007-083B53E6A5B5}"/>
            </a:ext>
          </a:extLst>
        </xdr:cNvPr>
        <xdr:cNvSpPr txBox="1"/>
      </xdr:nvSpPr>
      <xdr:spPr>
        <a:xfrm>
          <a:off x="19091910" y="8869680"/>
          <a:ext cx="5932171" cy="2847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1C88E0-886B-4535-95E5-42E01918E7C7}"/>
            </a:ext>
          </a:extLst>
        </xdr:cNvPr>
        <xdr:cNvSpPr txBox="1"/>
      </xdr:nvSpPr>
      <xdr:spPr>
        <a:xfrm>
          <a:off x="19091910" y="12161520"/>
          <a:ext cx="5932171" cy="5486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A94A691-7DC6-4DE4-B24D-AB063B802491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B5E38D5-41BF-4FC0-93AB-CB136EA068E5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00EF978-155C-4909-9659-9317B2FE789D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FFC435A-DD99-4E50-ABB2-1B1234E0CD7F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ursos\SERVICIOS\2008\A%20CONCURSO\01%20CAM%20Pq%20POLVORANCA\ESTUDIO%20INICIAL\ESTUDIO%20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ursos\SERVICIOS\2008\EN%20ESTUDIO\01%20Ayto%20MADRID%20Recogida%20Casa%20de%20Campo\ESTUDIO%20INICIAL\Varios\ESTUDIO%20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NIO"/>
      <sheetName val="TABLAS"/>
      <sheetName val="Hoja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NIO"/>
      <sheetName val="TABLAS"/>
      <sheetName val="Hoja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Verde amarillo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BreakPreview" topLeftCell="A7" zoomScaleNormal="100" workbookViewId="0">
      <selection activeCell="I18" sqref="I18"/>
    </sheetView>
  </sheetViews>
  <sheetFormatPr baseColWidth="10" defaultColWidth="11" defaultRowHeight="13.2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80C7-CBE0-4D11-86A7-D0886600DF73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5" sqref="M5:N5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903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915</v>
      </c>
      <c r="I3" s="241" t="s">
        <v>916</v>
      </c>
      <c r="J3" s="241" t="s">
        <v>917</v>
      </c>
      <c r="K3" s="241" t="s">
        <v>1001</v>
      </c>
      <c r="L3" s="241" t="s">
        <v>1103</v>
      </c>
      <c r="M3" s="241" t="s">
        <v>918</v>
      </c>
      <c r="N3" s="241" t="s">
        <v>919</v>
      </c>
      <c r="O3" s="241" t="s">
        <v>920</v>
      </c>
      <c r="P3" s="241" t="s">
        <v>921</v>
      </c>
      <c r="Q3" s="241" t="s">
        <v>922</v>
      </c>
      <c r="R3" s="241" t="s">
        <v>923</v>
      </c>
      <c r="S3" s="241" t="s">
        <v>924</v>
      </c>
      <c r="T3" s="241" t="s">
        <v>925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v>1</v>
      </c>
      <c r="L4" s="93">
        <v>1</v>
      </c>
      <c r="M4" s="93">
        <v>1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2">
        <f>'A.1. Plantilla_Subrogacion'!F5</f>
        <v>0</v>
      </c>
      <c r="H5" s="181">
        <f>'A.1.0_TablaAntigüedad_Sub'!I5</f>
        <v>126</v>
      </c>
      <c r="I5" s="183">
        <f>'A.1.0_TablaAntigüedad_Sub'!W5</f>
        <v>446.8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6702</v>
      </c>
      <c r="O5" s="183">
        <f>'A.0_Tablas salariales SC'!$K$9</f>
        <v>20186.149999999998</v>
      </c>
      <c r="P5" s="183">
        <f>(O5+N5)*G5+'A.0_Tablas salariales SC'!$R$28*(100%-'A.1_Tabla Costes Subrog_2026'!G5)</f>
        <v>2019.35</v>
      </c>
      <c r="Q5" s="184">
        <f>IF(D5=100,'A.0_Tablas salariales SC'!$C$215,IF(D5=150,'A.0_Tablas salariales SC'!$C$216,IF(D5=189,'A.0_Tablas salariales SC'!$C$217,IF(D5=400,'A.0_Tablas salariales SC'!$C$218,IF(D5=450,'A.0_Tablas salariales SC'!$C$219,IF(D5=401,'A.0_Tablas salariales SC'!$C$220,IF(D5=451,'A.0_Tablas salariales SC'!$C$221,'A.0_Tablas salariales SC'!$C$215)))))))</f>
        <v>0.34250000000000003</v>
      </c>
      <c r="R5" s="183">
        <f>Q5*P5</f>
        <v>691.62737500000003</v>
      </c>
      <c r="S5" s="183">
        <f>(R5+P5)*A5</f>
        <v>0</v>
      </c>
      <c r="T5" s="179"/>
    </row>
    <row r="6" spans="1:20">
      <c r="A6" s="508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2">
        <f>'A.1. Plantilla_Subrogacion'!F6</f>
        <v>0</v>
      </c>
      <c r="H6" s="181">
        <f>'A.1.0_TablaAntigüedad_Sub'!I6</f>
        <v>126</v>
      </c>
      <c r="I6" s="183">
        <f>'A.1.0_TablaAntigüedad_Sub'!W6</f>
        <v>446.8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12" si="0">I6*$I$4+J6*$J$4+K6*$K$4+$M$4*M6+L6*$L$4</f>
        <v>6702</v>
      </c>
      <c r="O6" s="183">
        <f>'A.0_Tablas salariales SC'!$K$9</f>
        <v>20186.149999999998</v>
      </c>
      <c r="P6" s="183">
        <f>(O6+N6)*G6+'A.0_Tablas salariales SC'!$R$28*(100%-'A.1_Tabla Costes Subrog_2026'!G6)</f>
        <v>2019.35</v>
      </c>
      <c r="Q6" s="184">
        <f>IF(D6=100,'A.0_Tablas salariales SC'!$C$215,IF(D6=150,'A.0_Tablas salariales SC'!$C$216,IF(D6=189,'A.0_Tablas salariales SC'!$C$217,IF(D6=400,'A.0_Tablas salariales SC'!$C$218,IF(D6=450,'A.0_Tablas salariales SC'!$C$219,IF(D6=401,'A.0_Tablas salariales SC'!$C$220,IF(D6=451,'A.0_Tablas salariales SC'!$C$221,'A.0_Tablas salariales SC'!$C$215)))))))</f>
        <v>0.34250000000000003</v>
      </c>
      <c r="R6" s="183">
        <f t="shared" ref="R6:R115" si="1">Q6*P6</f>
        <v>691.62737500000003</v>
      </c>
      <c r="S6" s="183">
        <f t="shared" ref="S6:S113" si="2">(R6+P6)*A6</f>
        <v>0</v>
      </c>
      <c r="T6" s="179"/>
    </row>
    <row r="7" spans="1:20">
      <c r="A7" s="508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2">
        <f>'A.1. Plantilla_Subrogacion'!F7</f>
        <v>0</v>
      </c>
      <c r="H7" s="181">
        <f>'A.1.0_TablaAntigüedad_Sub'!I7</f>
        <v>126</v>
      </c>
      <c r="I7" s="183">
        <f>'A.1.0_TablaAntigüedad_Sub'!W7</f>
        <v>446.8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6702</v>
      </c>
      <c r="O7" s="183">
        <f>'A.0_Tablas salariales SC'!$K$9</f>
        <v>20186.149999999998</v>
      </c>
      <c r="P7" s="183">
        <f>(O7+N7)*G7+'A.0_Tablas salariales SC'!$R$28*(100%-'A.1_Tabla Costes Subrog_2026'!G7)</f>
        <v>2019.35</v>
      </c>
      <c r="Q7" s="184">
        <f>IF(D7=100,'A.0_Tablas salariales SC'!$C$215,IF(D7=150,'A.0_Tablas salariales SC'!$C$216,IF(D7=189,'A.0_Tablas salariales SC'!$C$217,IF(D7=400,'A.0_Tablas salariales SC'!$C$218,IF(D7=450,'A.0_Tablas salariales SC'!$C$219,IF(D7=401,'A.0_Tablas salariales SC'!$C$220,IF(D7=451,'A.0_Tablas salariales SC'!$C$221,'A.0_Tablas salariales SC'!$C$215)))))))</f>
        <v>0.34250000000000003</v>
      </c>
      <c r="R7" s="183">
        <f t="shared" si="1"/>
        <v>691.62737500000003</v>
      </c>
      <c r="S7" s="183">
        <f t="shared" si="2"/>
        <v>0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'A.1.0_TablaAntigüedad_Sub'!I8</f>
        <v>126</v>
      </c>
      <c r="I8" s="183">
        <f>'A.1.0_TablaAntigüedad_Sub'!W8</f>
        <v>446.8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6702</v>
      </c>
      <c r="O8" s="183">
        <f>'A.0_Tablas salariales SC'!$K$9</f>
        <v>20186.149999999998</v>
      </c>
      <c r="P8" s="183">
        <f>(O8+N8)*G8+'A.0_Tablas salariales SC'!$R$28*(100%-'A.1_Tabla Costes Subrog_2026'!G8)</f>
        <v>2019.35</v>
      </c>
      <c r="Q8" s="184">
        <f>IF(D8=100,'A.0_Tablas salariales SC'!$C$215,IF(D8=150,'A.0_Tablas salariales SC'!$C$216,IF(D8=189,'A.0_Tablas salariales SC'!$C$217,IF(D8=400,'A.0_Tablas salariales SC'!$C$218,IF(D8=450,'A.0_Tablas salariales SC'!$C$219,IF(D8=401,'A.0_Tablas salariales SC'!$C$220,IF(D8=451,'A.0_Tablas salariales SC'!$C$221,'A.0_Tablas salariales SC'!$C$215)))))))</f>
        <v>0.34250000000000003</v>
      </c>
      <c r="R8" s="183">
        <f t="shared" ref="R8:R12" si="3">Q8*P8</f>
        <v>691.62737500000003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'A.1.0_TablaAntigüedad_Sub'!I9</f>
        <v>126</v>
      </c>
      <c r="I9" s="183">
        <f>'A.1.0_TablaAntigüedad_Sub'!W9</f>
        <v>446.8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6702</v>
      </c>
      <c r="O9" s="183">
        <f>'A.0_Tablas salariales SC'!$K$9</f>
        <v>20186.149999999998</v>
      </c>
      <c r="P9" s="183">
        <f>(O9+N9)*G9+'A.0_Tablas salariales SC'!$R$28*(100%-'A.1_Tabla Costes Subrog_2026'!G9)</f>
        <v>2019.35</v>
      </c>
      <c r="Q9" s="184">
        <f>IF(D9=100,'A.0_Tablas salariales SC'!$C$215,IF(D9=150,'A.0_Tablas salariales SC'!$C$216,IF(D9=189,'A.0_Tablas salariales SC'!$C$217,IF(D9=400,'A.0_Tablas salariales SC'!$C$218,IF(D9=450,'A.0_Tablas salariales SC'!$C$219,IF(D9=401,'A.0_Tablas salariales SC'!$C$220,IF(D9=451,'A.0_Tablas salariales SC'!$C$221,'A.0_Tablas salariales SC'!$C$215)))))))</f>
        <v>0.34250000000000003</v>
      </c>
      <c r="R9" s="183">
        <f t="shared" si="3"/>
        <v>691.62737500000003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'A.1.0_TablaAntigüedad_Sub'!I10</f>
        <v>126</v>
      </c>
      <c r="I10" s="183">
        <f>'A.1.0_TablaAntigüedad_Sub'!W10</f>
        <v>446.8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6702</v>
      </c>
      <c r="O10" s="183">
        <f>'A.0_Tablas salariales SC'!$K$9</f>
        <v>20186.149999999998</v>
      </c>
      <c r="P10" s="183">
        <f>(O10+N10)*G10+'A.0_Tablas salariales SC'!$R$28*(100%-'A.1_Tabla Costes Subrog_2026'!G10)</f>
        <v>2019.35</v>
      </c>
      <c r="Q10" s="184">
        <f>IF(D10=100,'A.0_Tablas salariales SC'!$C$215,IF(D10=150,'A.0_Tablas salariales SC'!$C$216,IF(D10=189,'A.0_Tablas salariales SC'!$C$217,IF(D10=400,'A.0_Tablas salariales SC'!$C$218,IF(D10=450,'A.0_Tablas salariales SC'!$C$219,IF(D10=401,'A.0_Tablas salariales SC'!$C$220,IF(D10=451,'A.0_Tablas salariales SC'!$C$221,'A.0_Tablas salariales SC'!$C$215)))))))</f>
        <v>0.34250000000000003</v>
      </c>
      <c r="R10" s="183">
        <f t="shared" si="3"/>
        <v>691.62737500000003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'A.1.0_TablaAntigüedad_Sub'!I11</f>
        <v>126</v>
      </c>
      <c r="I11" s="183">
        <f>'A.1.0_TablaAntigüedad_Sub'!W11</f>
        <v>446.8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6702</v>
      </c>
      <c r="O11" s="183">
        <f>'A.0_Tablas salariales SC'!$K$9</f>
        <v>20186.149999999998</v>
      </c>
      <c r="P11" s="183">
        <f>(O11+N11)*G11+'A.0_Tablas salariales SC'!$R$28*(100%-'A.1_Tabla Costes Subrog_2026'!G11)</f>
        <v>2019.35</v>
      </c>
      <c r="Q11" s="184">
        <f>IF(D11=100,'A.0_Tablas salariales SC'!$C$215,IF(D11=150,'A.0_Tablas salariales SC'!$C$216,IF(D11=189,'A.0_Tablas salariales SC'!$C$217,IF(D11=400,'A.0_Tablas salariales SC'!$C$218,IF(D11=450,'A.0_Tablas salariales SC'!$C$219,IF(D11=401,'A.0_Tablas salariales SC'!$C$220,IF(D11=451,'A.0_Tablas salariales SC'!$C$221,'A.0_Tablas salariales SC'!$C$215)))))))</f>
        <v>0.34250000000000003</v>
      </c>
      <c r="R11" s="183">
        <f t="shared" si="3"/>
        <v>691.62737500000003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'A.1.0_TablaAntigüedad_Sub'!I12</f>
        <v>126</v>
      </c>
      <c r="I12" s="183">
        <f>'A.1.0_TablaAntigüedad_Sub'!W12</f>
        <v>446.8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6702</v>
      </c>
      <c r="O12" s="183">
        <f>'A.0_Tablas salariales SC'!$K$9</f>
        <v>20186.149999999998</v>
      </c>
      <c r="P12" s="183">
        <f>(O12+N12)*G12+'A.0_Tablas salariales SC'!$R$28*(100%-'A.1_Tabla Costes Subrog_2026'!G12)</f>
        <v>2019.35</v>
      </c>
      <c r="Q12" s="184">
        <f>IF(D12=100,'A.0_Tablas salariales SC'!$C$215,IF(D12=150,'A.0_Tablas salariales SC'!$C$216,IF(D12=189,'A.0_Tablas salariales SC'!$C$217,IF(D12=400,'A.0_Tablas salariales SC'!$C$218,IF(D12=450,'A.0_Tablas salariales SC'!$C$219,IF(D12=401,'A.0_Tablas salariales SC'!$C$220,IF(D12=451,'A.0_Tablas salariales SC'!$C$221,'A.0_Tablas salariales SC'!$C$215)))))))</f>
        <v>0.34250000000000003</v>
      </c>
      <c r="R12" s="183">
        <f t="shared" si="3"/>
        <v>691.62737500000003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8"/>
      <c r="K13" s="178"/>
      <c r="L13" s="178"/>
      <c r="M13" s="178"/>
      <c r="N13" s="178"/>
      <c r="O13" s="178"/>
      <c r="P13" s="174"/>
      <c r="Q13" s="174"/>
      <c r="R13" s="174"/>
      <c r="S13" s="174"/>
      <c r="T13" s="180">
        <f>SUM(S5:S12)</f>
        <v>0</v>
      </c>
    </row>
    <row r="14" spans="1:20">
      <c r="A14" s="508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2">
        <f>'A.1. Plantilla_Subrogacion'!F14</f>
        <v>0</v>
      </c>
      <c r="H14" s="181">
        <f>'A.1.0_TablaAntigüedad_Sub'!I14</f>
        <v>126</v>
      </c>
      <c r="I14" s="183">
        <f>'A.1.0_TablaAntigüedad_Sub'!W14</f>
        <v>446.8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ref="N14:N77" si="5">I14*$I$4+J14*$J$4+K14*$K$4+$M$4*M14+L14*$L$4</f>
        <v>6702</v>
      </c>
      <c r="O14" s="183">
        <f>'A.0_Tablas salariales SC'!$K$10</f>
        <v>21211.55</v>
      </c>
      <c r="P14" s="183">
        <f>(O14+N14)*G14+'A.0_Tablas salariales SC'!$R$28*(100%-'A.1_Tabla Costes Subrog_2026'!G14)</f>
        <v>2019.35</v>
      </c>
      <c r="Q14" s="184">
        <f>IF(D14=100,'A.0_Tablas salariales SC'!$C$215,IF(D14=150,'A.0_Tablas salariales SC'!$C$216,IF(D14=189,'A.0_Tablas salariales SC'!$C$217,IF(D14=400,'A.0_Tablas salariales SC'!$C$218,IF(D14=450,'A.0_Tablas salariales SC'!$C$219,IF(D14=401,'A.0_Tablas salariales SC'!$C$220,IF(D14=451,'A.0_Tablas salariales SC'!$C$221,'A.0_Tablas salariales SC'!$C$215)))))))</f>
        <v>0.34250000000000003</v>
      </c>
      <c r="R14" s="183">
        <f t="shared" si="1"/>
        <v>691.62737500000003</v>
      </c>
      <c r="S14" s="183">
        <f t="shared" si="2"/>
        <v>0</v>
      </c>
      <c r="T14" s="179"/>
    </row>
    <row r="15" spans="1:20">
      <c r="A15" s="508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2">
        <f>'A.1. Plantilla_Subrogacion'!F15</f>
        <v>0</v>
      </c>
      <c r="H15" s="181">
        <f>'A.1.0_TablaAntigüedad_Sub'!I15</f>
        <v>126</v>
      </c>
      <c r="I15" s="183">
        <f>'A.1.0_TablaAntigüedad_Sub'!W15</f>
        <v>446.8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5"/>
        <v>6702</v>
      </c>
      <c r="O15" s="183">
        <f>'A.0_Tablas salariales SC'!$K$10</f>
        <v>21211.55</v>
      </c>
      <c r="P15" s="183">
        <f>(O15+N15)*G15+'A.0_Tablas salariales SC'!$R$28*(100%-'A.1_Tabla Costes Subrog_2026'!G15)</f>
        <v>2019.35</v>
      </c>
      <c r="Q15" s="184">
        <f>IF(D15=100,'A.0_Tablas salariales SC'!$C$215,IF(D15=150,'A.0_Tablas salariales SC'!$C$216,IF(D15=189,'A.0_Tablas salariales SC'!$C$217,IF(D15=400,'A.0_Tablas salariales SC'!$C$218,IF(D15=450,'A.0_Tablas salariales SC'!$C$219,IF(D15=401,'A.0_Tablas salariales SC'!$C$220,IF(D15=451,'A.0_Tablas salariales SC'!$C$221,'A.0_Tablas salariales SC'!$C$215)))))))</f>
        <v>0.34250000000000003</v>
      </c>
      <c r="R15" s="183">
        <f t="shared" si="1"/>
        <v>691.62737500000003</v>
      </c>
      <c r="S15" s="183">
        <f t="shared" si="2"/>
        <v>0</v>
      </c>
      <c r="T15" s="179"/>
    </row>
    <row r="16" spans="1:20">
      <c r="A16" s="508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2">
        <f>'A.1. Plantilla_Subrogacion'!F16</f>
        <v>0</v>
      </c>
      <c r="H16" s="181">
        <f>'A.1.0_TablaAntigüedad_Sub'!I16</f>
        <v>126</v>
      </c>
      <c r="I16" s="183">
        <f>'A.1.0_TablaAntigüedad_Sub'!W16</f>
        <v>446.8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5"/>
        <v>6702</v>
      </c>
      <c r="O16" s="183">
        <f>'A.0_Tablas salariales SC'!$K$10</f>
        <v>21211.55</v>
      </c>
      <c r="P16" s="183">
        <f>(O16+N16)*G16+'A.0_Tablas salariales SC'!$R$28*(100%-'A.1_Tabla Costes Subrog_2026'!G16)</f>
        <v>2019.35</v>
      </c>
      <c r="Q16" s="184">
        <f>IF(D16=100,'A.0_Tablas salariales SC'!$C$215,IF(D16=150,'A.0_Tablas salariales SC'!$C$216,IF(D16=189,'A.0_Tablas salariales SC'!$C$217,IF(D16=400,'A.0_Tablas salariales SC'!$C$218,IF(D16=450,'A.0_Tablas salariales SC'!$C$219,IF(D16=401,'A.0_Tablas salariales SC'!$C$220,IF(D16=451,'A.0_Tablas salariales SC'!$C$221,'A.0_Tablas salariales SC'!$C$215)))))))</f>
        <v>0.34250000000000003</v>
      </c>
      <c r="R16" s="183">
        <f t="shared" si="1"/>
        <v>691.62737500000003</v>
      </c>
      <c r="S16" s="183">
        <f t="shared" si="2"/>
        <v>0</v>
      </c>
      <c r="T16" s="179"/>
    </row>
    <row r="17" spans="1:20">
      <c r="A17" s="508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2">
        <f>'A.1. Plantilla_Subrogacion'!F17</f>
        <v>0</v>
      </c>
      <c r="H17" s="181">
        <f>'A.1.0_TablaAntigüedad_Sub'!I17</f>
        <v>126</v>
      </c>
      <c r="I17" s="183">
        <f>'A.1.0_TablaAntigüedad_Sub'!W17</f>
        <v>446.8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5"/>
        <v>6702</v>
      </c>
      <c r="O17" s="183">
        <f>'A.0_Tablas salariales SC'!$K$10</f>
        <v>21211.55</v>
      </c>
      <c r="P17" s="183">
        <f>(O17+N17)*G17+'A.0_Tablas salariales SC'!$R$28*(100%-'A.1_Tabla Costes Subrog_2026'!G17)</f>
        <v>2019.35</v>
      </c>
      <c r="Q17" s="184">
        <f>IF(D17=100,'A.0_Tablas salariales SC'!$C$215,IF(D17=150,'A.0_Tablas salariales SC'!$C$216,IF(D17=189,'A.0_Tablas salariales SC'!$C$217,IF(D17=400,'A.0_Tablas salariales SC'!$C$218,IF(D17=450,'A.0_Tablas salariales SC'!$C$219,IF(D17=401,'A.0_Tablas salariales SC'!$C$220,IF(D17=451,'A.0_Tablas salariales SC'!$C$221,'A.0_Tablas salariales SC'!$C$215)))))))</f>
        <v>0.34250000000000003</v>
      </c>
      <c r="R17" s="183">
        <f t="shared" si="1"/>
        <v>691.62737500000003</v>
      </c>
      <c r="S17" s="183">
        <f t="shared" si="2"/>
        <v>0</v>
      </c>
      <c r="T17" s="179"/>
    </row>
    <row r="18" spans="1:20">
      <c r="A18" s="508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2">
        <f>'A.1. Plantilla_Subrogacion'!F18</f>
        <v>0</v>
      </c>
      <c r="H18" s="181">
        <f>'A.1.0_TablaAntigüedad_Sub'!I18</f>
        <v>126</v>
      </c>
      <c r="I18" s="183">
        <f>'A.1.0_TablaAntigüedad_Sub'!W18</f>
        <v>446.8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5"/>
        <v>6702</v>
      </c>
      <c r="O18" s="183">
        <f>'A.0_Tablas salariales SC'!$K$10</f>
        <v>21211.55</v>
      </c>
      <c r="P18" s="183">
        <f>(O18+N18)*G18+'A.0_Tablas salariales SC'!$R$28*(100%-'A.1_Tabla Costes Subrog_2026'!G18)</f>
        <v>2019.35</v>
      </c>
      <c r="Q18" s="184">
        <f>IF(D18=100,'A.0_Tablas salariales SC'!$C$215,IF(D18=150,'A.0_Tablas salariales SC'!$C$216,IF(D18=189,'A.0_Tablas salariales SC'!$C$217,IF(D18=400,'A.0_Tablas salariales SC'!$C$218,IF(D18=450,'A.0_Tablas salariales SC'!$C$219,IF(D18=401,'A.0_Tablas salariales SC'!$C$220,IF(D18=451,'A.0_Tablas salariales SC'!$C$221,'A.0_Tablas salariales SC'!$C$215)))))))</f>
        <v>0.34250000000000003</v>
      </c>
      <c r="R18" s="183">
        <f t="shared" si="1"/>
        <v>691.62737500000003</v>
      </c>
      <c r="S18" s="183">
        <f t="shared" si="2"/>
        <v>0</v>
      </c>
      <c r="T18" s="179"/>
    </row>
    <row r="19" spans="1:20">
      <c r="A19" s="508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2">
        <f>'A.1. Plantilla_Subrogacion'!F19</f>
        <v>0</v>
      </c>
      <c r="H19" s="181">
        <f>'A.1.0_TablaAntigüedad_Sub'!I19</f>
        <v>126</v>
      </c>
      <c r="I19" s="183">
        <f>'A.1.0_TablaAntigüedad_Sub'!W19</f>
        <v>446.8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5"/>
        <v>6702</v>
      </c>
      <c r="O19" s="183">
        <f>'A.0_Tablas salariales SC'!$K$10</f>
        <v>21211.55</v>
      </c>
      <c r="P19" s="183">
        <f>(O19+N19)*G19+'A.0_Tablas salariales SC'!$R$28*(100%-'A.1_Tabla Costes Subrog_2026'!G19)</f>
        <v>2019.35</v>
      </c>
      <c r="Q19" s="184">
        <f>IF(D19=100,'A.0_Tablas salariales SC'!$C$215,IF(D19=150,'A.0_Tablas salariales SC'!$C$216,IF(D19=189,'A.0_Tablas salariales SC'!$C$217,IF(D19=400,'A.0_Tablas salariales SC'!$C$218,IF(D19=450,'A.0_Tablas salariales SC'!$C$219,IF(D19=401,'A.0_Tablas salariales SC'!$C$220,IF(D19=451,'A.0_Tablas salariales SC'!$C$221,'A.0_Tablas salariales SC'!$C$215)))))))</f>
        <v>0.34250000000000003</v>
      </c>
      <c r="R19" s="183">
        <f t="shared" si="1"/>
        <v>691.62737500000003</v>
      </c>
      <c r="S19" s="183">
        <f t="shared" si="2"/>
        <v>0</v>
      </c>
      <c r="T19" s="179"/>
    </row>
    <row r="20" spans="1:20">
      <c r="A20" s="508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2">
        <f>'A.1. Plantilla_Subrogacion'!F20</f>
        <v>0</v>
      </c>
      <c r="H20" s="181">
        <f>'A.1.0_TablaAntigüedad_Sub'!I20</f>
        <v>126</v>
      </c>
      <c r="I20" s="183">
        <f>'A.1.0_TablaAntigüedad_Sub'!W20</f>
        <v>446.8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5"/>
        <v>6702</v>
      </c>
      <c r="O20" s="183">
        <f>'A.0_Tablas salariales SC'!$K$10</f>
        <v>21211.55</v>
      </c>
      <c r="P20" s="183">
        <f>(O20+N20)*G20+'A.0_Tablas salariales SC'!$R$28*(100%-'A.1_Tabla Costes Subrog_2026'!G20)</f>
        <v>2019.35</v>
      </c>
      <c r="Q20" s="184">
        <f>IF(D20=100,'A.0_Tablas salariales SC'!$C$215,IF(D20=150,'A.0_Tablas salariales SC'!$C$216,IF(D20=189,'A.0_Tablas salariales SC'!$C$217,IF(D20=400,'A.0_Tablas salariales SC'!$C$218,IF(D20=450,'A.0_Tablas salariales SC'!$C$219,IF(D20=401,'A.0_Tablas salariales SC'!$C$220,IF(D20=451,'A.0_Tablas salariales SC'!$C$221,'A.0_Tablas salariales SC'!$C$215)))))))</f>
        <v>0.34250000000000003</v>
      </c>
      <c r="R20" s="183">
        <f t="shared" si="1"/>
        <v>691.62737500000003</v>
      </c>
      <c r="S20" s="183">
        <f t="shared" si="2"/>
        <v>0</v>
      </c>
      <c r="T20" s="179"/>
    </row>
    <row r="21" spans="1:20">
      <c r="A21" s="508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2">
        <f>'A.1. Plantilla_Subrogacion'!F21</f>
        <v>0</v>
      </c>
      <c r="H21" s="181">
        <f>'A.1.0_TablaAntigüedad_Sub'!I21</f>
        <v>126</v>
      </c>
      <c r="I21" s="183">
        <f>'A.1.0_TablaAntigüedad_Sub'!W21</f>
        <v>446.8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5"/>
        <v>6702</v>
      </c>
      <c r="O21" s="183">
        <f>'A.0_Tablas salariales SC'!$K$10</f>
        <v>21211.55</v>
      </c>
      <c r="P21" s="183">
        <f>(O21+N21)*G21+'A.0_Tablas salariales SC'!$R$28*(100%-'A.1_Tabla Costes Subrog_2026'!G21)</f>
        <v>2019.35</v>
      </c>
      <c r="Q21" s="184">
        <f>IF(D21=100,'A.0_Tablas salariales SC'!$C$215,IF(D21=150,'A.0_Tablas salariales SC'!$C$216,IF(D21=189,'A.0_Tablas salariales SC'!$C$217,IF(D21=400,'A.0_Tablas salariales SC'!$C$218,IF(D21=450,'A.0_Tablas salariales SC'!$C$219,IF(D21=401,'A.0_Tablas salariales SC'!$C$220,IF(D21=451,'A.0_Tablas salariales SC'!$C$221,'A.0_Tablas salariales SC'!$C$215)))))))</f>
        <v>0.34250000000000003</v>
      </c>
      <c r="R21" s="183">
        <f t="shared" si="1"/>
        <v>691.62737500000003</v>
      </c>
      <c r="S21" s="183">
        <f t="shared" si="2"/>
        <v>0</v>
      </c>
      <c r="T21" s="179"/>
    </row>
    <row r="22" spans="1:20">
      <c r="A22" s="508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2">
        <f>'A.1. Plantilla_Subrogacion'!F22</f>
        <v>0</v>
      </c>
      <c r="H22" s="181">
        <f>'A.1.0_TablaAntigüedad_Sub'!I22</f>
        <v>126</v>
      </c>
      <c r="I22" s="183">
        <f>'A.1.0_TablaAntigüedad_Sub'!W22</f>
        <v>446.8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5"/>
        <v>6702</v>
      </c>
      <c r="O22" s="183">
        <f>'A.0_Tablas salariales SC'!$K$10</f>
        <v>21211.55</v>
      </c>
      <c r="P22" s="183">
        <f>(O22+N22)*G22+'A.0_Tablas salariales SC'!$R$28*(100%-'A.1_Tabla Costes Subrog_2026'!G22)</f>
        <v>2019.35</v>
      </c>
      <c r="Q22" s="184">
        <f>IF(D22=100,'A.0_Tablas salariales SC'!$C$215,IF(D22=150,'A.0_Tablas salariales SC'!$C$216,IF(D22=189,'A.0_Tablas salariales SC'!$C$217,IF(D22=400,'A.0_Tablas salariales SC'!$C$218,IF(D22=450,'A.0_Tablas salariales SC'!$C$219,IF(D22=401,'A.0_Tablas salariales SC'!$C$220,IF(D22=451,'A.0_Tablas salariales SC'!$C$221,'A.0_Tablas salariales SC'!$C$215)))))))</f>
        <v>0.34250000000000003</v>
      </c>
      <c r="R22" s="183">
        <f t="shared" si="1"/>
        <v>691.62737500000003</v>
      </c>
      <c r="S22" s="183">
        <f t="shared" si="2"/>
        <v>0</v>
      </c>
      <c r="T22" s="179"/>
    </row>
    <row r="23" spans="1:20">
      <c r="A23" s="508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2">
        <f>'A.1. Plantilla_Subrogacion'!F23</f>
        <v>0</v>
      </c>
      <c r="H23" s="181">
        <f>'A.1.0_TablaAntigüedad_Sub'!I23</f>
        <v>126</v>
      </c>
      <c r="I23" s="183">
        <f>'A.1.0_TablaAntigüedad_Sub'!W23</f>
        <v>446.8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5"/>
        <v>6702</v>
      </c>
      <c r="O23" s="183">
        <f>'A.0_Tablas salariales SC'!$K$10</f>
        <v>21211.55</v>
      </c>
      <c r="P23" s="183">
        <f>(O23+N23)*G23+'A.0_Tablas salariales SC'!$R$28*(100%-'A.1_Tabla Costes Subrog_2026'!G23)</f>
        <v>2019.35</v>
      </c>
      <c r="Q23" s="184">
        <f>IF(D23=100,'A.0_Tablas salariales SC'!$C$215,IF(D23=150,'A.0_Tablas salariales SC'!$C$216,IF(D23=189,'A.0_Tablas salariales SC'!$C$217,IF(D23=400,'A.0_Tablas salariales SC'!$C$218,IF(D23=450,'A.0_Tablas salariales SC'!$C$219,IF(D23=401,'A.0_Tablas salariales SC'!$C$220,IF(D23=451,'A.0_Tablas salariales SC'!$C$221,'A.0_Tablas salariales SC'!$C$215)))))))</f>
        <v>0.34250000000000003</v>
      </c>
      <c r="R23" s="183">
        <f t="shared" si="1"/>
        <v>691.62737500000003</v>
      </c>
      <c r="S23" s="183">
        <f t="shared" si="2"/>
        <v>0</v>
      </c>
      <c r="T23" s="179"/>
    </row>
    <row r="24" spans="1:20">
      <c r="A24" s="508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2">
        <f>'A.1. Plantilla_Subrogacion'!F24</f>
        <v>0</v>
      </c>
      <c r="H24" s="181">
        <f>'A.1.0_TablaAntigüedad_Sub'!I24</f>
        <v>126</v>
      </c>
      <c r="I24" s="183">
        <f>'A.1.0_TablaAntigüedad_Sub'!W24</f>
        <v>446.8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5"/>
        <v>6702</v>
      </c>
      <c r="O24" s="183">
        <f>'A.0_Tablas salariales SC'!$K$10</f>
        <v>21211.55</v>
      </c>
      <c r="P24" s="183">
        <f>(O24+N24)*G24+'A.0_Tablas salariales SC'!$R$28*(100%-'A.1_Tabla Costes Subrog_2026'!G24)</f>
        <v>2019.35</v>
      </c>
      <c r="Q24" s="184">
        <f>IF(D24=100,'A.0_Tablas salariales SC'!$C$215,IF(D24=150,'A.0_Tablas salariales SC'!$C$216,IF(D24=189,'A.0_Tablas salariales SC'!$C$217,IF(D24=400,'A.0_Tablas salariales SC'!$C$218,IF(D24=450,'A.0_Tablas salariales SC'!$C$219,IF(D24=401,'A.0_Tablas salariales SC'!$C$220,IF(D24=451,'A.0_Tablas salariales SC'!$C$221,'A.0_Tablas salariales SC'!$C$215)))))))</f>
        <v>0.34250000000000003</v>
      </c>
      <c r="R24" s="183">
        <f t="shared" si="1"/>
        <v>691.62737500000003</v>
      </c>
      <c r="S24" s="183">
        <f t="shared" si="2"/>
        <v>0</v>
      </c>
      <c r="T24" s="179"/>
    </row>
    <row r="25" spans="1:20">
      <c r="A25" s="508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2">
        <f>'A.1. Plantilla_Subrogacion'!F25</f>
        <v>0</v>
      </c>
      <c r="H25" s="181">
        <f>'A.1.0_TablaAntigüedad_Sub'!I25</f>
        <v>126</v>
      </c>
      <c r="I25" s="183">
        <f>'A.1.0_TablaAntigüedad_Sub'!W25</f>
        <v>446.8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5"/>
        <v>6702</v>
      </c>
      <c r="O25" s="183">
        <f>'A.0_Tablas salariales SC'!$K$10</f>
        <v>21211.55</v>
      </c>
      <c r="P25" s="183">
        <f>(O25+N25)*G25+'A.0_Tablas salariales SC'!$R$28*(100%-'A.1_Tabla Costes Subrog_2026'!G25)</f>
        <v>2019.35</v>
      </c>
      <c r="Q25" s="184">
        <f>IF(D25=100,'A.0_Tablas salariales SC'!$C$215,IF(D25=150,'A.0_Tablas salariales SC'!$C$216,IF(D25=189,'A.0_Tablas salariales SC'!$C$217,IF(D25=400,'A.0_Tablas salariales SC'!$C$218,IF(D25=450,'A.0_Tablas salariales SC'!$C$219,IF(D25=401,'A.0_Tablas salariales SC'!$C$220,IF(D25=451,'A.0_Tablas salariales SC'!$C$221,'A.0_Tablas salariales SC'!$C$215)))))))</f>
        <v>0.34250000000000003</v>
      </c>
      <c r="R25" s="183">
        <f t="shared" si="1"/>
        <v>691.62737500000003</v>
      </c>
      <c r="S25" s="183">
        <f t="shared" si="2"/>
        <v>0</v>
      </c>
      <c r="T25" s="179"/>
    </row>
    <row r="26" spans="1:20">
      <c r="A26" s="508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2">
        <f>'A.1. Plantilla_Subrogacion'!F26</f>
        <v>0</v>
      </c>
      <c r="H26" s="181">
        <f>'A.1.0_TablaAntigüedad_Sub'!I26</f>
        <v>126</v>
      </c>
      <c r="I26" s="183">
        <f>'A.1.0_TablaAntigüedad_Sub'!W26</f>
        <v>446.8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5"/>
        <v>6702</v>
      </c>
      <c r="O26" s="183">
        <f>'A.0_Tablas salariales SC'!$K$10</f>
        <v>21211.55</v>
      </c>
      <c r="P26" s="183">
        <f>(O26+N26)*G26+'A.0_Tablas salariales SC'!$R$28*(100%-'A.1_Tabla Costes Subrog_2026'!G26)</f>
        <v>2019.35</v>
      </c>
      <c r="Q26" s="184">
        <f>IF(D26=100,'A.0_Tablas salariales SC'!$C$215,IF(D26=150,'A.0_Tablas salariales SC'!$C$216,IF(D26=189,'A.0_Tablas salariales SC'!$C$217,IF(D26=400,'A.0_Tablas salariales SC'!$C$218,IF(D26=450,'A.0_Tablas salariales SC'!$C$219,IF(D26=401,'A.0_Tablas salariales SC'!$C$220,IF(D26=451,'A.0_Tablas salariales SC'!$C$221,'A.0_Tablas salariales SC'!$C$215)))))))</f>
        <v>0.34250000000000003</v>
      </c>
      <c r="R26" s="183">
        <f t="shared" si="1"/>
        <v>691.62737500000003</v>
      </c>
      <c r="S26" s="183">
        <f t="shared" si="2"/>
        <v>0</v>
      </c>
      <c r="T26" s="179"/>
    </row>
    <row r="27" spans="1:20">
      <c r="A27" s="508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2">
        <f>'A.1. Plantilla_Subrogacion'!F27</f>
        <v>0</v>
      </c>
      <c r="H27" s="181">
        <f>'A.1.0_TablaAntigüedad_Sub'!I27</f>
        <v>126</v>
      </c>
      <c r="I27" s="183">
        <f>'A.1.0_TablaAntigüedad_Sub'!W27</f>
        <v>446.8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5"/>
        <v>6702</v>
      </c>
      <c r="O27" s="183">
        <f>'A.0_Tablas salariales SC'!$K$10</f>
        <v>21211.55</v>
      </c>
      <c r="P27" s="183">
        <f>(O27+N27)*G27+'A.0_Tablas salariales SC'!$R$28*(100%-'A.1_Tabla Costes Subrog_2026'!G27)</f>
        <v>2019.35</v>
      </c>
      <c r="Q27" s="184">
        <f>IF(D27=100,'A.0_Tablas salariales SC'!$C$215,IF(D27=150,'A.0_Tablas salariales SC'!$C$216,IF(D27=189,'A.0_Tablas salariales SC'!$C$217,IF(D27=400,'A.0_Tablas salariales SC'!$C$218,IF(D27=450,'A.0_Tablas salariales SC'!$C$219,IF(D27=401,'A.0_Tablas salariales SC'!$C$220,IF(D27=451,'A.0_Tablas salariales SC'!$C$221,'A.0_Tablas salariales SC'!$C$215)))))))</f>
        <v>0.34250000000000003</v>
      </c>
      <c r="R27" s="183">
        <f t="shared" si="1"/>
        <v>691.62737500000003</v>
      </c>
      <c r="S27" s="183">
        <f t="shared" si="2"/>
        <v>0</v>
      </c>
      <c r="T27" s="179"/>
    </row>
    <row r="28" spans="1:20">
      <c r="A28" s="508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2">
        <f>'A.1. Plantilla_Subrogacion'!F28</f>
        <v>0</v>
      </c>
      <c r="H28" s="181">
        <f>'A.1.0_TablaAntigüedad_Sub'!I28</f>
        <v>126</v>
      </c>
      <c r="I28" s="183">
        <f>'A.1.0_TablaAntigüedad_Sub'!W28</f>
        <v>446.8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5"/>
        <v>6702</v>
      </c>
      <c r="O28" s="183">
        <f>'A.0_Tablas salariales SC'!$K$10</f>
        <v>21211.55</v>
      </c>
      <c r="P28" s="183">
        <f>(O28+N28)*G28+'A.0_Tablas salariales SC'!$R$28*(100%-'A.1_Tabla Costes Subrog_2026'!G28)</f>
        <v>2019.35</v>
      </c>
      <c r="Q28" s="184">
        <f>IF(D28=100,'A.0_Tablas salariales SC'!$C$215,IF(D28=150,'A.0_Tablas salariales SC'!$C$216,IF(D28=189,'A.0_Tablas salariales SC'!$C$217,IF(D28=400,'A.0_Tablas salariales SC'!$C$218,IF(D28=450,'A.0_Tablas salariales SC'!$C$219,IF(D28=401,'A.0_Tablas salariales SC'!$C$220,IF(D28=451,'A.0_Tablas salariales SC'!$C$221,'A.0_Tablas salariales SC'!$C$215)))))))</f>
        <v>0.34250000000000003</v>
      </c>
      <c r="R28" s="183">
        <f t="shared" si="1"/>
        <v>691.62737500000003</v>
      </c>
      <c r="S28" s="183">
        <f t="shared" si="2"/>
        <v>0</v>
      </c>
      <c r="T28" s="179"/>
    </row>
    <row r="29" spans="1:20">
      <c r="A29" s="508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2">
        <f>'A.1. Plantilla_Subrogacion'!F29</f>
        <v>0</v>
      </c>
      <c r="H29" s="181">
        <f>'A.1.0_TablaAntigüedad_Sub'!I29</f>
        <v>126</v>
      </c>
      <c r="I29" s="183">
        <f>'A.1.0_TablaAntigüedad_Sub'!W29</f>
        <v>446.8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5"/>
        <v>6702</v>
      </c>
      <c r="O29" s="183">
        <f>'A.0_Tablas salariales SC'!$K$10</f>
        <v>21211.55</v>
      </c>
      <c r="P29" s="183">
        <f>(O29+N29)*G29+'A.0_Tablas salariales SC'!$R$28*(100%-'A.1_Tabla Costes Subrog_2026'!G29)</f>
        <v>2019.35</v>
      </c>
      <c r="Q29" s="184">
        <f>IF(D29=100,'A.0_Tablas salariales SC'!$C$215,IF(D29=150,'A.0_Tablas salariales SC'!$C$216,IF(D29=189,'A.0_Tablas salariales SC'!$C$217,IF(D29=400,'A.0_Tablas salariales SC'!$C$218,IF(D29=450,'A.0_Tablas salariales SC'!$C$219,IF(D29=401,'A.0_Tablas salariales SC'!$C$220,IF(D29=451,'A.0_Tablas salariales SC'!$C$221,'A.0_Tablas salariales SC'!$C$215)))))))</f>
        <v>0.34250000000000003</v>
      </c>
      <c r="R29" s="183">
        <f t="shared" si="1"/>
        <v>691.62737500000003</v>
      </c>
      <c r="S29" s="183">
        <f t="shared" si="2"/>
        <v>0</v>
      </c>
      <c r="T29" s="179"/>
    </row>
    <row r="30" spans="1:20">
      <c r="A30" s="508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2">
        <f>'A.1. Plantilla_Subrogacion'!F30</f>
        <v>0</v>
      </c>
      <c r="H30" s="181">
        <f>'A.1.0_TablaAntigüedad_Sub'!I30</f>
        <v>126</v>
      </c>
      <c r="I30" s="183">
        <f>'A.1.0_TablaAntigüedad_Sub'!W30</f>
        <v>446.8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5"/>
        <v>6702</v>
      </c>
      <c r="O30" s="183">
        <f>'A.0_Tablas salariales SC'!$K$10</f>
        <v>21211.55</v>
      </c>
      <c r="P30" s="183">
        <f>(O30+N30)*G30+'A.0_Tablas salariales SC'!$R$28*(100%-'A.1_Tabla Costes Subrog_2026'!G30)</f>
        <v>2019.35</v>
      </c>
      <c r="Q30" s="184">
        <f>IF(D30=100,'A.0_Tablas salariales SC'!$C$215,IF(D30=150,'A.0_Tablas salariales SC'!$C$216,IF(D30=189,'A.0_Tablas salariales SC'!$C$217,IF(D30=400,'A.0_Tablas salariales SC'!$C$218,IF(D30=450,'A.0_Tablas salariales SC'!$C$219,IF(D30=401,'A.0_Tablas salariales SC'!$C$220,IF(D30=451,'A.0_Tablas salariales SC'!$C$221,'A.0_Tablas salariales SC'!$C$215)))))))</f>
        <v>0.34250000000000003</v>
      </c>
      <c r="R30" s="183">
        <f t="shared" si="1"/>
        <v>691.62737500000003</v>
      </c>
      <c r="S30" s="183">
        <f t="shared" si="2"/>
        <v>0</v>
      </c>
      <c r="T30" s="179"/>
    </row>
    <row r="31" spans="1:20">
      <c r="A31" s="508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2">
        <f>'A.1. Plantilla_Subrogacion'!F31</f>
        <v>0</v>
      </c>
      <c r="H31" s="181">
        <f>'A.1.0_TablaAntigüedad_Sub'!I31</f>
        <v>126</v>
      </c>
      <c r="I31" s="183">
        <f>'A.1.0_TablaAntigüedad_Sub'!W31</f>
        <v>446.8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5"/>
        <v>6702</v>
      </c>
      <c r="O31" s="183">
        <f>'A.0_Tablas salariales SC'!$K$10</f>
        <v>21211.55</v>
      </c>
      <c r="P31" s="183">
        <f>(O31+N31)*G31+'A.0_Tablas salariales SC'!$R$28*(100%-'A.1_Tabla Costes Subrog_2026'!G31)</f>
        <v>2019.35</v>
      </c>
      <c r="Q31" s="184">
        <f>IF(D31=100,'A.0_Tablas salariales SC'!$C$215,IF(D31=150,'A.0_Tablas salariales SC'!$C$216,IF(D31=189,'A.0_Tablas salariales SC'!$C$217,IF(D31=400,'A.0_Tablas salariales SC'!$C$218,IF(D31=450,'A.0_Tablas salariales SC'!$C$219,IF(D31=401,'A.0_Tablas salariales SC'!$C$220,IF(D31=451,'A.0_Tablas salariales SC'!$C$221,'A.0_Tablas salariales SC'!$C$215)))))))</f>
        <v>0.34250000000000003</v>
      </c>
      <c r="R31" s="183">
        <f t="shared" si="1"/>
        <v>691.62737500000003</v>
      </c>
      <c r="S31" s="183">
        <f t="shared" si="2"/>
        <v>0</v>
      </c>
      <c r="T31" s="179"/>
    </row>
    <row r="32" spans="1:20">
      <c r="A32" s="508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2">
        <f>'A.1. Plantilla_Subrogacion'!F32</f>
        <v>0</v>
      </c>
      <c r="H32" s="181">
        <f>'A.1.0_TablaAntigüedad_Sub'!I32</f>
        <v>126</v>
      </c>
      <c r="I32" s="183">
        <f>'A.1.0_TablaAntigüedad_Sub'!W32</f>
        <v>446.8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5"/>
        <v>6702</v>
      </c>
      <c r="O32" s="183">
        <f>'A.0_Tablas salariales SC'!$K$10</f>
        <v>21211.55</v>
      </c>
      <c r="P32" s="183">
        <f>(O32+N32)*G32+'A.0_Tablas salariales SC'!$R$28*(100%-'A.1_Tabla Costes Subrog_2026'!G32)</f>
        <v>2019.35</v>
      </c>
      <c r="Q32" s="184">
        <f>IF(D32=100,'A.0_Tablas salariales SC'!$C$215,IF(D32=150,'A.0_Tablas salariales SC'!$C$216,IF(D32=189,'A.0_Tablas salariales SC'!$C$217,IF(D32=400,'A.0_Tablas salariales SC'!$C$218,IF(D32=450,'A.0_Tablas salariales SC'!$C$219,IF(D32=401,'A.0_Tablas salariales SC'!$C$220,IF(D32=451,'A.0_Tablas salariales SC'!$C$221,'A.0_Tablas salariales SC'!$C$215)))))))</f>
        <v>0.34250000000000003</v>
      </c>
      <c r="R32" s="183">
        <f t="shared" si="1"/>
        <v>691.62737500000003</v>
      </c>
      <c r="S32" s="183">
        <f t="shared" si="2"/>
        <v>0</v>
      </c>
      <c r="T32" s="179"/>
    </row>
    <row r="33" spans="1:20">
      <c r="A33" s="508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2">
        <f>'A.1. Plantilla_Subrogacion'!F33</f>
        <v>0</v>
      </c>
      <c r="H33" s="181">
        <f>'A.1.0_TablaAntigüedad_Sub'!I33</f>
        <v>126</v>
      </c>
      <c r="I33" s="183">
        <f>'A.1.0_TablaAntigüedad_Sub'!W33</f>
        <v>446.8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5"/>
        <v>6702</v>
      </c>
      <c r="O33" s="183">
        <f>'A.0_Tablas salariales SC'!$K$10</f>
        <v>21211.55</v>
      </c>
      <c r="P33" s="183">
        <f>(O33+N33)*G33+'A.0_Tablas salariales SC'!$R$28*(100%-'A.1_Tabla Costes Subrog_2026'!G33)</f>
        <v>2019.35</v>
      </c>
      <c r="Q33" s="184">
        <f>IF(D33=100,'A.0_Tablas salariales SC'!$C$215,IF(D33=150,'A.0_Tablas salariales SC'!$C$216,IF(D33=189,'A.0_Tablas salariales SC'!$C$217,IF(D33=400,'A.0_Tablas salariales SC'!$C$218,IF(D33=450,'A.0_Tablas salariales SC'!$C$219,IF(D33=401,'A.0_Tablas salariales SC'!$C$220,IF(D33=451,'A.0_Tablas salariales SC'!$C$221,'A.0_Tablas salariales SC'!$C$215)))))))</f>
        <v>0.34250000000000003</v>
      </c>
      <c r="R33" s="183">
        <f t="shared" si="1"/>
        <v>691.62737500000003</v>
      </c>
      <c r="S33" s="183">
        <f t="shared" si="2"/>
        <v>0</v>
      </c>
      <c r="T33" s="179"/>
    </row>
    <row r="34" spans="1:20">
      <c r="A34" s="508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2">
        <f>'A.1. Plantilla_Subrogacion'!F34</f>
        <v>0</v>
      </c>
      <c r="H34" s="181">
        <f>'A.1.0_TablaAntigüedad_Sub'!I34</f>
        <v>126</v>
      </c>
      <c r="I34" s="183">
        <f>'A.1.0_TablaAntigüedad_Sub'!W34</f>
        <v>446.8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5"/>
        <v>6702</v>
      </c>
      <c r="O34" s="183">
        <f>'A.0_Tablas salariales SC'!$K$10</f>
        <v>21211.55</v>
      </c>
      <c r="P34" s="183">
        <f>(O34+N34)*G34+'A.0_Tablas salariales SC'!$R$28*(100%-'A.1_Tabla Costes Subrog_2026'!G34)</f>
        <v>2019.35</v>
      </c>
      <c r="Q34" s="184">
        <f>IF(D34=100,'A.0_Tablas salariales SC'!$C$215,IF(D34=150,'A.0_Tablas salariales SC'!$C$216,IF(D34=189,'A.0_Tablas salariales SC'!$C$217,IF(D34=400,'A.0_Tablas salariales SC'!$C$218,IF(D34=450,'A.0_Tablas salariales SC'!$C$219,IF(D34=401,'A.0_Tablas salariales SC'!$C$220,IF(D34=451,'A.0_Tablas salariales SC'!$C$221,'A.0_Tablas salariales SC'!$C$215)))))))</f>
        <v>0.34250000000000003</v>
      </c>
      <c r="R34" s="183">
        <f t="shared" si="1"/>
        <v>691.62737500000003</v>
      </c>
      <c r="S34" s="183">
        <f t="shared" si="2"/>
        <v>0</v>
      </c>
      <c r="T34" s="179"/>
    </row>
    <row r="35" spans="1:20">
      <c r="A35" s="508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2">
        <f>'A.1. Plantilla_Subrogacion'!F35</f>
        <v>0</v>
      </c>
      <c r="H35" s="181">
        <f>'A.1.0_TablaAntigüedad_Sub'!I35</f>
        <v>126</v>
      </c>
      <c r="I35" s="183">
        <f>'A.1.0_TablaAntigüedad_Sub'!W35</f>
        <v>446.8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5"/>
        <v>6702</v>
      </c>
      <c r="O35" s="183">
        <f>'A.0_Tablas salariales SC'!$K$10</f>
        <v>21211.55</v>
      </c>
      <c r="P35" s="183">
        <f>(O35+N35)*G35+'A.0_Tablas salariales SC'!$R$28*(100%-'A.1_Tabla Costes Subrog_2026'!G35)</f>
        <v>2019.35</v>
      </c>
      <c r="Q35" s="184">
        <f>IF(D35=100,'A.0_Tablas salariales SC'!$C$215,IF(D35=150,'A.0_Tablas salariales SC'!$C$216,IF(D35=189,'A.0_Tablas salariales SC'!$C$217,IF(D35=400,'A.0_Tablas salariales SC'!$C$218,IF(D35=450,'A.0_Tablas salariales SC'!$C$219,IF(D35=401,'A.0_Tablas salariales SC'!$C$220,IF(D35=451,'A.0_Tablas salariales SC'!$C$221,'A.0_Tablas salariales SC'!$C$215)))))))</f>
        <v>0.34250000000000003</v>
      </c>
      <c r="R35" s="183">
        <f t="shared" si="1"/>
        <v>691.62737500000003</v>
      </c>
      <c r="S35" s="183">
        <f t="shared" si="2"/>
        <v>0</v>
      </c>
      <c r="T35" s="179"/>
    </row>
    <row r="36" spans="1:20">
      <c r="A36" s="508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2">
        <f>'A.1. Plantilla_Subrogacion'!F36</f>
        <v>0</v>
      </c>
      <c r="H36" s="181">
        <f>'A.1.0_TablaAntigüedad_Sub'!I36</f>
        <v>126</v>
      </c>
      <c r="I36" s="183">
        <f>'A.1.0_TablaAntigüedad_Sub'!W36</f>
        <v>446.8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5"/>
        <v>6702</v>
      </c>
      <c r="O36" s="183">
        <f>'A.0_Tablas salariales SC'!$K$10</f>
        <v>21211.55</v>
      </c>
      <c r="P36" s="183">
        <f>(O36+N36)*G36+'A.0_Tablas salariales SC'!$R$28*(100%-'A.1_Tabla Costes Subrog_2026'!G36)</f>
        <v>2019.35</v>
      </c>
      <c r="Q36" s="184">
        <f>IF(D36=100,'A.0_Tablas salariales SC'!$C$215,IF(D36=150,'A.0_Tablas salariales SC'!$C$216,IF(D36=189,'A.0_Tablas salariales SC'!$C$217,IF(D36=400,'A.0_Tablas salariales SC'!$C$218,IF(D36=450,'A.0_Tablas salariales SC'!$C$219,IF(D36=401,'A.0_Tablas salariales SC'!$C$220,IF(D36=451,'A.0_Tablas salariales SC'!$C$221,'A.0_Tablas salariales SC'!$C$215)))))))</f>
        <v>0.34250000000000003</v>
      </c>
      <c r="R36" s="183">
        <f t="shared" si="1"/>
        <v>691.62737500000003</v>
      </c>
      <c r="S36" s="183">
        <f t="shared" si="2"/>
        <v>0</v>
      </c>
      <c r="T36" s="179"/>
    </row>
    <row r="37" spans="1:20">
      <c r="A37" s="508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2">
        <f>'A.1. Plantilla_Subrogacion'!F37</f>
        <v>0</v>
      </c>
      <c r="H37" s="181">
        <f>'A.1.0_TablaAntigüedad_Sub'!I37</f>
        <v>126</v>
      </c>
      <c r="I37" s="183">
        <f>'A.1.0_TablaAntigüedad_Sub'!W37</f>
        <v>446.8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5"/>
        <v>6702</v>
      </c>
      <c r="O37" s="183">
        <f>'A.0_Tablas salariales SC'!$K$10</f>
        <v>21211.55</v>
      </c>
      <c r="P37" s="183">
        <f>(O37+N37)*G37+'A.0_Tablas salariales SC'!$R$28*(100%-'A.1_Tabla Costes Subrog_2026'!G37)</f>
        <v>2019.35</v>
      </c>
      <c r="Q37" s="184">
        <f>IF(D37=100,'A.0_Tablas salariales SC'!$C$215,IF(D37=150,'A.0_Tablas salariales SC'!$C$216,IF(D37=189,'A.0_Tablas salariales SC'!$C$217,IF(D37=400,'A.0_Tablas salariales SC'!$C$218,IF(D37=450,'A.0_Tablas salariales SC'!$C$219,IF(D37=401,'A.0_Tablas salariales SC'!$C$220,IF(D37=451,'A.0_Tablas salariales SC'!$C$221,'A.0_Tablas salariales SC'!$C$215)))))))</f>
        <v>0.34250000000000003</v>
      </c>
      <c r="R37" s="183">
        <f t="shared" si="1"/>
        <v>691.62737500000003</v>
      </c>
      <c r="S37" s="183">
        <f t="shared" si="2"/>
        <v>0</v>
      </c>
      <c r="T37" s="179"/>
    </row>
    <row r="38" spans="1:20">
      <c r="A38" s="508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2">
        <f>'A.1. Plantilla_Subrogacion'!F38</f>
        <v>0</v>
      </c>
      <c r="H38" s="181">
        <f>'A.1.0_TablaAntigüedad_Sub'!I38</f>
        <v>126</v>
      </c>
      <c r="I38" s="183">
        <f>'A.1.0_TablaAntigüedad_Sub'!W38</f>
        <v>446.8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5"/>
        <v>6702</v>
      </c>
      <c r="O38" s="183">
        <f>'A.0_Tablas salariales SC'!$K$10</f>
        <v>21211.55</v>
      </c>
      <c r="P38" s="183">
        <f>(O38+N38)*G38+'A.0_Tablas salariales SC'!$R$28*(100%-'A.1_Tabla Costes Subrog_2026'!G38)</f>
        <v>2019.35</v>
      </c>
      <c r="Q38" s="184">
        <f>IF(D38=100,'A.0_Tablas salariales SC'!$C$215,IF(D38=150,'A.0_Tablas salariales SC'!$C$216,IF(D38=189,'A.0_Tablas salariales SC'!$C$217,IF(D38=400,'A.0_Tablas salariales SC'!$C$218,IF(D38=450,'A.0_Tablas salariales SC'!$C$219,IF(D38=401,'A.0_Tablas salariales SC'!$C$220,IF(D38=451,'A.0_Tablas salariales SC'!$C$221,'A.0_Tablas salariales SC'!$C$215)))))))</f>
        <v>0.34250000000000003</v>
      </c>
      <c r="R38" s="183">
        <f t="shared" si="1"/>
        <v>691.62737500000003</v>
      </c>
      <c r="S38" s="183">
        <f t="shared" si="2"/>
        <v>0</v>
      </c>
      <c r="T38" s="179"/>
    </row>
    <row r="39" spans="1:20">
      <c r="A39" s="508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2">
        <f>'A.1. Plantilla_Subrogacion'!F39</f>
        <v>0</v>
      </c>
      <c r="H39" s="181">
        <f>'A.1.0_TablaAntigüedad_Sub'!I39</f>
        <v>126</v>
      </c>
      <c r="I39" s="183">
        <f>'A.1.0_TablaAntigüedad_Sub'!W39</f>
        <v>446.8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5"/>
        <v>6702</v>
      </c>
      <c r="O39" s="183">
        <f>'A.0_Tablas salariales SC'!$K$10</f>
        <v>21211.55</v>
      </c>
      <c r="P39" s="183">
        <f>(O39+N39)*G39+'A.0_Tablas salariales SC'!$R$28*(100%-'A.1_Tabla Costes Subrog_2026'!G39)</f>
        <v>2019.35</v>
      </c>
      <c r="Q39" s="184">
        <f>IF(D39=100,'A.0_Tablas salariales SC'!$C$215,IF(D39=150,'A.0_Tablas salariales SC'!$C$216,IF(D39=189,'A.0_Tablas salariales SC'!$C$217,IF(D39=400,'A.0_Tablas salariales SC'!$C$218,IF(D39=450,'A.0_Tablas salariales SC'!$C$219,IF(D39=401,'A.0_Tablas salariales SC'!$C$220,IF(D39=451,'A.0_Tablas salariales SC'!$C$221,'A.0_Tablas salariales SC'!$C$215)))))))</f>
        <v>0.34250000000000003</v>
      </c>
      <c r="R39" s="183">
        <f t="shared" si="1"/>
        <v>691.62737500000003</v>
      </c>
      <c r="S39" s="183">
        <f t="shared" si="2"/>
        <v>0</v>
      </c>
      <c r="T39" s="179"/>
    </row>
    <row r="40" spans="1:20">
      <c r="A40" s="508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2">
        <f>'A.1. Plantilla_Subrogacion'!F40</f>
        <v>0</v>
      </c>
      <c r="H40" s="181">
        <f>'A.1.0_TablaAntigüedad_Sub'!I40</f>
        <v>126</v>
      </c>
      <c r="I40" s="183">
        <f>'A.1.0_TablaAntigüedad_Sub'!W40</f>
        <v>446.8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5"/>
        <v>6702</v>
      </c>
      <c r="O40" s="183">
        <f>'A.0_Tablas salariales SC'!$K$10</f>
        <v>21211.55</v>
      </c>
      <c r="P40" s="183">
        <f>(O40+N40)*G40+'A.0_Tablas salariales SC'!$R$28*(100%-'A.1_Tabla Costes Subrog_2026'!G40)</f>
        <v>2019.35</v>
      </c>
      <c r="Q40" s="184">
        <f>IF(D40=100,'A.0_Tablas salariales SC'!$C$215,IF(D40=150,'A.0_Tablas salariales SC'!$C$216,IF(D40=189,'A.0_Tablas salariales SC'!$C$217,IF(D40=400,'A.0_Tablas salariales SC'!$C$218,IF(D40=450,'A.0_Tablas salariales SC'!$C$219,IF(D40=401,'A.0_Tablas salariales SC'!$C$220,IF(D40=451,'A.0_Tablas salariales SC'!$C$221,'A.0_Tablas salariales SC'!$C$215)))))))</f>
        <v>0.34250000000000003</v>
      </c>
      <c r="R40" s="183">
        <f t="shared" si="1"/>
        <v>691.62737500000003</v>
      </c>
      <c r="S40" s="183">
        <f t="shared" si="2"/>
        <v>0</v>
      </c>
      <c r="T40" s="179"/>
    </row>
    <row r="41" spans="1:20">
      <c r="A41" s="508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2">
        <f>'A.1. Plantilla_Subrogacion'!F41</f>
        <v>0</v>
      </c>
      <c r="H41" s="181">
        <f>'A.1.0_TablaAntigüedad_Sub'!I41</f>
        <v>126</v>
      </c>
      <c r="I41" s="183">
        <f>'A.1.0_TablaAntigüedad_Sub'!W41</f>
        <v>446.8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5"/>
        <v>6702</v>
      </c>
      <c r="O41" s="183">
        <f>'A.0_Tablas salariales SC'!$K$10</f>
        <v>21211.55</v>
      </c>
      <c r="P41" s="183">
        <f>(O41+N41)*G41+'A.0_Tablas salariales SC'!$R$28*(100%-'A.1_Tabla Costes Subrog_2026'!G41)</f>
        <v>2019.35</v>
      </c>
      <c r="Q41" s="184">
        <f>IF(D41=100,'A.0_Tablas salariales SC'!$C$215,IF(D41=150,'A.0_Tablas salariales SC'!$C$216,IF(D41=189,'A.0_Tablas salariales SC'!$C$217,IF(D41=400,'A.0_Tablas salariales SC'!$C$218,IF(D41=450,'A.0_Tablas salariales SC'!$C$219,IF(D41=401,'A.0_Tablas salariales SC'!$C$220,IF(D41=451,'A.0_Tablas salariales SC'!$C$221,'A.0_Tablas salariales SC'!$C$215)))))))</f>
        <v>0.34250000000000003</v>
      </c>
      <c r="R41" s="183">
        <f t="shared" si="1"/>
        <v>691.62737500000003</v>
      </c>
      <c r="S41" s="183">
        <f t="shared" si="2"/>
        <v>0</v>
      </c>
      <c r="T41" s="179"/>
    </row>
    <row r="42" spans="1:20">
      <c r="A42" s="508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2">
        <f>'A.1. Plantilla_Subrogacion'!F42</f>
        <v>0</v>
      </c>
      <c r="H42" s="181">
        <f>'A.1.0_TablaAntigüedad_Sub'!I42</f>
        <v>126</v>
      </c>
      <c r="I42" s="183">
        <f>'A.1.0_TablaAntigüedad_Sub'!W42</f>
        <v>446.8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5"/>
        <v>6702</v>
      </c>
      <c r="O42" s="183">
        <f>'A.0_Tablas salariales SC'!$K$10</f>
        <v>21211.55</v>
      </c>
      <c r="P42" s="183">
        <f>(O42+N42)*G42+'A.0_Tablas salariales SC'!$R$28*(100%-'A.1_Tabla Costes Subrog_2026'!G42)</f>
        <v>2019.35</v>
      </c>
      <c r="Q42" s="184">
        <f>IF(D42=100,'A.0_Tablas salariales SC'!$C$215,IF(D42=150,'A.0_Tablas salariales SC'!$C$216,IF(D42=189,'A.0_Tablas salariales SC'!$C$217,IF(D42=400,'A.0_Tablas salariales SC'!$C$218,IF(D42=450,'A.0_Tablas salariales SC'!$C$219,IF(D42=401,'A.0_Tablas salariales SC'!$C$220,IF(D42=451,'A.0_Tablas salariales SC'!$C$221,'A.0_Tablas salariales SC'!$C$215)))))))</f>
        <v>0.34250000000000003</v>
      </c>
      <c r="R42" s="183">
        <f t="shared" si="1"/>
        <v>691.62737500000003</v>
      </c>
      <c r="S42" s="183">
        <f t="shared" si="2"/>
        <v>0</v>
      </c>
      <c r="T42" s="179"/>
    </row>
    <row r="43" spans="1:20">
      <c r="A43" s="508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2">
        <f>'A.1. Plantilla_Subrogacion'!F43</f>
        <v>0</v>
      </c>
      <c r="H43" s="181">
        <f>'A.1.0_TablaAntigüedad_Sub'!I43</f>
        <v>126</v>
      </c>
      <c r="I43" s="183">
        <f>'A.1.0_TablaAntigüedad_Sub'!W43</f>
        <v>446.8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5"/>
        <v>6702</v>
      </c>
      <c r="O43" s="183">
        <f>'A.0_Tablas salariales SC'!$K$10</f>
        <v>21211.55</v>
      </c>
      <c r="P43" s="183">
        <f>(O43+N43)*G43+'A.0_Tablas salariales SC'!$R$28*(100%-'A.1_Tabla Costes Subrog_2026'!G43)</f>
        <v>2019.35</v>
      </c>
      <c r="Q43" s="184">
        <f>IF(D43=100,'A.0_Tablas salariales SC'!$C$215,IF(D43=150,'A.0_Tablas salariales SC'!$C$216,IF(D43=189,'A.0_Tablas salariales SC'!$C$217,IF(D43=400,'A.0_Tablas salariales SC'!$C$218,IF(D43=450,'A.0_Tablas salariales SC'!$C$219,IF(D43=401,'A.0_Tablas salariales SC'!$C$220,IF(D43=451,'A.0_Tablas salariales SC'!$C$221,'A.0_Tablas salariales SC'!$C$215)))))))</f>
        <v>0.34250000000000003</v>
      </c>
      <c r="R43" s="183">
        <f t="shared" si="1"/>
        <v>691.62737500000003</v>
      </c>
      <c r="S43" s="183">
        <f t="shared" si="2"/>
        <v>0</v>
      </c>
      <c r="T43" s="179"/>
    </row>
    <row r="44" spans="1:20">
      <c r="A44" s="508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2">
        <f>'A.1. Plantilla_Subrogacion'!F44</f>
        <v>0</v>
      </c>
      <c r="H44" s="181">
        <f>'A.1.0_TablaAntigüedad_Sub'!I44</f>
        <v>126</v>
      </c>
      <c r="I44" s="183">
        <f>'A.1.0_TablaAntigüedad_Sub'!W44</f>
        <v>446.8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5"/>
        <v>6702</v>
      </c>
      <c r="O44" s="183">
        <f>'A.0_Tablas salariales SC'!$K$10</f>
        <v>21211.55</v>
      </c>
      <c r="P44" s="183">
        <f>(O44+N44)*G44+'A.0_Tablas salariales SC'!$R$28*(100%-'A.1_Tabla Costes Subrog_2026'!G44)</f>
        <v>2019.35</v>
      </c>
      <c r="Q44" s="184">
        <f>IF(D44=100,'A.0_Tablas salariales SC'!$C$215,IF(D44=150,'A.0_Tablas salariales SC'!$C$216,IF(D44=189,'A.0_Tablas salariales SC'!$C$217,IF(D44=400,'A.0_Tablas salariales SC'!$C$218,IF(D44=450,'A.0_Tablas salariales SC'!$C$219,IF(D44=401,'A.0_Tablas salariales SC'!$C$220,IF(D44=451,'A.0_Tablas salariales SC'!$C$221,'A.0_Tablas salariales SC'!$C$215)))))))</f>
        <v>0.34250000000000003</v>
      </c>
      <c r="R44" s="183">
        <f t="shared" si="1"/>
        <v>691.62737500000003</v>
      </c>
      <c r="S44" s="183">
        <f t="shared" si="2"/>
        <v>0</v>
      </c>
      <c r="T44" s="179"/>
    </row>
    <row r="45" spans="1:20">
      <c r="A45" s="508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2">
        <f>'A.1. Plantilla_Subrogacion'!F45</f>
        <v>0</v>
      </c>
      <c r="H45" s="181">
        <f>'A.1.0_TablaAntigüedad_Sub'!I45</f>
        <v>126</v>
      </c>
      <c r="I45" s="183">
        <f>'A.1.0_TablaAntigüedad_Sub'!W45</f>
        <v>446.8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5"/>
        <v>6702</v>
      </c>
      <c r="O45" s="183">
        <f>'A.0_Tablas salariales SC'!$K$10</f>
        <v>21211.55</v>
      </c>
      <c r="P45" s="183">
        <f>(O45+N45)*G45+'A.0_Tablas salariales SC'!$R$28*(100%-'A.1_Tabla Costes Subrog_2026'!G45)</f>
        <v>2019.35</v>
      </c>
      <c r="Q45" s="184">
        <f>IF(D45=100,'A.0_Tablas salariales SC'!$C$215,IF(D45=150,'A.0_Tablas salariales SC'!$C$216,IF(D45=189,'A.0_Tablas salariales SC'!$C$217,IF(D45=400,'A.0_Tablas salariales SC'!$C$218,IF(D45=450,'A.0_Tablas salariales SC'!$C$219,IF(D45=401,'A.0_Tablas salariales SC'!$C$220,IF(D45=451,'A.0_Tablas salariales SC'!$C$221,'A.0_Tablas salariales SC'!$C$215)))))))</f>
        <v>0.34250000000000003</v>
      </c>
      <c r="R45" s="183">
        <f t="shared" si="1"/>
        <v>691.62737500000003</v>
      </c>
      <c r="S45" s="183">
        <f t="shared" si="2"/>
        <v>0</v>
      </c>
      <c r="T45" s="179"/>
    </row>
    <row r="46" spans="1:20">
      <c r="A46" s="508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2">
        <f>'A.1. Plantilla_Subrogacion'!F46</f>
        <v>0</v>
      </c>
      <c r="H46" s="181">
        <f>'A.1.0_TablaAntigüedad_Sub'!I46</f>
        <v>126</v>
      </c>
      <c r="I46" s="183">
        <f>'A.1.0_TablaAntigüedad_Sub'!W46</f>
        <v>446.8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5"/>
        <v>6702</v>
      </c>
      <c r="O46" s="183">
        <f>'A.0_Tablas salariales SC'!$K$10</f>
        <v>21211.55</v>
      </c>
      <c r="P46" s="183">
        <f>(O46+N46)*G46+'A.0_Tablas salariales SC'!$R$28*(100%-'A.1_Tabla Costes Subrog_2026'!G46)</f>
        <v>2019.35</v>
      </c>
      <c r="Q46" s="184">
        <f>IF(D46=100,'A.0_Tablas salariales SC'!$C$215,IF(D46=150,'A.0_Tablas salariales SC'!$C$216,IF(D46=189,'A.0_Tablas salariales SC'!$C$217,IF(D46=400,'A.0_Tablas salariales SC'!$C$218,IF(D46=450,'A.0_Tablas salariales SC'!$C$219,IF(D46=401,'A.0_Tablas salariales SC'!$C$220,IF(D46=451,'A.0_Tablas salariales SC'!$C$221,'A.0_Tablas salariales SC'!$C$215)))))))</f>
        <v>0.34250000000000003</v>
      </c>
      <c r="R46" s="183">
        <f t="shared" si="1"/>
        <v>691.62737500000003</v>
      </c>
      <c r="S46" s="183">
        <f t="shared" si="2"/>
        <v>0</v>
      </c>
      <c r="T46" s="179"/>
    </row>
    <row r="47" spans="1:20">
      <c r="A47" s="508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2">
        <f>'A.1. Plantilla_Subrogacion'!F47</f>
        <v>0</v>
      </c>
      <c r="H47" s="181">
        <f>'A.1.0_TablaAntigüedad_Sub'!I47</f>
        <v>126</v>
      </c>
      <c r="I47" s="183">
        <f>'A.1.0_TablaAntigüedad_Sub'!W47</f>
        <v>446.8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5"/>
        <v>6702</v>
      </c>
      <c r="O47" s="183">
        <f>'A.0_Tablas salariales SC'!$K$10</f>
        <v>21211.55</v>
      </c>
      <c r="P47" s="183">
        <f>(O47+N47)*G47+'A.0_Tablas salariales SC'!$R$28*(100%-'A.1_Tabla Costes Subrog_2026'!G47)</f>
        <v>2019.35</v>
      </c>
      <c r="Q47" s="184">
        <f>IF(D47=100,'A.0_Tablas salariales SC'!$C$215,IF(D47=150,'A.0_Tablas salariales SC'!$C$216,IF(D47=189,'A.0_Tablas salariales SC'!$C$217,IF(D47=400,'A.0_Tablas salariales SC'!$C$218,IF(D47=450,'A.0_Tablas salariales SC'!$C$219,IF(D47=401,'A.0_Tablas salariales SC'!$C$220,IF(D47=451,'A.0_Tablas salariales SC'!$C$221,'A.0_Tablas salariales SC'!$C$215)))))))</f>
        <v>0.34250000000000003</v>
      </c>
      <c r="R47" s="183">
        <f t="shared" si="1"/>
        <v>691.62737500000003</v>
      </c>
      <c r="S47" s="183">
        <f t="shared" si="2"/>
        <v>0</v>
      </c>
      <c r="T47" s="179"/>
    </row>
    <row r="48" spans="1:20">
      <c r="A48" s="508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2">
        <f>'A.1. Plantilla_Subrogacion'!F48</f>
        <v>0</v>
      </c>
      <c r="H48" s="181">
        <f>'A.1.0_TablaAntigüedad_Sub'!I48</f>
        <v>126</v>
      </c>
      <c r="I48" s="183">
        <f>'A.1.0_TablaAntigüedad_Sub'!W48</f>
        <v>446.8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5"/>
        <v>6702</v>
      </c>
      <c r="O48" s="183">
        <f>'A.0_Tablas salariales SC'!$K$10</f>
        <v>21211.55</v>
      </c>
      <c r="P48" s="183">
        <f>(O48+N48)*G48+'A.0_Tablas salariales SC'!$R$28*(100%-'A.1_Tabla Costes Subrog_2026'!G48)</f>
        <v>2019.35</v>
      </c>
      <c r="Q48" s="184">
        <f>IF(D48=100,'A.0_Tablas salariales SC'!$C$215,IF(D48=150,'A.0_Tablas salariales SC'!$C$216,IF(D48=189,'A.0_Tablas salariales SC'!$C$217,IF(D48=400,'A.0_Tablas salariales SC'!$C$218,IF(D48=450,'A.0_Tablas salariales SC'!$C$219,IF(D48=401,'A.0_Tablas salariales SC'!$C$220,IF(D48=451,'A.0_Tablas salariales SC'!$C$221,'A.0_Tablas salariales SC'!$C$215)))))))</f>
        <v>0.34250000000000003</v>
      </c>
      <c r="R48" s="183">
        <f t="shared" si="1"/>
        <v>691.62737500000003</v>
      </c>
      <c r="S48" s="183">
        <f t="shared" si="2"/>
        <v>0</v>
      </c>
      <c r="T48" s="179"/>
    </row>
    <row r="49" spans="1:20">
      <c r="A49" s="508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2">
        <f>'A.1. Plantilla_Subrogacion'!F49</f>
        <v>0</v>
      </c>
      <c r="H49" s="181">
        <f>'A.1.0_TablaAntigüedad_Sub'!I49</f>
        <v>126</v>
      </c>
      <c r="I49" s="183">
        <f>'A.1.0_TablaAntigüedad_Sub'!W49</f>
        <v>446.8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5"/>
        <v>6702</v>
      </c>
      <c r="O49" s="183">
        <f>'A.0_Tablas salariales SC'!$K$10</f>
        <v>21211.55</v>
      </c>
      <c r="P49" s="183">
        <f>(O49+N49)*G49+'A.0_Tablas salariales SC'!$R$28*(100%-'A.1_Tabla Costes Subrog_2026'!G49)</f>
        <v>2019.35</v>
      </c>
      <c r="Q49" s="184">
        <f>IF(D49=100,'A.0_Tablas salariales SC'!$C$215,IF(D49=150,'A.0_Tablas salariales SC'!$C$216,IF(D49=189,'A.0_Tablas salariales SC'!$C$217,IF(D49=400,'A.0_Tablas salariales SC'!$C$218,IF(D49=450,'A.0_Tablas salariales SC'!$C$219,IF(D49=401,'A.0_Tablas salariales SC'!$C$220,IF(D49=451,'A.0_Tablas salariales SC'!$C$221,'A.0_Tablas salariales SC'!$C$215)))))))</f>
        <v>0.34250000000000003</v>
      </c>
      <c r="R49" s="183">
        <f t="shared" si="1"/>
        <v>691.62737500000003</v>
      </c>
      <c r="S49" s="183">
        <f t="shared" si="2"/>
        <v>0</v>
      </c>
      <c r="T49" s="179"/>
    </row>
    <row r="50" spans="1:20">
      <c r="A50" s="508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2">
        <f>'A.1. Plantilla_Subrogacion'!F50</f>
        <v>0</v>
      </c>
      <c r="H50" s="181">
        <f>'A.1.0_TablaAntigüedad_Sub'!I50</f>
        <v>126</v>
      </c>
      <c r="I50" s="183">
        <f>'A.1.0_TablaAntigüedad_Sub'!W50</f>
        <v>446.8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5"/>
        <v>6702</v>
      </c>
      <c r="O50" s="183">
        <f>'A.0_Tablas salariales SC'!$K$10</f>
        <v>21211.55</v>
      </c>
      <c r="P50" s="183">
        <f>(O50+N50)*G50+'A.0_Tablas salariales SC'!$R$28*(100%-'A.1_Tabla Costes Subrog_2026'!G50)</f>
        <v>2019.35</v>
      </c>
      <c r="Q50" s="184">
        <f>IF(D50=100,'A.0_Tablas salariales SC'!$C$215,IF(D50=150,'A.0_Tablas salariales SC'!$C$216,IF(D50=189,'A.0_Tablas salariales SC'!$C$217,IF(D50=400,'A.0_Tablas salariales SC'!$C$218,IF(D50=450,'A.0_Tablas salariales SC'!$C$219,IF(D50=401,'A.0_Tablas salariales SC'!$C$220,IF(D50=451,'A.0_Tablas salariales SC'!$C$221,'A.0_Tablas salariales SC'!$C$215)))))))</f>
        <v>0.34250000000000003</v>
      </c>
      <c r="R50" s="183">
        <f t="shared" si="1"/>
        <v>691.62737500000003</v>
      </c>
      <c r="S50" s="183">
        <f t="shared" si="2"/>
        <v>0</v>
      </c>
      <c r="T50" s="179"/>
    </row>
    <row r="51" spans="1:20">
      <c r="A51" s="508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2">
        <f>'A.1. Plantilla_Subrogacion'!F51</f>
        <v>0</v>
      </c>
      <c r="H51" s="181">
        <f>'A.1.0_TablaAntigüedad_Sub'!I51</f>
        <v>126</v>
      </c>
      <c r="I51" s="183">
        <f>'A.1.0_TablaAntigüedad_Sub'!W51</f>
        <v>446.8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5"/>
        <v>6702</v>
      </c>
      <c r="O51" s="183">
        <f>'A.0_Tablas salariales SC'!$K$10</f>
        <v>21211.55</v>
      </c>
      <c r="P51" s="183">
        <f>(O51+N51)*G51+'A.0_Tablas salariales SC'!$R$28*(100%-'A.1_Tabla Costes Subrog_2026'!G51)</f>
        <v>2019.35</v>
      </c>
      <c r="Q51" s="184">
        <f>IF(D51=100,'A.0_Tablas salariales SC'!$C$215,IF(D51=150,'A.0_Tablas salariales SC'!$C$216,IF(D51=189,'A.0_Tablas salariales SC'!$C$217,IF(D51=400,'A.0_Tablas salariales SC'!$C$218,IF(D51=450,'A.0_Tablas salariales SC'!$C$219,IF(D51=401,'A.0_Tablas salariales SC'!$C$220,IF(D51=451,'A.0_Tablas salariales SC'!$C$221,'A.0_Tablas salariales SC'!$C$215)))))))</f>
        <v>0.34250000000000003</v>
      </c>
      <c r="R51" s="183">
        <f t="shared" si="1"/>
        <v>691.62737500000003</v>
      </c>
      <c r="S51" s="183">
        <f t="shared" si="2"/>
        <v>0</v>
      </c>
      <c r="T51" s="179"/>
    </row>
    <row r="52" spans="1:20">
      <c r="A52" s="508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2">
        <f>'A.1. Plantilla_Subrogacion'!F52</f>
        <v>0</v>
      </c>
      <c r="H52" s="181">
        <f>'A.1.0_TablaAntigüedad_Sub'!I52</f>
        <v>126</v>
      </c>
      <c r="I52" s="183">
        <f>'A.1.0_TablaAntigüedad_Sub'!W52</f>
        <v>446.8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5"/>
        <v>6702</v>
      </c>
      <c r="O52" s="183">
        <f>'A.0_Tablas salariales SC'!$K$10</f>
        <v>21211.55</v>
      </c>
      <c r="P52" s="183">
        <f>(O52+N52)*G52+'A.0_Tablas salariales SC'!$R$28*(100%-'A.1_Tabla Costes Subrog_2026'!G52)</f>
        <v>2019.35</v>
      </c>
      <c r="Q52" s="184">
        <f>IF(D52=100,'A.0_Tablas salariales SC'!$C$215,IF(D52=150,'A.0_Tablas salariales SC'!$C$216,IF(D52=189,'A.0_Tablas salariales SC'!$C$217,IF(D52=400,'A.0_Tablas salariales SC'!$C$218,IF(D52=450,'A.0_Tablas salariales SC'!$C$219,IF(D52=401,'A.0_Tablas salariales SC'!$C$220,IF(D52=451,'A.0_Tablas salariales SC'!$C$221,'A.0_Tablas salariales SC'!$C$215)))))))</f>
        <v>0.34250000000000003</v>
      </c>
      <c r="R52" s="183">
        <f t="shared" si="1"/>
        <v>691.62737500000003</v>
      </c>
      <c r="S52" s="183">
        <f t="shared" si="2"/>
        <v>0</v>
      </c>
      <c r="T52" s="179"/>
    </row>
    <row r="53" spans="1:20">
      <c r="A53" s="508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2">
        <f>'A.1. Plantilla_Subrogacion'!F53</f>
        <v>0</v>
      </c>
      <c r="H53" s="181">
        <f>'A.1.0_TablaAntigüedad_Sub'!I53</f>
        <v>126</v>
      </c>
      <c r="I53" s="183">
        <f>'A.1.0_TablaAntigüedad_Sub'!W53</f>
        <v>446.8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5"/>
        <v>6702</v>
      </c>
      <c r="O53" s="183">
        <f>'A.0_Tablas salariales SC'!$K$10</f>
        <v>21211.55</v>
      </c>
      <c r="P53" s="183">
        <f>(O53+N53)*G53+'A.0_Tablas salariales SC'!$R$28*(100%-'A.1_Tabla Costes Subrog_2026'!G53)</f>
        <v>2019.35</v>
      </c>
      <c r="Q53" s="184">
        <f>IF(D53=100,'A.0_Tablas salariales SC'!$C$215,IF(D53=150,'A.0_Tablas salariales SC'!$C$216,IF(D53=189,'A.0_Tablas salariales SC'!$C$217,IF(D53=400,'A.0_Tablas salariales SC'!$C$218,IF(D53=450,'A.0_Tablas salariales SC'!$C$219,IF(D53=401,'A.0_Tablas salariales SC'!$C$220,IF(D53=451,'A.0_Tablas salariales SC'!$C$221,'A.0_Tablas salariales SC'!$C$215)))))))</f>
        <v>0.34250000000000003</v>
      </c>
      <c r="R53" s="183">
        <f t="shared" si="1"/>
        <v>691.62737500000003</v>
      </c>
      <c r="S53" s="183">
        <f t="shared" si="2"/>
        <v>0</v>
      </c>
      <c r="T53" s="179"/>
    </row>
    <row r="54" spans="1:20">
      <c r="A54" s="508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2">
        <f>'A.1. Plantilla_Subrogacion'!F54</f>
        <v>0</v>
      </c>
      <c r="H54" s="181">
        <f>'A.1.0_TablaAntigüedad_Sub'!I54</f>
        <v>126</v>
      </c>
      <c r="I54" s="183">
        <f>'A.1.0_TablaAntigüedad_Sub'!W54</f>
        <v>446.8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5"/>
        <v>6702</v>
      </c>
      <c r="O54" s="183">
        <f>'A.0_Tablas salariales SC'!$K$10</f>
        <v>21211.55</v>
      </c>
      <c r="P54" s="183">
        <f>(O54+N54)*G54+'A.0_Tablas salariales SC'!$R$28*(100%-'A.1_Tabla Costes Subrog_2026'!G54)</f>
        <v>2019.35</v>
      </c>
      <c r="Q54" s="184">
        <f>IF(D54=100,'A.0_Tablas salariales SC'!$C$215,IF(D54=150,'A.0_Tablas salariales SC'!$C$216,IF(D54=189,'A.0_Tablas salariales SC'!$C$217,IF(D54=400,'A.0_Tablas salariales SC'!$C$218,IF(D54=450,'A.0_Tablas salariales SC'!$C$219,IF(D54=401,'A.0_Tablas salariales SC'!$C$220,IF(D54=451,'A.0_Tablas salariales SC'!$C$221,'A.0_Tablas salariales SC'!$C$215)))))))</f>
        <v>0.34250000000000003</v>
      </c>
      <c r="R54" s="183">
        <f t="shared" si="1"/>
        <v>691.62737500000003</v>
      </c>
      <c r="S54" s="183">
        <f t="shared" si="2"/>
        <v>0</v>
      </c>
      <c r="T54" s="179"/>
    </row>
    <row r="55" spans="1:20">
      <c r="A55" s="508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2">
        <f>'A.1. Plantilla_Subrogacion'!F55</f>
        <v>0</v>
      </c>
      <c r="H55" s="181">
        <f>'A.1.0_TablaAntigüedad_Sub'!I55</f>
        <v>126</v>
      </c>
      <c r="I55" s="183">
        <f>'A.1.0_TablaAntigüedad_Sub'!W55</f>
        <v>446.8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5"/>
        <v>6702</v>
      </c>
      <c r="O55" s="183">
        <f>'A.0_Tablas salariales SC'!$K$10</f>
        <v>21211.55</v>
      </c>
      <c r="P55" s="183">
        <f>(O55+N55)*G55+'A.0_Tablas salariales SC'!$R$28*(100%-'A.1_Tabla Costes Subrog_2026'!G55)</f>
        <v>2019.35</v>
      </c>
      <c r="Q55" s="184">
        <f>IF(D55=100,'A.0_Tablas salariales SC'!$C$215,IF(D55=150,'A.0_Tablas salariales SC'!$C$216,IF(D55=189,'A.0_Tablas salariales SC'!$C$217,IF(D55=400,'A.0_Tablas salariales SC'!$C$218,IF(D55=450,'A.0_Tablas salariales SC'!$C$219,IF(D55=401,'A.0_Tablas salariales SC'!$C$220,IF(D55=451,'A.0_Tablas salariales SC'!$C$221,'A.0_Tablas salariales SC'!$C$215)))))))</f>
        <v>0.34250000000000003</v>
      </c>
      <c r="R55" s="183">
        <f t="shared" si="1"/>
        <v>691.62737500000003</v>
      </c>
      <c r="S55" s="183">
        <f t="shared" si="2"/>
        <v>0</v>
      </c>
      <c r="T55" s="179"/>
    </row>
    <row r="56" spans="1:20">
      <c r="A56" s="508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2">
        <f>'A.1. Plantilla_Subrogacion'!F56</f>
        <v>0</v>
      </c>
      <c r="H56" s="181">
        <f>'A.1.0_TablaAntigüedad_Sub'!I56</f>
        <v>126</v>
      </c>
      <c r="I56" s="183">
        <f>'A.1.0_TablaAntigüedad_Sub'!W56</f>
        <v>446.8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5"/>
        <v>6702</v>
      </c>
      <c r="O56" s="183">
        <f>'A.0_Tablas salariales SC'!$K$10</f>
        <v>21211.55</v>
      </c>
      <c r="P56" s="183">
        <f>(O56+N56)*G56+'A.0_Tablas salariales SC'!$R$28*(100%-'A.1_Tabla Costes Subrog_2026'!G56)</f>
        <v>2019.35</v>
      </c>
      <c r="Q56" s="184">
        <f>IF(D56=100,'A.0_Tablas salariales SC'!$C$215,IF(D56=150,'A.0_Tablas salariales SC'!$C$216,IF(D56=189,'A.0_Tablas salariales SC'!$C$217,IF(D56=400,'A.0_Tablas salariales SC'!$C$218,IF(D56=450,'A.0_Tablas salariales SC'!$C$219,IF(D56=401,'A.0_Tablas salariales SC'!$C$220,IF(D56=451,'A.0_Tablas salariales SC'!$C$221,'A.0_Tablas salariales SC'!$C$215)))))))</f>
        <v>0.34250000000000003</v>
      </c>
      <c r="R56" s="183">
        <f t="shared" si="1"/>
        <v>691.62737500000003</v>
      </c>
      <c r="S56" s="183">
        <f t="shared" si="2"/>
        <v>0</v>
      </c>
      <c r="T56" s="179"/>
    </row>
    <row r="57" spans="1:20">
      <c r="A57" s="508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2">
        <f>'A.1. Plantilla_Subrogacion'!F57</f>
        <v>0</v>
      </c>
      <c r="H57" s="181">
        <f>'A.1.0_TablaAntigüedad_Sub'!I57</f>
        <v>126</v>
      </c>
      <c r="I57" s="183">
        <f>'A.1.0_TablaAntigüedad_Sub'!W57</f>
        <v>446.8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5"/>
        <v>6702</v>
      </c>
      <c r="O57" s="183">
        <f>'A.0_Tablas salariales SC'!$K$10</f>
        <v>21211.55</v>
      </c>
      <c r="P57" s="183">
        <f>(O57+N57)*G57+'A.0_Tablas salariales SC'!$R$28*(100%-'A.1_Tabla Costes Subrog_2026'!G57)</f>
        <v>2019.35</v>
      </c>
      <c r="Q57" s="184">
        <f>IF(D57=100,'A.0_Tablas salariales SC'!$C$215,IF(D57=150,'A.0_Tablas salariales SC'!$C$216,IF(D57=189,'A.0_Tablas salariales SC'!$C$217,IF(D57=400,'A.0_Tablas salariales SC'!$C$218,IF(D57=450,'A.0_Tablas salariales SC'!$C$219,IF(D57=401,'A.0_Tablas salariales SC'!$C$220,IF(D57=451,'A.0_Tablas salariales SC'!$C$221,'A.0_Tablas salariales SC'!$C$215)))))))</f>
        <v>0.34250000000000003</v>
      </c>
      <c r="R57" s="183">
        <f t="shared" si="1"/>
        <v>691.62737500000003</v>
      </c>
      <c r="S57" s="183">
        <f t="shared" si="2"/>
        <v>0</v>
      </c>
      <c r="T57" s="179"/>
    </row>
    <row r="58" spans="1:20">
      <c r="A58" s="508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2">
        <f>'A.1. Plantilla_Subrogacion'!F58</f>
        <v>0</v>
      </c>
      <c r="H58" s="181">
        <f>'A.1.0_TablaAntigüedad_Sub'!I58</f>
        <v>126</v>
      </c>
      <c r="I58" s="183">
        <f>'A.1.0_TablaAntigüedad_Sub'!W58</f>
        <v>446.8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5"/>
        <v>6702</v>
      </c>
      <c r="O58" s="183">
        <f>'A.0_Tablas salariales SC'!$K$10</f>
        <v>21211.55</v>
      </c>
      <c r="P58" s="183">
        <f>(O58+N58)*G58+'A.0_Tablas salariales SC'!$R$28*(100%-'A.1_Tabla Costes Subrog_2026'!G58)</f>
        <v>2019.35</v>
      </c>
      <c r="Q58" s="184">
        <f>IF(D58=100,'A.0_Tablas salariales SC'!$C$215,IF(D58=150,'A.0_Tablas salariales SC'!$C$216,IF(D58=189,'A.0_Tablas salariales SC'!$C$217,IF(D58=400,'A.0_Tablas salariales SC'!$C$218,IF(D58=450,'A.0_Tablas salariales SC'!$C$219,IF(D58=401,'A.0_Tablas salariales SC'!$C$220,IF(D58=451,'A.0_Tablas salariales SC'!$C$221,'A.0_Tablas salariales SC'!$C$215)))))))</f>
        <v>0.34250000000000003</v>
      </c>
      <c r="R58" s="183">
        <f t="shared" si="1"/>
        <v>691.62737500000003</v>
      </c>
      <c r="S58" s="183">
        <f t="shared" si="2"/>
        <v>0</v>
      </c>
      <c r="T58" s="179"/>
    </row>
    <row r="59" spans="1:20">
      <c r="A59" s="508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2">
        <f>'A.1. Plantilla_Subrogacion'!F59</f>
        <v>0</v>
      </c>
      <c r="H59" s="181">
        <f>'A.1.0_TablaAntigüedad_Sub'!I59</f>
        <v>126</v>
      </c>
      <c r="I59" s="183">
        <f>'A.1.0_TablaAntigüedad_Sub'!W59</f>
        <v>446.8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5"/>
        <v>6702</v>
      </c>
      <c r="O59" s="183">
        <f>'A.0_Tablas salariales SC'!$K$10</f>
        <v>21211.55</v>
      </c>
      <c r="P59" s="183">
        <f>(O59+N59)*G59+'A.0_Tablas salariales SC'!$R$28*(100%-'A.1_Tabla Costes Subrog_2026'!G59)</f>
        <v>2019.35</v>
      </c>
      <c r="Q59" s="184">
        <f>IF(D59=100,'A.0_Tablas salariales SC'!$C$215,IF(D59=150,'A.0_Tablas salariales SC'!$C$216,IF(D59=189,'A.0_Tablas salariales SC'!$C$217,IF(D59=400,'A.0_Tablas salariales SC'!$C$218,IF(D59=450,'A.0_Tablas salariales SC'!$C$219,IF(D59=401,'A.0_Tablas salariales SC'!$C$220,IF(D59=451,'A.0_Tablas salariales SC'!$C$221,'A.0_Tablas salariales SC'!$C$215)))))))</f>
        <v>0.34250000000000003</v>
      </c>
      <c r="R59" s="183">
        <f t="shared" si="1"/>
        <v>691.62737500000003</v>
      </c>
      <c r="S59" s="183">
        <f t="shared" si="2"/>
        <v>0</v>
      </c>
      <c r="T59" s="179"/>
    </row>
    <row r="60" spans="1:20">
      <c r="A60" s="508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2">
        <f>'A.1. Plantilla_Subrogacion'!F60</f>
        <v>0</v>
      </c>
      <c r="H60" s="181">
        <f>'A.1.0_TablaAntigüedad_Sub'!I60</f>
        <v>126</v>
      </c>
      <c r="I60" s="183">
        <f>'A.1.0_TablaAntigüedad_Sub'!W60</f>
        <v>446.8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5"/>
        <v>6702</v>
      </c>
      <c r="O60" s="183">
        <f>'A.0_Tablas salariales SC'!$K$10</f>
        <v>21211.55</v>
      </c>
      <c r="P60" s="183">
        <f>(O60+N60)*G60+'A.0_Tablas salariales SC'!$R$28*(100%-'A.1_Tabla Costes Subrog_2026'!G60)</f>
        <v>2019.35</v>
      </c>
      <c r="Q60" s="184">
        <f>IF(D60=100,'A.0_Tablas salariales SC'!$C$215,IF(D60=150,'A.0_Tablas salariales SC'!$C$216,IF(D60=189,'A.0_Tablas salariales SC'!$C$217,IF(D60=400,'A.0_Tablas salariales SC'!$C$218,IF(D60=450,'A.0_Tablas salariales SC'!$C$219,IF(D60=401,'A.0_Tablas salariales SC'!$C$220,IF(D60=451,'A.0_Tablas salariales SC'!$C$221,'A.0_Tablas salariales SC'!$C$215)))))))</f>
        <v>0.34250000000000003</v>
      </c>
      <c r="R60" s="183">
        <f t="shared" si="1"/>
        <v>691.62737500000003</v>
      </c>
      <c r="S60" s="183">
        <f t="shared" si="2"/>
        <v>0</v>
      </c>
      <c r="T60" s="179"/>
    </row>
    <row r="61" spans="1:20">
      <c r="A61" s="508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2">
        <f>'A.1. Plantilla_Subrogacion'!F61</f>
        <v>0</v>
      </c>
      <c r="H61" s="181">
        <f>'A.1.0_TablaAntigüedad_Sub'!I61</f>
        <v>126</v>
      </c>
      <c r="I61" s="183">
        <f>'A.1.0_TablaAntigüedad_Sub'!W61</f>
        <v>446.8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5"/>
        <v>6702</v>
      </c>
      <c r="O61" s="183">
        <f>'A.0_Tablas salariales SC'!$K$10</f>
        <v>21211.55</v>
      </c>
      <c r="P61" s="183">
        <f>(O61+N61)*G61+'A.0_Tablas salariales SC'!$R$28*(100%-'A.1_Tabla Costes Subrog_2026'!G61)</f>
        <v>2019.35</v>
      </c>
      <c r="Q61" s="184">
        <f>IF(D61=100,'A.0_Tablas salariales SC'!$C$215,IF(D61=150,'A.0_Tablas salariales SC'!$C$216,IF(D61=189,'A.0_Tablas salariales SC'!$C$217,IF(D61=400,'A.0_Tablas salariales SC'!$C$218,IF(D61=450,'A.0_Tablas salariales SC'!$C$219,IF(D61=401,'A.0_Tablas salariales SC'!$C$220,IF(D61=451,'A.0_Tablas salariales SC'!$C$221,'A.0_Tablas salariales SC'!$C$215)))))))</f>
        <v>0.34250000000000003</v>
      </c>
      <c r="R61" s="183">
        <f t="shared" si="1"/>
        <v>691.62737500000003</v>
      </c>
      <c r="S61" s="183">
        <f t="shared" si="2"/>
        <v>0</v>
      </c>
      <c r="T61" s="179"/>
    </row>
    <row r="62" spans="1:20">
      <c r="A62" s="508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2">
        <f>'A.1. Plantilla_Subrogacion'!F62</f>
        <v>0</v>
      </c>
      <c r="H62" s="181">
        <f>'A.1.0_TablaAntigüedad_Sub'!I62</f>
        <v>126</v>
      </c>
      <c r="I62" s="183">
        <f>'A.1.0_TablaAntigüedad_Sub'!W62</f>
        <v>446.8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5"/>
        <v>6702</v>
      </c>
      <c r="O62" s="183">
        <f>'A.0_Tablas salariales SC'!$K$10</f>
        <v>21211.55</v>
      </c>
      <c r="P62" s="183">
        <f>(O62+N62)*G62+'A.0_Tablas salariales SC'!$R$28*(100%-'A.1_Tabla Costes Subrog_2026'!G62)</f>
        <v>2019.35</v>
      </c>
      <c r="Q62" s="184">
        <f>IF(D62=100,'A.0_Tablas salariales SC'!$C$215,IF(D62=150,'A.0_Tablas salariales SC'!$C$216,IF(D62=189,'A.0_Tablas salariales SC'!$C$217,IF(D62=400,'A.0_Tablas salariales SC'!$C$218,IF(D62=450,'A.0_Tablas salariales SC'!$C$219,IF(D62=401,'A.0_Tablas salariales SC'!$C$220,IF(D62=451,'A.0_Tablas salariales SC'!$C$221,'A.0_Tablas salariales SC'!$C$215)))))))</f>
        <v>0.34250000000000003</v>
      </c>
      <c r="R62" s="183">
        <f t="shared" si="1"/>
        <v>691.62737500000003</v>
      </c>
      <c r="S62" s="183">
        <f t="shared" si="2"/>
        <v>0</v>
      </c>
      <c r="T62" s="179"/>
    </row>
    <row r="63" spans="1:20">
      <c r="A63" s="508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2">
        <f>'A.1. Plantilla_Subrogacion'!F63</f>
        <v>0</v>
      </c>
      <c r="H63" s="181">
        <f>'A.1.0_TablaAntigüedad_Sub'!I63</f>
        <v>126</v>
      </c>
      <c r="I63" s="183">
        <f>'A.1.0_TablaAntigüedad_Sub'!W63</f>
        <v>446.8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5"/>
        <v>6702</v>
      </c>
      <c r="O63" s="183">
        <f>'A.0_Tablas salariales SC'!$K$10</f>
        <v>21211.55</v>
      </c>
      <c r="P63" s="183">
        <f>(O63+N63)*G63+'A.0_Tablas salariales SC'!$R$28*(100%-'A.1_Tabla Costes Subrog_2026'!G63)</f>
        <v>2019.35</v>
      </c>
      <c r="Q63" s="184">
        <f>IF(D63=100,'A.0_Tablas salariales SC'!$C$215,IF(D63=150,'A.0_Tablas salariales SC'!$C$216,IF(D63=189,'A.0_Tablas salariales SC'!$C$217,IF(D63=400,'A.0_Tablas salariales SC'!$C$218,IF(D63=450,'A.0_Tablas salariales SC'!$C$219,IF(D63=401,'A.0_Tablas salariales SC'!$C$220,IF(D63=451,'A.0_Tablas salariales SC'!$C$221,'A.0_Tablas salariales SC'!$C$215)))))))</f>
        <v>0.34250000000000003</v>
      </c>
      <c r="R63" s="183">
        <f t="shared" si="1"/>
        <v>691.62737500000003</v>
      </c>
      <c r="S63" s="183">
        <f t="shared" si="2"/>
        <v>0</v>
      </c>
      <c r="T63" s="179"/>
    </row>
    <row r="64" spans="1:20">
      <c r="A64" s="508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2">
        <f>'A.1. Plantilla_Subrogacion'!F64</f>
        <v>0</v>
      </c>
      <c r="H64" s="181">
        <f>'A.1.0_TablaAntigüedad_Sub'!I64</f>
        <v>126</v>
      </c>
      <c r="I64" s="183">
        <f>'A.1.0_TablaAntigüedad_Sub'!W64</f>
        <v>446.8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5"/>
        <v>6702</v>
      </c>
      <c r="O64" s="183">
        <f>'A.0_Tablas salariales SC'!$K$10</f>
        <v>21211.55</v>
      </c>
      <c r="P64" s="183">
        <f>(O64+N64)*G64+'A.0_Tablas salariales SC'!$R$28*(100%-'A.1_Tabla Costes Subrog_2026'!G64)</f>
        <v>2019.35</v>
      </c>
      <c r="Q64" s="184">
        <f>IF(D64=100,'A.0_Tablas salariales SC'!$C$215,IF(D64=150,'A.0_Tablas salariales SC'!$C$216,IF(D64=189,'A.0_Tablas salariales SC'!$C$217,IF(D64=400,'A.0_Tablas salariales SC'!$C$218,IF(D64=450,'A.0_Tablas salariales SC'!$C$219,IF(D64=401,'A.0_Tablas salariales SC'!$C$220,IF(D64=451,'A.0_Tablas salariales SC'!$C$221,'A.0_Tablas salariales SC'!$C$215)))))))</f>
        <v>0.34250000000000003</v>
      </c>
      <c r="R64" s="183">
        <f t="shared" si="1"/>
        <v>691.62737500000003</v>
      </c>
      <c r="S64" s="183">
        <f t="shared" si="2"/>
        <v>0</v>
      </c>
      <c r="T64" s="179"/>
    </row>
    <row r="65" spans="1:20">
      <c r="A65" s="508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2">
        <f>'A.1. Plantilla_Subrogacion'!F65</f>
        <v>0</v>
      </c>
      <c r="H65" s="181">
        <f>'A.1.0_TablaAntigüedad_Sub'!I65</f>
        <v>126</v>
      </c>
      <c r="I65" s="183">
        <f>'A.1.0_TablaAntigüedad_Sub'!W65</f>
        <v>446.8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5"/>
        <v>6702</v>
      </c>
      <c r="O65" s="183">
        <f>'A.0_Tablas salariales SC'!$K$10</f>
        <v>21211.55</v>
      </c>
      <c r="P65" s="183">
        <f>(O65+N65)*G65+'A.0_Tablas salariales SC'!$R$28*(100%-'A.1_Tabla Costes Subrog_2026'!G65)</f>
        <v>2019.35</v>
      </c>
      <c r="Q65" s="184">
        <f>IF(D65=100,'A.0_Tablas salariales SC'!$C$215,IF(D65=150,'A.0_Tablas salariales SC'!$C$216,IF(D65=189,'A.0_Tablas salariales SC'!$C$217,IF(D65=400,'A.0_Tablas salariales SC'!$C$218,IF(D65=450,'A.0_Tablas salariales SC'!$C$219,IF(D65=401,'A.0_Tablas salariales SC'!$C$220,IF(D65=451,'A.0_Tablas salariales SC'!$C$221,'A.0_Tablas salariales SC'!$C$215)))))))</f>
        <v>0.34250000000000003</v>
      </c>
      <c r="R65" s="183">
        <f t="shared" si="1"/>
        <v>691.62737500000003</v>
      </c>
      <c r="S65" s="183">
        <f t="shared" si="2"/>
        <v>0</v>
      </c>
      <c r="T65" s="179"/>
    </row>
    <row r="66" spans="1:20">
      <c r="A66" s="508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2">
        <f>'A.1. Plantilla_Subrogacion'!F66</f>
        <v>0</v>
      </c>
      <c r="H66" s="181">
        <f>'A.1.0_TablaAntigüedad_Sub'!I66</f>
        <v>126</v>
      </c>
      <c r="I66" s="183">
        <f>'A.1.0_TablaAntigüedad_Sub'!W66</f>
        <v>446.8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5"/>
        <v>6702</v>
      </c>
      <c r="O66" s="183">
        <f>'A.0_Tablas salariales SC'!$K$10</f>
        <v>21211.55</v>
      </c>
      <c r="P66" s="183">
        <f>(O66+N66)*G66+'A.0_Tablas salariales SC'!$R$28*(100%-'A.1_Tabla Costes Subrog_2026'!G66)</f>
        <v>2019.35</v>
      </c>
      <c r="Q66" s="184">
        <f>IF(D66=100,'A.0_Tablas salariales SC'!$C$215,IF(D66=150,'A.0_Tablas salariales SC'!$C$216,IF(D66=189,'A.0_Tablas salariales SC'!$C$217,IF(D66=400,'A.0_Tablas salariales SC'!$C$218,IF(D66=450,'A.0_Tablas salariales SC'!$C$219,IF(D66=401,'A.0_Tablas salariales SC'!$C$220,IF(D66=451,'A.0_Tablas salariales SC'!$C$221,'A.0_Tablas salariales SC'!$C$215)))))))</f>
        <v>0.34250000000000003</v>
      </c>
      <c r="R66" s="183">
        <f t="shared" si="1"/>
        <v>691.62737500000003</v>
      </c>
      <c r="S66" s="183">
        <f t="shared" si="2"/>
        <v>0</v>
      </c>
      <c r="T66" s="179"/>
    </row>
    <row r="67" spans="1:20">
      <c r="A67" s="508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2">
        <f>'A.1. Plantilla_Subrogacion'!F67</f>
        <v>0</v>
      </c>
      <c r="H67" s="181">
        <f>'A.1.0_TablaAntigüedad_Sub'!I67</f>
        <v>126</v>
      </c>
      <c r="I67" s="183">
        <f>'A.1.0_TablaAntigüedad_Sub'!W67</f>
        <v>446.8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5"/>
        <v>6702</v>
      </c>
      <c r="O67" s="183">
        <f>'A.0_Tablas salariales SC'!$K$10</f>
        <v>21211.55</v>
      </c>
      <c r="P67" s="183">
        <f>(O67+N67)*G67+'A.0_Tablas salariales SC'!$R$28*(100%-'A.1_Tabla Costes Subrog_2026'!G67)</f>
        <v>2019.35</v>
      </c>
      <c r="Q67" s="184">
        <f>IF(D67=100,'A.0_Tablas salariales SC'!$C$215,IF(D67=150,'A.0_Tablas salariales SC'!$C$216,IF(D67=189,'A.0_Tablas salariales SC'!$C$217,IF(D67=400,'A.0_Tablas salariales SC'!$C$218,IF(D67=450,'A.0_Tablas salariales SC'!$C$219,IF(D67=401,'A.0_Tablas salariales SC'!$C$220,IF(D67=451,'A.0_Tablas salariales SC'!$C$221,'A.0_Tablas salariales SC'!$C$215)))))))</f>
        <v>0.34250000000000003</v>
      </c>
      <c r="R67" s="183">
        <f t="shared" si="1"/>
        <v>691.62737500000003</v>
      </c>
      <c r="S67" s="183">
        <f t="shared" si="2"/>
        <v>0</v>
      </c>
      <c r="T67" s="179"/>
    </row>
    <row r="68" spans="1:20">
      <c r="A68" s="508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2">
        <f>'A.1. Plantilla_Subrogacion'!F68</f>
        <v>0</v>
      </c>
      <c r="H68" s="181">
        <f>'A.1.0_TablaAntigüedad_Sub'!I68</f>
        <v>126</v>
      </c>
      <c r="I68" s="183">
        <f>'A.1.0_TablaAntigüedad_Sub'!W68</f>
        <v>446.8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5"/>
        <v>6702</v>
      </c>
      <c r="O68" s="183">
        <f>'A.0_Tablas salariales SC'!$K$10</f>
        <v>21211.55</v>
      </c>
      <c r="P68" s="183">
        <f>(O68+N68)*G68+'A.0_Tablas salariales SC'!$R$28*(100%-'A.1_Tabla Costes Subrog_2026'!G68)</f>
        <v>2019.35</v>
      </c>
      <c r="Q68" s="184">
        <f>IF(D68=100,'A.0_Tablas salariales SC'!$C$215,IF(D68=150,'A.0_Tablas salariales SC'!$C$216,IF(D68=189,'A.0_Tablas salariales SC'!$C$217,IF(D68=400,'A.0_Tablas salariales SC'!$C$218,IF(D68=450,'A.0_Tablas salariales SC'!$C$219,IF(D68=401,'A.0_Tablas salariales SC'!$C$220,IF(D68=451,'A.0_Tablas salariales SC'!$C$221,'A.0_Tablas salariales SC'!$C$215)))))))</f>
        <v>0.34250000000000003</v>
      </c>
      <c r="R68" s="183">
        <f t="shared" si="1"/>
        <v>691.62737500000003</v>
      </c>
      <c r="S68" s="183">
        <f t="shared" si="2"/>
        <v>0</v>
      </c>
      <c r="T68" s="179"/>
    </row>
    <row r="69" spans="1:20">
      <c r="A69" s="508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2">
        <f>'A.1. Plantilla_Subrogacion'!F69</f>
        <v>0</v>
      </c>
      <c r="H69" s="181">
        <f>'A.1.0_TablaAntigüedad_Sub'!I69</f>
        <v>126</v>
      </c>
      <c r="I69" s="183">
        <f>'A.1.0_TablaAntigüedad_Sub'!W69</f>
        <v>446.8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5"/>
        <v>6702</v>
      </c>
      <c r="O69" s="183">
        <f>'A.0_Tablas salariales SC'!$K$10</f>
        <v>21211.55</v>
      </c>
      <c r="P69" s="183">
        <f>(O69+N69)*G69+'A.0_Tablas salariales SC'!$R$28*(100%-'A.1_Tabla Costes Subrog_2026'!G69)</f>
        <v>2019.35</v>
      </c>
      <c r="Q69" s="184">
        <f>IF(D69=100,'A.0_Tablas salariales SC'!$C$215,IF(D69=150,'A.0_Tablas salariales SC'!$C$216,IF(D69=189,'A.0_Tablas salariales SC'!$C$217,IF(D69=400,'A.0_Tablas salariales SC'!$C$218,IF(D69=450,'A.0_Tablas salariales SC'!$C$219,IF(D69=401,'A.0_Tablas salariales SC'!$C$220,IF(D69=451,'A.0_Tablas salariales SC'!$C$221,'A.0_Tablas salariales SC'!$C$215)))))))</f>
        <v>0.34250000000000003</v>
      </c>
      <c r="R69" s="183">
        <f t="shared" ref="R69:R84" si="6">Q69*P69</f>
        <v>691.62737500000003</v>
      </c>
      <c r="S69" s="183">
        <f t="shared" ref="S69:S84" si="7">(R69+P69)*A69</f>
        <v>0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'A.1.0_TablaAntigüedad_Sub'!I70</f>
        <v>126</v>
      </c>
      <c r="I70" s="183">
        <f>'A.1.0_TablaAntigüedad_Sub'!W70</f>
        <v>446.8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si="5"/>
        <v>6702</v>
      </c>
      <c r="O70" s="183">
        <f>'A.0_Tablas salariales SC'!$K$10</f>
        <v>21211.55</v>
      </c>
      <c r="P70" s="183">
        <f>(O70+N70)*G70+'A.0_Tablas salariales SC'!$R$28*(100%-'A.1_Tabla Costes Subrog_2026'!G70)</f>
        <v>2019.35</v>
      </c>
      <c r="Q70" s="184">
        <f>IF(D70=100,'A.0_Tablas salariales SC'!$C$215,IF(D70=150,'A.0_Tablas salariales SC'!$C$216,IF(D70=189,'A.0_Tablas salariales SC'!$C$217,IF(D70=400,'A.0_Tablas salariales SC'!$C$218,IF(D70=450,'A.0_Tablas salariales SC'!$C$219,IF(D70=401,'A.0_Tablas salariales SC'!$C$220,IF(D70=451,'A.0_Tablas salariales SC'!$C$221,'A.0_Tablas salariales SC'!$C$215)))))))</f>
        <v>0.34250000000000003</v>
      </c>
      <c r="R70" s="183">
        <f t="shared" si="6"/>
        <v>691.62737500000003</v>
      </c>
      <c r="S70" s="183">
        <f t="shared" si="7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'A.1.0_TablaAntigüedad_Sub'!I71</f>
        <v>126</v>
      </c>
      <c r="I71" s="183">
        <f>'A.1.0_TablaAntigüedad_Sub'!W71</f>
        <v>446.8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5"/>
        <v>6702</v>
      </c>
      <c r="O71" s="183">
        <f>'A.0_Tablas salariales SC'!$K$10</f>
        <v>21211.55</v>
      </c>
      <c r="P71" s="183">
        <f>(O71+N71)*G71+'A.0_Tablas salariales SC'!$R$28*(100%-'A.1_Tabla Costes Subrog_2026'!G71)</f>
        <v>2019.35</v>
      </c>
      <c r="Q71" s="184">
        <f>IF(D71=100,'A.0_Tablas salariales SC'!$C$215,IF(D71=150,'A.0_Tablas salariales SC'!$C$216,IF(D71=189,'A.0_Tablas salariales SC'!$C$217,IF(D71=400,'A.0_Tablas salariales SC'!$C$218,IF(D71=450,'A.0_Tablas salariales SC'!$C$219,IF(D71=401,'A.0_Tablas salariales SC'!$C$220,IF(D71=451,'A.0_Tablas salariales SC'!$C$221,'A.0_Tablas salariales SC'!$C$215)))))))</f>
        <v>0.34250000000000003</v>
      </c>
      <c r="R71" s="183">
        <f t="shared" si="6"/>
        <v>691.62737500000003</v>
      </c>
      <c r="S71" s="183">
        <f t="shared" si="7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'A.1.0_TablaAntigüedad_Sub'!I72</f>
        <v>126</v>
      </c>
      <c r="I72" s="183">
        <f>'A.1.0_TablaAntigüedad_Sub'!W72</f>
        <v>446.8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5"/>
        <v>6702</v>
      </c>
      <c r="O72" s="183">
        <f>'A.0_Tablas salariales SC'!$K$10</f>
        <v>21211.55</v>
      </c>
      <c r="P72" s="183">
        <f>(O72+N72)*G72+'A.0_Tablas salariales SC'!$R$28*(100%-'A.1_Tabla Costes Subrog_2026'!G72)</f>
        <v>2019.35</v>
      </c>
      <c r="Q72" s="184">
        <f>IF(D72=100,'A.0_Tablas salariales SC'!$C$215,IF(D72=150,'A.0_Tablas salariales SC'!$C$216,IF(D72=189,'A.0_Tablas salariales SC'!$C$217,IF(D72=400,'A.0_Tablas salariales SC'!$C$218,IF(D72=450,'A.0_Tablas salariales SC'!$C$219,IF(D72=401,'A.0_Tablas salariales SC'!$C$220,IF(D72=451,'A.0_Tablas salariales SC'!$C$221,'A.0_Tablas salariales SC'!$C$215)))))))</f>
        <v>0.34250000000000003</v>
      </c>
      <c r="R72" s="183">
        <f t="shared" si="6"/>
        <v>691.62737500000003</v>
      </c>
      <c r="S72" s="183">
        <f t="shared" si="7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'A.1.0_TablaAntigüedad_Sub'!I73</f>
        <v>126</v>
      </c>
      <c r="I73" s="183">
        <f>'A.1.0_TablaAntigüedad_Sub'!W73</f>
        <v>446.8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5"/>
        <v>6702</v>
      </c>
      <c r="O73" s="183">
        <f>'A.0_Tablas salariales SC'!$K$10</f>
        <v>21211.55</v>
      </c>
      <c r="P73" s="183">
        <f>(O73+N73)*G73+'A.0_Tablas salariales SC'!$R$28*(100%-'A.1_Tabla Costes Subrog_2026'!G73)</f>
        <v>2019.35</v>
      </c>
      <c r="Q73" s="184">
        <f>IF(D73=100,'A.0_Tablas salariales SC'!$C$215,IF(D73=150,'A.0_Tablas salariales SC'!$C$216,IF(D73=189,'A.0_Tablas salariales SC'!$C$217,IF(D73=400,'A.0_Tablas salariales SC'!$C$218,IF(D73=450,'A.0_Tablas salariales SC'!$C$219,IF(D73=401,'A.0_Tablas salariales SC'!$C$220,IF(D73=451,'A.0_Tablas salariales SC'!$C$221,'A.0_Tablas salariales SC'!$C$215)))))))</f>
        <v>0.34250000000000003</v>
      </c>
      <c r="R73" s="183">
        <f t="shared" si="6"/>
        <v>691.62737500000003</v>
      </c>
      <c r="S73" s="183">
        <f t="shared" si="7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'A.1.0_TablaAntigüedad_Sub'!I74</f>
        <v>126</v>
      </c>
      <c r="I74" s="183">
        <f>'A.1.0_TablaAntigüedad_Sub'!W74</f>
        <v>446.8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5"/>
        <v>6702</v>
      </c>
      <c r="O74" s="183">
        <f>'A.0_Tablas salariales SC'!$K$10</f>
        <v>21211.55</v>
      </c>
      <c r="P74" s="183">
        <f>(O74+N74)*G74+'A.0_Tablas salariales SC'!$R$28*(100%-'A.1_Tabla Costes Subrog_2026'!G74)</f>
        <v>2019.35</v>
      </c>
      <c r="Q74" s="184">
        <f>IF(D74=100,'A.0_Tablas salariales SC'!$C$215,IF(D74=150,'A.0_Tablas salariales SC'!$C$216,IF(D74=189,'A.0_Tablas salariales SC'!$C$217,IF(D74=400,'A.0_Tablas salariales SC'!$C$218,IF(D74=450,'A.0_Tablas salariales SC'!$C$219,IF(D74=401,'A.0_Tablas salariales SC'!$C$220,IF(D74=451,'A.0_Tablas salariales SC'!$C$221,'A.0_Tablas salariales SC'!$C$215)))))))</f>
        <v>0.34250000000000003</v>
      </c>
      <c r="R74" s="183">
        <f t="shared" si="6"/>
        <v>691.62737500000003</v>
      </c>
      <c r="S74" s="183">
        <f t="shared" si="7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'A.1.0_TablaAntigüedad_Sub'!I75</f>
        <v>126</v>
      </c>
      <c r="I75" s="183">
        <f>'A.1.0_TablaAntigüedad_Sub'!W75</f>
        <v>446.8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5"/>
        <v>6702</v>
      </c>
      <c r="O75" s="183">
        <f>'A.0_Tablas salariales SC'!$K$10</f>
        <v>21211.55</v>
      </c>
      <c r="P75" s="183">
        <f>(O75+N75)*G75+'A.0_Tablas salariales SC'!$R$28*(100%-'A.1_Tabla Costes Subrog_2026'!G75)</f>
        <v>2019.35</v>
      </c>
      <c r="Q75" s="184">
        <f>IF(D75=100,'A.0_Tablas salariales SC'!$C$215,IF(D75=150,'A.0_Tablas salariales SC'!$C$216,IF(D75=189,'A.0_Tablas salariales SC'!$C$217,IF(D75=400,'A.0_Tablas salariales SC'!$C$218,IF(D75=450,'A.0_Tablas salariales SC'!$C$219,IF(D75=401,'A.0_Tablas salariales SC'!$C$220,IF(D75=451,'A.0_Tablas salariales SC'!$C$221,'A.0_Tablas salariales SC'!$C$215)))))))</f>
        <v>0.34250000000000003</v>
      </c>
      <c r="R75" s="183">
        <f t="shared" si="6"/>
        <v>691.62737500000003</v>
      </c>
      <c r="S75" s="183">
        <f t="shared" si="7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'A.1.0_TablaAntigüedad_Sub'!I76</f>
        <v>126</v>
      </c>
      <c r="I76" s="183">
        <f>'A.1.0_TablaAntigüedad_Sub'!W76</f>
        <v>446.8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5"/>
        <v>6702</v>
      </c>
      <c r="O76" s="183">
        <f>'A.0_Tablas salariales SC'!$K$10</f>
        <v>21211.55</v>
      </c>
      <c r="P76" s="183">
        <f>(O76+N76)*G76+'A.0_Tablas salariales SC'!$R$28*(100%-'A.1_Tabla Costes Subrog_2026'!G76)</f>
        <v>2019.35</v>
      </c>
      <c r="Q76" s="184">
        <f>IF(D76=100,'A.0_Tablas salariales SC'!$C$215,IF(D76=150,'A.0_Tablas salariales SC'!$C$216,IF(D76=189,'A.0_Tablas salariales SC'!$C$217,IF(D76=400,'A.0_Tablas salariales SC'!$C$218,IF(D76=450,'A.0_Tablas salariales SC'!$C$219,IF(D76=401,'A.0_Tablas salariales SC'!$C$220,IF(D76=451,'A.0_Tablas salariales SC'!$C$221,'A.0_Tablas salariales SC'!$C$215)))))))</f>
        <v>0.34250000000000003</v>
      </c>
      <c r="R76" s="183">
        <f t="shared" si="6"/>
        <v>691.62737500000003</v>
      </c>
      <c r="S76" s="183">
        <f t="shared" si="7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'A.1.0_TablaAntigüedad_Sub'!I77</f>
        <v>126</v>
      </c>
      <c r="I77" s="183">
        <f>'A.1.0_TablaAntigüedad_Sub'!W77</f>
        <v>446.8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5"/>
        <v>6702</v>
      </c>
      <c r="O77" s="183">
        <f>'A.0_Tablas salariales SC'!$K$10</f>
        <v>21211.55</v>
      </c>
      <c r="P77" s="183">
        <f>(O77+N77)*G77+'A.0_Tablas salariales SC'!$R$28*(100%-'A.1_Tabla Costes Subrog_2026'!G77)</f>
        <v>2019.35</v>
      </c>
      <c r="Q77" s="184">
        <f>IF(D77=100,'A.0_Tablas salariales SC'!$C$215,IF(D77=150,'A.0_Tablas salariales SC'!$C$216,IF(D77=189,'A.0_Tablas salariales SC'!$C$217,IF(D77=400,'A.0_Tablas salariales SC'!$C$218,IF(D77=450,'A.0_Tablas salariales SC'!$C$219,IF(D77=401,'A.0_Tablas salariales SC'!$C$220,IF(D77=451,'A.0_Tablas salariales SC'!$C$221,'A.0_Tablas salariales SC'!$C$215)))))))</f>
        <v>0.34250000000000003</v>
      </c>
      <c r="R77" s="183">
        <f t="shared" si="6"/>
        <v>691.62737500000003</v>
      </c>
      <c r="S77" s="183">
        <f t="shared" si="7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'A.1.0_TablaAntigüedad_Sub'!I78</f>
        <v>126</v>
      </c>
      <c r="I78" s="183">
        <f>'A.1.0_TablaAntigüedad_Sub'!W78</f>
        <v>446.8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ref="N78:N141" si="8">I78*$I$4+J78*$J$4+K78*$K$4+$M$4*M78+L78*$L$4</f>
        <v>6702</v>
      </c>
      <c r="O78" s="183">
        <f>'A.0_Tablas salariales SC'!$K$10</f>
        <v>21211.55</v>
      </c>
      <c r="P78" s="183">
        <f>(O78+N78)*G78+'A.0_Tablas salariales SC'!$R$28*(100%-'A.1_Tabla Costes Subrog_2026'!G78)</f>
        <v>2019.35</v>
      </c>
      <c r="Q78" s="184">
        <f>IF(D78=100,'A.0_Tablas salariales SC'!$C$215,IF(D78=150,'A.0_Tablas salariales SC'!$C$216,IF(D78=189,'A.0_Tablas salariales SC'!$C$217,IF(D78=400,'A.0_Tablas salariales SC'!$C$218,IF(D78=450,'A.0_Tablas salariales SC'!$C$219,IF(D78=401,'A.0_Tablas salariales SC'!$C$220,IF(D78=451,'A.0_Tablas salariales SC'!$C$221,'A.0_Tablas salariales SC'!$C$215)))))))</f>
        <v>0.34250000000000003</v>
      </c>
      <c r="R78" s="183">
        <f t="shared" si="6"/>
        <v>691.62737500000003</v>
      </c>
      <c r="S78" s="183">
        <f t="shared" si="7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'A.1.0_TablaAntigüedad_Sub'!I79</f>
        <v>126</v>
      </c>
      <c r="I79" s="183">
        <f>'A.1.0_TablaAntigüedad_Sub'!W79</f>
        <v>446.8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8"/>
        <v>6702</v>
      </c>
      <c r="O79" s="183">
        <f>'A.0_Tablas salariales SC'!$K$10</f>
        <v>21211.55</v>
      </c>
      <c r="P79" s="183">
        <f>(O79+N79)*G79+'A.0_Tablas salariales SC'!$R$28*(100%-'A.1_Tabla Costes Subrog_2026'!G79)</f>
        <v>2019.35</v>
      </c>
      <c r="Q79" s="184">
        <f>IF(D79=100,'A.0_Tablas salariales SC'!$C$215,IF(D79=150,'A.0_Tablas salariales SC'!$C$216,IF(D79=189,'A.0_Tablas salariales SC'!$C$217,IF(D79=400,'A.0_Tablas salariales SC'!$C$218,IF(D79=450,'A.0_Tablas salariales SC'!$C$219,IF(D79=401,'A.0_Tablas salariales SC'!$C$220,IF(D79=451,'A.0_Tablas salariales SC'!$C$221,'A.0_Tablas salariales SC'!$C$215)))))))</f>
        <v>0.34250000000000003</v>
      </c>
      <c r="R79" s="183">
        <f t="shared" si="6"/>
        <v>691.62737500000003</v>
      </c>
      <c r="S79" s="183">
        <f t="shared" si="7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'A.1.0_TablaAntigüedad_Sub'!I80</f>
        <v>126</v>
      </c>
      <c r="I80" s="183">
        <f>'A.1.0_TablaAntigüedad_Sub'!W80</f>
        <v>446.8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8"/>
        <v>6702</v>
      </c>
      <c r="O80" s="183">
        <f>'A.0_Tablas salariales SC'!$K$10</f>
        <v>21211.55</v>
      </c>
      <c r="P80" s="183">
        <f>(O80+N80)*G80+'A.0_Tablas salariales SC'!$R$28*(100%-'A.1_Tabla Costes Subrog_2026'!G80)</f>
        <v>2019.35</v>
      </c>
      <c r="Q80" s="184">
        <f>IF(D80=100,'A.0_Tablas salariales SC'!$C$215,IF(D80=150,'A.0_Tablas salariales SC'!$C$216,IF(D80=189,'A.0_Tablas salariales SC'!$C$217,IF(D80=400,'A.0_Tablas salariales SC'!$C$218,IF(D80=450,'A.0_Tablas salariales SC'!$C$219,IF(D80=401,'A.0_Tablas salariales SC'!$C$220,IF(D80=451,'A.0_Tablas salariales SC'!$C$221,'A.0_Tablas salariales SC'!$C$215)))))))</f>
        <v>0.34250000000000003</v>
      </c>
      <c r="R80" s="183">
        <f t="shared" si="6"/>
        <v>691.62737500000003</v>
      </c>
      <c r="S80" s="183">
        <f t="shared" si="7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'A.1.0_TablaAntigüedad_Sub'!I81</f>
        <v>126</v>
      </c>
      <c r="I81" s="183">
        <f>'A.1.0_TablaAntigüedad_Sub'!W81</f>
        <v>446.8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8"/>
        <v>6702</v>
      </c>
      <c r="O81" s="183">
        <f>'A.0_Tablas salariales SC'!$K$10</f>
        <v>21211.55</v>
      </c>
      <c r="P81" s="183">
        <f>(O81+N81)*G81+'A.0_Tablas salariales SC'!$R$28*(100%-'A.1_Tabla Costes Subrog_2026'!G81)</f>
        <v>2019.35</v>
      </c>
      <c r="Q81" s="184">
        <f>IF(D81=100,'A.0_Tablas salariales SC'!$C$215,IF(D81=150,'A.0_Tablas salariales SC'!$C$216,IF(D81=189,'A.0_Tablas salariales SC'!$C$217,IF(D81=400,'A.0_Tablas salariales SC'!$C$218,IF(D81=450,'A.0_Tablas salariales SC'!$C$219,IF(D81=401,'A.0_Tablas salariales SC'!$C$220,IF(D81=451,'A.0_Tablas salariales SC'!$C$221,'A.0_Tablas salariales SC'!$C$215)))))))</f>
        <v>0.34250000000000003</v>
      </c>
      <c r="R81" s="183">
        <f t="shared" si="6"/>
        <v>691.62737500000003</v>
      </c>
      <c r="S81" s="183">
        <f t="shared" si="7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'A.1.0_TablaAntigüedad_Sub'!I82</f>
        <v>126</v>
      </c>
      <c r="I82" s="183">
        <f>'A.1.0_TablaAntigüedad_Sub'!W82</f>
        <v>446.8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8"/>
        <v>6702</v>
      </c>
      <c r="O82" s="183">
        <f>'A.0_Tablas salariales SC'!$K$10</f>
        <v>21211.55</v>
      </c>
      <c r="P82" s="183">
        <f>(O82+N82)*G82+'A.0_Tablas salariales SC'!$R$28*(100%-'A.1_Tabla Costes Subrog_2026'!G82)</f>
        <v>2019.35</v>
      </c>
      <c r="Q82" s="184">
        <f>IF(D82=100,'A.0_Tablas salariales SC'!$C$215,IF(D82=150,'A.0_Tablas salariales SC'!$C$216,IF(D82=189,'A.0_Tablas salariales SC'!$C$217,IF(D82=400,'A.0_Tablas salariales SC'!$C$218,IF(D82=450,'A.0_Tablas salariales SC'!$C$219,IF(D82=401,'A.0_Tablas salariales SC'!$C$220,IF(D82=451,'A.0_Tablas salariales SC'!$C$221,'A.0_Tablas salariales SC'!$C$215)))))))</f>
        <v>0.34250000000000003</v>
      </c>
      <c r="R82" s="183">
        <f t="shared" si="6"/>
        <v>691.62737500000003</v>
      </c>
      <c r="S82" s="183">
        <f t="shared" si="7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'A.1.0_TablaAntigüedad_Sub'!I83</f>
        <v>126</v>
      </c>
      <c r="I83" s="183">
        <f>'A.1.0_TablaAntigüedad_Sub'!W83</f>
        <v>446.8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8"/>
        <v>6702</v>
      </c>
      <c r="O83" s="183">
        <f>'A.0_Tablas salariales SC'!$K$10</f>
        <v>21211.55</v>
      </c>
      <c r="P83" s="183">
        <f>(O83+N83)*G83+'A.0_Tablas salariales SC'!$R$28*(100%-'A.1_Tabla Costes Subrog_2026'!G83)</f>
        <v>2019.35</v>
      </c>
      <c r="Q83" s="184">
        <f>IF(D83=100,'A.0_Tablas salariales SC'!$C$215,IF(D83=150,'A.0_Tablas salariales SC'!$C$216,IF(D83=189,'A.0_Tablas salariales SC'!$C$217,IF(D83=400,'A.0_Tablas salariales SC'!$C$218,IF(D83=450,'A.0_Tablas salariales SC'!$C$219,IF(D83=401,'A.0_Tablas salariales SC'!$C$220,IF(D83=451,'A.0_Tablas salariales SC'!$C$221,'A.0_Tablas salariales SC'!$C$215)))))))</f>
        <v>0.34250000000000003</v>
      </c>
      <c r="R83" s="183">
        <f t="shared" si="6"/>
        <v>691.62737500000003</v>
      </c>
      <c r="S83" s="183">
        <f t="shared" si="7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'A.1.0_TablaAntigüedad_Sub'!I84</f>
        <v>126</v>
      </c>
      <c r="I84" s="183">
        <f>'A.1.0_TablaAntigüedad_Sub'!W84</f>
        <v>446.8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8"/>
        <v>6702</v>
      </c>
      <c r="O84" s="183">
        <f>'A.0_Tablas salariales SC'!$K$10</f>
        <v>21211.55</v>
      </c>
      <c r="P84" s="183">
        <f>(O84+N84)*G84+'A.0_Tablas salariales SC'!$R$28*(100%-'A.1_Tabla Costes Subrog_2026'!G84)</f>
        <v>2019.35</v>
      </c>
      <c r="Q84" s="184">
        <f>IF(D84=100,'A.0_Tablas salariales SC'!$C$215,IF(D84=150,'A.0_Tablas salariales SC'!$C$216,IF(D84=189,'A.0_Tablas salariales SC'!$C$217,IF(D84=400,'A.0_Tablas salariales SC'!$C$218,IF(D84=450,'A.0_Tablas salariales SC'!$C$219,IF(D84=401,'A.0_Tablas salariales SC'!$C$220,IF(D84=451,'A.0_Tablas salariales SC'!$C$221,'A.0_Tablas salariales SC'!$C$215)))))))</f>
        <v>0.34250000000000003</v>
      </c>
      <c r="R84" s="183">
        <f t="shared" si="6"/>
        <v>691.62737500000003</v>
      </c>
      <c r="S84" s="183">
        <f t="shared" si="7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'A.1.0_TablaAntigüedad_Sub'!I85</f>
        <v>126</v>
      </c>
      <c r="I85" s="183">
        <f>'A.1.0_TablaAntigüedad_Sub'!W85</f>
        <v>446.8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8"/>
        <v>6702</v>
      </c>
      <c r="O85" s="183">
        <f>'A.0_Tablas salariales SC'!$K$10</f>
        <v>21211.55</v>
      </c>
      <c r="P85" s="183">
        <f>(O85+N85)*G85+'A.0_Tablas salariales SC'!$R$28*(100%-'A.1_Tabla Costes Subrog_2026'!G85)</f>
        <v>2019.35</v>
      </c>
      <c r="Q85" s="184">
        <f>IF(D85=100,'A.0_Tablas salariales SC'!$C$215,IF(D85=150,'A.0_Tablas salariales SC'!$C$216,IF(D85=189,'A.0_Tablas salariales SC'!$C$217,IF(D85=400,'A.0_Tablas salariales SC'!$C$218,IF(D85=450,'A.0_Tablas salariales SC'!$C$219,IF(D85=401,'A.0_Tablas salariales SC'!$C$220,IF(D85=451,'A.0_Tablas salariales SC'!$C$221,'A.0_Tablas salariales SC'!$C$215)))))))</f>
        <v>0.34250000000000003</v>
      </c>
      <c r="R85" s="183">
        <f t="shared" si="1"/>
        <v>691.62737500000003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8"/>
      <c r="K86" s="178"/>
      <c r="L86" s="178"/>
      <c r="M86" s="178"/>
      <c r="N86" s="178"/>
      <c r="O86" s="174"/>
      <c r="P86" s="174"/>
      <c r="Q86" s="174"/>
      <c r="R86" s="174"/>
      <c r="S86" s="174"/>
      <c r="T86" s="180">
        <f>SUM(S14:S85)</f>
        <v>0</v>
      </c>
    </row>
    <row r="87" spans="1:20">
      <c r="A87" s="508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2">
        <f>'A.1. Plantilla_Subrogacion'!F87</f>
        <v>0</v>
      </c>
      <c r="H87" s="181">
        <f>'A.1.0_TablaAntigüedad_Sub'!I87</f>
        <v>126</v>
      </c>
      <c r="I87" s="183">
        <f>'A.1.0_TablaAntigüedad_Sub'!W87</f>
        <v>446.8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8"/>
        <v>6702</v>
      </c>
      <c r="O87" s="183">
        <f>'A.0_Tablas salariales SC'!$K$13</f>
        <v>22010.9</v>
      </c>
      <c r="P87" s="183">
        <f>(O87+N87)*G87+'A.0_Tablas salariales SC'!$R$28*(100%-'A.1_Tabla Costes Subrog_2026'!G87)</f>
        <v>2019.35</v>
      </c>
      <c r="Q87" s="184">
        <f>IF(D87=100,'A.0_Tablas salariales SC'!$C$215,IF(D87=150,'A.0_Tablas salariales SC'!$C$216,IF(D87=189,'A.0_Tablas salariales SC'!$C$217,IF(D87=400,'A.0_Tablas salariales SC'!$C$218,IF(D87=450,'A.0_Tablas salariales SC'!$C$219,IF(D87=401,'A.0_Tablas salariales SC'!$C$220,IF(D87=451,'A.0_Tablas salariales SC'!$C$221,'A.0_Tablas salariales SC'!$C$215)))))))</f>
        <v>0.34250000000000003</v>
      </c>
      <c r="R87" s="183">
        <f t="shared" si="1"/>
        <v>691.62737500000003</v>
      </c>
      <c r="S87" s="183">
        <f t="shared" si="2"/>
        <v>0</v>
      </c>
      <c r="T87" s="179"/>
    </row>
    <row r="88" spans="1:20">
      <c r="A88" s="508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2">
        <f>'A.1. Plantilla_Subrogacion'!F88</f>
        <v>0</v>
      </c>
      <c r="H88" s="181">
        <f>'A.1.0_TablaAntigüedad_Sub'!I88</f>
        <v>126</v>
      </c>
      <c r="I88" s="183">
        <f>'A.1.0_TablaAntigüedad_Sub'!W88</f>
        <v>446.8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8"/>
        <v>6702</v>
      </c>
      <c r="O88" s="183">
        <f>'A.0_Tablas salariales SC'!$K$13</f>
        <v>22010.9</v>
      </c>
      <c r="P88" s="183">
        <f>(O88+N88)*G88+'A.0_Tablas salariales SC'!$R$28*(100%-'A.1_Tabla Costes Subrog_2026'!G88)</f>
        <v>2019.35</v>
      </c>
      <c r="Q88" s="184">
        <f>IF(D88=100,'A.0_Tablas salariales SC'!$C$215,IF(D88=150,'A.0_Tablas salariales SC'!$C$216,IF(D88=189,'A.0_Tablas salariales SC'!$C$217,IF(D88=400,'A.0_Tablas salariales SC'!$C$218,IF(D88=450,'A.0_Tablas salariales SC'!$C$219,IF(D88=401,'A.0_Tablas salariales SC'!$C$220,IF(D88=451,'A.0_Tablas salariales SC'!$C$221,'A.0_Tablas salariales SC'!$C$215)))))))</f>
        <v>0.34250000000000003</v>
      </c>
      <c r="R88" s="183">
        <f t="shared" si="1"/>
        <v>691.62737500000003</v>
      </c>
      <c r="S88" s="183">
        <f t="shared" si="2"/>
        <v>0</v>
      </c>
      <c r="T88" s="179"/>
    </row>
    <row r="89" spans="1:20">
      <c r="A89" s="508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2">
        <f>'A.1. Plantilla_Subrogacion'!F89</f>
        <v>0</v>
      </c>
      <c r="H89" s="181">
        <f>'A.1.0_TablaAntigüedad_Sub'!I89</f>
        <v>126</v>
      </c>
      <c r="I89" s="183">
        <f>'A.1.0_TablaAntigüedad_Sub'!W89</f>
        <v>446.8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8"/>
        <v>6702</v>
      </c>
      <c r="O89" s="183">
        <f>'A.0_Tablas salariales SC'!$K$13</f>
        <v>22010.9</v>
      </c>
      <c r="P89" s="183">
        <f>(O89+N89)*G89+'A.0_Tablas salariales SC'!$R$28*(100%-'A.1_Tabla Costes Subrog_2026'!G89)</f>
        <v>2019.35</v>
      </c>
      <c r="Q89" s="184">
        <f>IF(D89=100,'A.0_Tablas salariales SC'!$C$215,IF(D89=150,'A.0_Tablas salariales SC'!$C$216,IF(D89=189,'A.0_Tablas salariales SC'!$C$217,IF(D89=400,'A.0_Tablas salariales SC'!$C$218,IF(D89=450,'A.0_Tablas salariales SC'!$C$219,IF(D89=401,'A.0_Tablas salariales SC'!$C$220,IF(D89=451,'A.0_Tablas salariales SC'!$C$221,'A.0_Tablas salariales SC'!$C$215)))))))</f>
        <v>0.34250000000000003</v>
      </c>
      <c r="R89" s="183">
        <f t="shared" si="1"/>
        <v>691.62737500000003</v>
      </c>
      <c r="S89" s="183">
        <f t="shared" si="2"/>
        <v>0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'A.1.0_TablaAntigüedad_Sub'!I90</f>
        <v>126</v>
      </c>
      <c r="I90" s="183">
        <f>'A.1.0_TablaAntigüedad_Sub'!W90</f>
        <v>446.8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8"/>
        <v>6702</v>
      </c>
      <c r="O90" s="183">
        <f>'A.0_Tablas salariales SC'!$K$13</f>
        <v>22010.9</v>
      </c>
      <c r="P90" s="183">
        <f>(O90+N90)*G90+'A.0_Tablas salariales SC'!$R$28*(100%-'A.1_Tabla Costes Subrog_2026'!G90)</f>
        <v>2019.35</v>
      </c>
      <c r="Q90" s="184">
        <f>IF(D90=100,'A.0_Tablas salariales SC'!$C$215,IF(D90=150,'A.0_Tablas salariales SC'!$C$216,IF(D90=189,'A.0_Tablas salariales SC'!$C$217,IF(D90=400,'A.0_Tablas salariales SC'!$C$218,IF(D90=450,'A.0_Tablas salariales SC'!$C$219,IF(D90=401,'A.0_Tablas salariales SC'!$C$220,IF(D90=451,'A.0_Tablas salariales SC'!$C$221,'A.0_Tablas salariales SC'!$C$215)))))))</f>
        <v>0.34250000000000003</v>
      </c>
      <c r="R90" s="183">
        <f t="shared" ref="R90:R112" si="9">Q90*P90</f>
        <v>691.62737500000003</v>
      </c>
      <c r="S90" s="183">
        <f t="shared" ref="S90:S112" si="10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'A.1.0_TablaAntigüedad_Sub'!I91</f>
        <v>126</v>
      </c>
      <c r="I91" s="183">
        <f>'A.1.0_TablaAntigüedad_Sub'!W91</f>
        <v>446.8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8"/>
        <v>6702</v>
      </c>
      <c r="O91" s="183">
        <f>'A.0_Tablas salariales SC'!$K$13</f>
        <v>22010.9</v>
      </c>
      <c r="P91" s="183">
        <f>(O91+N91)*G91+'A.0_Tablas salariales SC'!$R$28*(100%-'A.1_Tabla Costes Subrog_2026'!G91)</f>
        <v>2019.35</v>
      </c>
      <c r="Q91" s="184">
        <f>IF(D91=100,'A.0_Tablas salariales SC'!$C$215,IF(D91=150,'A.0_Tablas salariales SC'!$C$216,IF(D91=189,'A.0_Tablas salariales SC'!$C$217,IF(D91=400,'A.0_Tablas salariales SC'!$C$218,IF(D91=450,'A.0_Tablas salariales SC'!$C$219,IF(D91=401,'A.0_Tablas salariales SC'!$C$220,IF(D91=451,'A.0_Tablas salariales SC'!$C$221,'A.0_Tablas salariales SC'!$C$215)))))))</f>
        <v>0.34250000000000003</v>
      </c>
      <c r="R91" s="183">
        <f t="shared" si="9"/>
        <v>691.62737500000003</v>
      </c>
      <c r="S91" s="183">
        <f t="shared" si="10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'A.1.0_TablaAntigüedad_Sub'!I92</f>
        <v>126</v>
      </c>
      <c r="I92" s="183">
        <f>'A.1.0_TablaAntigüedad_Sub'!W92</f>
        <v>446.8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8"/>
        <v>6702</v>
      </c>
      <c r="O92" s="183">
        <f>'A.0_Tablas salariales SC'!$K$13</f>
        <v>22010.9</v>
      </c>
      <c r="P92" s="183">
        <f>(O92+N92)*G92+'A.0_Tablas salariales SC'!$R$28*(100%-'A.1_Tabla Costes Subrog_2026'!G92)</f>
        <v>2019.35</v>
      </c>
      <c r="Q92" s="184">
        <f>IF(D92=100,'A.0_Tablas salariales SC'!$C$215,IF(D92=150,'A.0_Tablas salariales SC'!$C$216,IF(D92=189,'A.0_Tablas salariales SC'!$C$217,IF(D92=400,'A.0_Tablas salariales SC'!$C$218,IF(D92=450,'A.0_Tablas salariales SC'!$C$219,IF(D92=401,'A.0_Tablas salariales SC'!$C$220,IF(D92=451,'A.0_Tablas salariales SC'!$C$221,'A.0_Tablas salariales SC'!$C$215)))))))</f>
        <v>0.34250000000000003</v>
      </c>
      <c r="R92" s="183">
        <f t="shared" si="9"/>
        <v>691.62737500000003</v>
      </c>
      <c r="S92" s="183">
        <f t="shared" si="10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'A.1.0_TablaAntigüedad_Sub'!I93</f>
        <v>126</v>
      </c>
      <c r="I93" s="183">
        <f>'A.1.0_TablaAntigüedad_Sub'!W93</f>
        <v>446.8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8"/>
        <v>6702</v>
      </c>
      <c r="O93" s="183">
        <f>'A.0_Tablas salariales SC'!$K$13</f>
        <v>22010.9</v>
      </c>
      <c r="P93" s="183">
        <f>(O93+N93)*G93+'A.0_Tablas salariales SC'!$R$28*(100%-'A.1_Tabla Costes Subrog_2026'!G93)</f>
        <v>2019.35</v>
      </c>
      <c r="Q93" s="184">
        <f>IF(D93=100,'A.0_Tablas salariales SC'!$C$215,IF(D93=150,'A.0_Tablas salariales SC'!$C$216,IF(D93=189,'A.0_Tablas salariales SC'!$C$217,IF(D93=400,'A.0_Tablas salariales SC'!$C$218,IF(D93=450,'A.0_Tablas salariales SC'!$C$219,IF(D93=401,'A.0_Tablas salariales SC'!$C$220,IF(D93=451,'A.0_Tablas salariales SC'!$C$221,'A.0_Tablas salariales SC'!$C$215)))))))</f>
        <v>0.34250000000000003</v>
      </c>
      <c r="R93" s="183">
        <f t="shared" si="9"/>
        <v>691.62737500000003</v>
      </c>
      <c r="S93" s="183">
        <f t="shared" si="10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'A.1.0_TablaAntigüedad_Sub'!I94</f>
        <v>126</v>
      </c>
      <c r="I94" s="183">
        <f>'A.1.0_TablaAntigüedad_Sub'!W94</f>
        <v>446.8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8"/>
        <v>6702</v>
      </c>
      <c r="O94" s="183">
        <f>'A.0_Tablas salariales SC'!$K$13</f>
        <v>22010.9</v>
      </c>
      <c r="P94" s="183">
        <f>(O94+N94)*G94+'A.0_Tablas salariales SC'!$R$28*(100%-'A.1_Tabla Costes Subrog_2026'!G94)</f>
        <v>2019.35</v>
      </c>
      <c r="Q94" s="184">
        <f>IF(D94=100,'A.0_Tablas salariales SC'!$C$215,IF(D94=150,'A.0_Tablas salariales SC'!$C$216,IF(D94=189,'A.0_Tablas salariales SC'!$C$217,IF(D94=400,'A.0_Tablas salariales SC'!$C$218,IF(D94=450,'A.0_Tablas salariales SC'!$C$219,IF(D94=401,'A.0_Tablas salariales SC'!$C$220,IF(D94=451,'A.0_Tablas salariales SC'!$C$221,'A.0_Tablas salariales SC'!$C$215)))))))</f>
        <v>0.34250000000000003</v>
      </c>
      <c r="R94" s="183">
        <f t="shared" si="9"/>
        <v>691.62737500000003</v>
      </c>
      <c r="S94" s="183">
        <f t="shared" si="10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'A.1.0_TablaAntigüedad_Sub'!I95</f>
        <v>126</v>
      </c>
      <c r="I95" s="183">
        <f>'A.1.0_TablaAntigüedad_Sub'!W95</f>
        <v>446.8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8"/>
        <v>6702</v>
      </c>
      <c r="O95" s="183">
        <f>'A.0_Tablas salariales SC'!$K$13</f>
        <v>22010.9</v>
      </c>
      <c r="P95" s="183">
        <f>(O95+N95)*G95+'A.0_Tablas salariales SC'!$R$28*(100%-'A.1_Tabla Costes Subrog_2026'!G95)</f>
        <v>2019.35</v>
      </c>
      <c r="Q95" s="184">
        <f>IF(D95=100,'A.0_Tablas salariales SC'!$C$215,IF(D95=150,'A.0_Tablas salariales SC'!$C$216,IF(D95=189,'A.0_Tablas salariales SC'!$C$217,IF(D95=400,'A.0_Tablas salariales SC'!$C$218,IF(D95=450,'A.0_Tablas salariales SC'!$C$219,IF(D95=401,'A.0_Tablas salariales SC'!$C$220,IF(D95=451,'A.0_Tablas salariales SC'!$C$221,'A.0_Tablas salariales SC'!$C$215)))))))</f>
        <v>0.34250000000000003</v>
      </c>
      <c r="R95" s="183">
        <f t="shared" si="9"/>
        <v>691.62737500000003</v>
      </c>
      <c r="S95" s="183">
        <f t="shared" si="10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'A.1.0_TablaAntigüedad_Sub'!I96</f>
        <v>126</v>
      </c>
      <c r="I96" s="183">
        <f>'A.1.0_TablaAntigüedad_Sub'!W96</f>
        <v>446.8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8"/>
        <v>6702</v>
      </c>
      <c r="O96" s="183">
        <f>'A.0_Tablas salariales SC'!$K$13</f>
        <v>22010.9</v>
      </c>
      <c r="P96" s="183">
        <f>(O96+N96)*G96+'A.0_Tablas salariales SC'!$R$28*(100%-'A.1_Tabla Costes Subrog_2026'!G96)</f>
        <v>2019.35</v>
      </c>
      <c r="Q96" s="184">
        <f>IF(D96=100,'A.0_Tablas salariales SC'!$C$215,IF(D96=150,'A.0_Tablas salariales SC'!$C$216,IF(D96=189,'A.0_Tablas salariales SC'!$C$217,IF(D96=400,'A.0_Tablas salariales SC'!$C$218,IF(D96=450,'A.0_Tablas salariales SC'!$C$219,IF(D96=401,'A.0_Tablas salariales SC'!$C$220,IF(D96=451,'A.0_Tablas salariales SC'!$C$221,'A.0_Tablas salariales SC'!$C$215)))))))</f>
        <v>0.34250000000000003</v>
      </c>
      <c r="R96" s="183">
        <f t="shared" si="9"/>
        <v>691.62737500000003</v>
      </c>
      <c r="S96" s="183">
        <f t="shared" si="10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'A.1.0_TablaAntigüedad_Sub'!I97</f>
        <v>126</v>
      </c>
      <c r="I97" s="183">
        <f>'A.1.0_TablaAntigüedad_Sub'!W97</f>
        <v>446.8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8"/>
        <v>6702</v>
      </c>
      <c r="O97" s="183">
        <f>'A.0_Tablas salariales SC'!$K$13</f>
        <v>22010.9</v>
      </c>
      <c r="P97" s="183">
        <f>(O97+N97)*G97+'A.0_Tablas salariales SC'!$R$28*(100%-'A.1_Tabla Costes Subrog_2026'!G97)</f>
        <v>2019.35</v>
      </c>
      <c r="Q97" s="184">
        <f>IF(D97=100,'A.0_Tablas salariales SC'!$C$215,IF(D97=150,'A.0_Tablas salariales SC'!$C$216,IF(D97=189,'A.0_Tablas salariales SC'!$C$217,IF(D97=400,'A.0_Tablas salariales SC'!$C$218,IF(D97=450,'A.0_Tablas salariales SC'!$C$219,IF(D97=401,'A.0_Tablas salariales SC'!$C$220,IF(D97=451,'A.0_Tablas salariales SC'!$C$221,'A.0_Tablas salariales SC'!$C$215)))))))</f>
        <v>0.34250000000000003</v>
      </c>
      <c r="R97" s="183">
        <f t="shared" si="9"/>
        <v>691.62737500000003</v>
      </c>
      <c r="S97" s="183">
        <f t="shared" si="10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'A.1.0_TablaAntigüedad_Sub'!I98</f>
        <v>126</v>
      </c>
      <c r="I98" s="183">
        <f>'A.1.0_TablaAntigüedad_Sub'!W98</f>
        <v>446.8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8"/>
        <v>6702</v>
      </c>
      <c r="O98" s="183">
        <f>'A.0_Tablas salariales SC'!$K$13</f>
        <v>22010.9</v>
      </c>
      <c r="P98" s="183">
        <f>(O98+N98)*G98+'A.0_Tablas salariales SC'!$R$28*(100%-'A.1_Tabla Costes Subrog_2026'!G98)</f>
        <v>2019.35</v>
      </c>
      <c r="Q98" s="184">
        <f>IF(D98=100,'A.0_Tablas salariales SC'!$C$215,IF(D98=150,'A.0_Tablas salariales SC'!$C$216,IF(D98=189,'A.0_Tablas salariales SC'!$C$217,IF(D98=400,'A.0_Tablas salariales SC'!$C$218,IF(D98=450,'A.0_Tablas salariales SC'!$C$219,IF(D98=401,'A.0_Tablas salariales SC'!$C$220,IF(D98=451,'A.0_Tablas salariales SC'!$C$221,'A.0_Tablas salariales SC'!$C$215)))))))</f>
        <v>0.34250000000000003</v>
      </c>
      <c r="R98" s="183">
        <f t="shared" si="9"/>
        <v>691.62737500000003</v>
      </c>
      <c r="S98" s="183">
        <f t="shared" si="10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'A.1.0_TablaAntigüedad_Sub'!I99</f>
        <v>126</v>
      </c>
      <c r="I99" s="183">
        <f>'A.1.0_TablaAntigüedad_Sub'!W99</f>
        <v>446.8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8"/>
        <v>6702</v>
      </c>
      <c r="O99" s="183">
        <f>'A.0_Tablas salariales SC'!$K$13</f>
        <v>22010.9</v>
      </c>
      <c r="P99" s="183">
        <f>(O99+N99)*G99+'A.0_Tablas salariales SC'!$R$28*(100%-'A.1_Tabla Costes Subrog_2026'!G99)</f>
        <v>2019.35</v>
      </c>
      <c r="Q99" s="184">
        <f>IF(D99=100,'A.0_Tablas salariales SC'!$C$215,IF(D99=150,'A.0_Tablas salariales SC'!$C$216,IF(D99=189,'A.0_Tablas salariales SC'!$C$217,IF(D99=400,'A.0_Tablas salariales SC'!$C$218,IF(D99=450,'A.0_Tablas salariales SC'!$C$219,IF(D99=401,'A.0_Tablas salariales SC'!$C$220,IF(D99=451,'A.0_Tablas salariales SC'!$C$221,'A.0_Tablas salariales SC'!$C$215)))))))</f>
        <v>0.34250000000000003</v>
      </c>
      <c r="R99" s="183">
        <f t="shared" si="9"/>
        <v>691.62737500000003</v>
      </c>
      <c r="S99" s="183">
        <f t="shared" si="10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'A.1.0_TablaAntigüedad_Sub'!I100</f>
        <v>126</v>
      </c>
      <c r="I100" s="183">
        <f>'A.1.0_TablaAntigüedad_Sub'!W100</f>
        <v>446.8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8"/>
        <v>6702</v>
      </c>
      <c r="O100" s="183">
        <f>'A.0_Tablas salariales SC'!$K$13</f>
        <v>22010.9</v>
      </c>
      <c r="P100" s="183">
        <f>(O100+N100)*G100+'A.0_Tablas salariales SC'!$R$28*(100%-'A.1_Tabla Costes Subrog_2026'!G100)</f>
        <v>2019.35</v>
      </c>
      <c r="Q100" s="184">
        <f>IF(D100=100,'A.0_Tablas salariales SC'!$C$215,IF(D100=150,'A.0_Tablas salariales SC'!$C$216,IF(D100=189,'A.0_Tablas salariales SC'!$C$217,IF(D100=400,'A.0_Tablas salariales SC'!$C$218,IF(D100=450,'A.0_Tablas salariales SC'!$C$219,IF(D100=401,'A.0_Tablas salariales SC'!$C$220,IF(D100=451,'A.0_Tablas salariales SC'!$C$221,'A.0_Tablas salariales SC'!$C$215)))))))</f>
        <v>0.34250000000000003</v>
      </c>
      <c r="R100" s="183">
        <f t="shared" si="9"/>
        <v>691.62737500000003</v>
      </c>
      <c r="S100" s="183">
        <f t="shared" si="10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'A.1.0_TablaAntigüedad_Sub'!I101</f>
        <v>126</v>
      </c>
      <c r="I101" s="183">
        <f>'A.1.0_TablaAntigüedad_Sub'!W101</f>
        <v>446.8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8"/>
        <v>6702</v>
      </c>
      <c r="O101" s="183">
        <f>'A.0_Tablas salariales SC'!$K$13</f>
        <v>22010.9</v>
      </c>
      <c r="P101" s="183">
        <f>(O101+N101)*G101+'A.0_Tablas salariales SC'!$R$28*(100%-'A.1_Tabla Costes Subrog_2026'!G101)</f>
        <v>2019.35</v>
      </c>
      <c r="Q101" s="184">
        <f>IF(D101=100,'A.0_Tablas salariales SC'!$C$215,IF(D101=150,'A.0_Tablas salariales SC'!$C$216,IF(D101=189,'A.0_Tablas salariales SC'!$C$217,IF(D101=400,'A.0_Tablas salariales SC'!$C$218,IF(D101=450,'A.0_Tablas salariales SC'!$C$219,IF(D101=401,'A.0_Tablas salariales SC'!$C$220,IF(D101=451,'A.0_Tablas salariales SC'!$C$221,'A.0_Tablas salariales SC'!$C$215)))))))</f>
        <v>0.34250000000000003</v>
      </c>
      <c r="R101" s="183">
        <f t="shared" si="9"/>
        <v>691.62737500000003</v>
      </c>
      <c r="S101" s="183">
        <f t="shared" si="10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'A.1.0_TablaAntigüedad_Sub'!I102</f>
        <v>126</v>
      </c>
      <c r="I102" s="183">
        <f>'A.1.0_TablaAntigüedad_Sub'!W102</f>
        <v>446.8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8"/>
        <v>6702</v>
      </c>
      <c r="O102" s="183">
        <f>'A.0_Tablas salariales SC'!$K$13</f>
        <v>22010.9</v>
      </c>
      <c r="P102" s="183">
        <f>(O102+N102)*G102+'A.0_Tablas salariales SC'!$R$28*(100%-'A.1_Tabla Costes Subrog_2026'!G102)</f>
        <v>2019.35</v>
      </c>
      <c r="Q102" s="184">
        <f>IF(D102=100,'A.0_Tablas salariales SC'!$C$215,IF(D102=150,'A.0_Tablas salariales SC'!$C$216,IF(D102=189,'A.0_Tablas salariales SC'!$C$217,IF(D102=400,'A.0_Tablas salariales SC'!$C$218,IF(D102=450,'A.0_Tablas salariales SC'!$C$219,IF(D102=401,'A.0_Tablas salariales SC'!$C$220,IF(D102=451,'A.0_Tablas salariales SC'!$C$221,'A.0_Tablas salariales SC'!$C$215)))))))</f>
        <v>0.34250000000000003</v>
      </c>
      <c r="R102" s="183">
        <f t="shared" si="9"/>
        <v>691.62737500000003</v>
      </c>
      <c r="S102" s="183">
        <f t="shared" si="10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'A.1.0_TablaAntigüedad_Sub'!I103</f>
        <v>126</v>
      </c>
      <c r="I103" s="183">
        <f>'A.1.0_TablaAntigüedad_Sub'!W103</f>
        <v>446.8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8"/>
        <v>6702</v>
      </c>
      <c r="O103" s="183">
        <f>'A.0_Tablas salariales SC'!$K$13</f>
        <v>22010.9</v>
      </c>
      <c r="P103" s="183">
        <f>(O103+N103)*G103+'A.0_Tablas salariales SC'!$R$28*(100%-'A.1_Tabla Costes Subrog_2026'!G103)</f>
        <v>2019.35</v>
      </c>
      <c r="Q103" s="184">
        <f>IF(D103=100,'A.0_Tablas salariales SC'!$C$215,IF(D103=150,'A.0_Tablas salariales SC'!$C$216,IF(D103=189,'A.0_Tablas salariales SC'!$C$217,IF(D103=400,'A.0_Tablas salariales SC'!$C$218,IF(D103=450,'A.0_Tablas salariales SC'!$C$219,IF(D103=401,'A.0_Tablas salariales SC'!$C$220,IF(D103=451,'A.0_Tablas salariales SC'!$C$221,'A.0_Tablas salariales SC'!$C$215)))))))</f>
        <v>0.34250000000000003</v>
      </c>
      <c r="R103" s="183">
        <f t="shared" si="9"/>
        <v>691.62737500000003</v>
      </c>
      <c r="S103" s="183">
        <f t="shared" si="10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'A.1.0_TablaAntigüedad_Sub'!I104</f>
        <v>126</v>
      </c>
      <c r="I104" s="183">
        <f>'A.1.0_TablaAntigüedad_Sub'!W104</f>
        <v>446.8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8"/>
        <v>6702</v>
      </c>
      <c r="O104" s="183">
        <f>'A.0_Tablas salariales SC'!$K$13</f>
        <v>22010.9</v>
      </c>
      <c r="P104" s="183">
        <f>(O104+N104)*G104+'A.0_Tablas salariales SC'!$R$28*(100%-'A.1_Tabla Costes Subrog_2026'!G104)</f>
        <v>2019.35</v>
      </c>
      <c r="Q104" s="184">
        <f>IF(D104=100,'A.0_Tablas salariales SC'!$C$215,IF(D104=150,'A.0_Tablas salariales SC'!$C$216,IF(D104=189,'A.0_Tablas salariales SC'!$C$217,IF(D104=400,'A.0_Tablas salariales SC'!$C$218,IF(D104=450,'A.0_Tablas salariales SC'!$C$219,IF(D104=401,'A.0_Tablas salariales SC'!$C$220,IF(D104=451,'A.0_Tablas salariales SC'!$C$221,'A.0_Tablas salariales SC'!$C$215)))))))</f>
        <v>0.34250000000000003</v>
      </c>
      <c r="R104" s="183">
        <f t="shared" si="9"/>
        <v>691.62737500000003</v>
      </c>
      <c r="S104" s="183">
        <f t="shared" si="10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'A.1.0_TablaAntigüedad_Sub'!I105</f>
        <v>126</v>
      </c>
      <c r="I105" s="183">
        <f>'A.1.0_TablaAntigüedad_Sub'!W105</f>
        <v>446.8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8"/>
        <v>6702</v>
      </c>
      <c r="O105" s="183">
        <f>'A.0_Tablas salariales SC'!$K$13</f>
        <v>22010.9</v>
      </c>
      <c r="P105" s="183">
        <f>(O105+N105)*G105+'A.0_Tablas salariales SC'!$R$28*(100%-'A.1_Tabla Costes Subrog_2026'!G105)</f>
        <v>2019.35</v>
      </c>
      <c r="Q105" s="184">
        <f>IF(D105=100,'A.0_Tablas salariales SC'!$C$215,IF(D105=150,'A.0_Tablas salariales SC'!$C$216,IF(D105=189,'A.0_Tablas salariales SC'!$C$217,IF(D105=400,'A.0_Tablas salariales SC'!$C$218,IF(D105=450,'A.0_Tablas salariales SC'!$C$219,IF(D105=401,'A.0_Tablas salariales SC'!$C$220,IF(D105=451,'A.0_Tablas salariales SC'!$C$221,'A.0_Tablas salariales SC'!$C$215)))))))</f>
        <v>0.34250000000000003</v>
      </c>
      <c r="R105" s="183">
        <f t="shared" si="9"/>
        <v>691.62737500000003</v>
      </c>
      <c r="S105" s="183">
        <f t="shared" si="10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'A.1.0_TablaAntigüedad_Sub'!I106</f>
        <v>126</v>
      </c>
      <c r="I106" s="183">
        <f>'A.1.0_TablaAntigüedad_Sub'!W106</f>
        <v>446.8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8"/>
        <v>6702</v>
      </c>
      <c r="O106" s="183">
        <f>'A.0_Tablas salariales SC'!$K$13</f>
        <v>22010.9</v>
      </c>
      <c r="P106" s="183">
        <f>(O106+N106)*G106+'A.0_Tablas salariales SC'!$R$28*(100%-'A.1_Tabla Costes Subrog_2026'!G106)</f>
        <v>2019.35</v>
      </c>
      <c r="Q106" s="184">
        <f>IF(D106=100,'A.0_Tablas salariales SC'!$C$215,IF(D106=150,'A.0_Tablas salariales SC'!$C$216,IF(D106=189,'A.0_Tablas salariales SC'!$C$217,IF(D106=400,'A.0_Tablas salariales SC'!$C$218,IF(D106=450,'A.0_Tablas salariales SC'!$C$219,IF(D106=401,'A.0_Tablas salariales SC'!$C$220,IF(D106=451,'A.0_Tablas salariales SC'!$C$221,'A.0_Tablas salariales SC'!$C$215)))))))</f>
        <v>0.34250000000000003</v>
      </c>
      <c r="R106" s="183">
        <f t="shared" si="9"/>
        <v>691.62737500000003</v>
      </c>
      <c r="S106" s="183">
        <f t="shared" si="10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'A.1.0_TablaAntigüedad_Sub'!I107</f>
        <v>126</v>
      </c>
      <c r="I107" s="183">
        <f>'A.1.0_TablaAntigüedad_Sub'!W107</f>
        <v>446.8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8"/>
        <v>6702</v>
      </c>
      <c r="O107" s="183">
        <f>'A.0_Tablas salariales SC'!$K$13</f>
        <v>22010.9</v>
      </c>
      <c r="P107" s="183">
        <f>(O107+N107)*G107+'A.0_Tablas salariales SC'!$R$28*(100%-'A.1_Tabla Costes Subrog_2026'!G107)</f>
        <v>2019.35</v>
      </c>
      <c r="Q107" s="184">
        <f>IF(D107=100,'A.0_Tablas salariales SC'!$C$215,IF(D107=150,'A.0_Tablas salariales SC'!$C$216,IF(D107=189,'A.0_Tablas salariales SC'!$C$217,IF(D107=400,'A.0_Tablas salariales SC'!$C$218,IF(D107=450,'A.0_Tablas salariales SC'!$C$219,IF(D107=401,'A.0_Tablas salariales SC'!$C$220,IF(D107=451,'A.0_Tablas salariales SC'!$C$221,'A.0_Tablas salariales SC'!$C$215)))))))</f>
        <v>0.34250000000000003</v>
      </c>
      <c r="R107" s="183">
        <f t="shared" si="9"/>
        <v>691.62737500000003</v>
      </c>
      <c r="S107" s="183">
        <f t="shared" si="10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'A.1.0_TablaAntigüedad_Sub'!I108</f>
        <v>126</v>
      </c>
      <c r="I108" s="183">
        <f>'A.1.0_TablaAntigüedad_Sub'!W108</f>
        <v>446.8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8"/>
        <v>6702</v>
      </c>
      <c r="O108" s="183">
        <f>'A.0_Tablas salariales SC'!$K$13</f>
        <v>22010.9</v>
      </c>
      <c r="P108" s="183">
        <f>(O108+N108)*G108+'A.0_Tablas salariales SC'!$R$28*(100%-'A.1_Tabla Costes Subrog_2026'!G108)</f>
        <v>2019.35</v>
      </c>
      <c r="Q108" s="184">
        <f>IF(D108=100,'A.0_Tablas salariales SC'!$C$215,IF(D108=150,'A.0_Tablas salariales SC'!$C$216,IF(D108=189,'A.0_Tablas salariales SC'!$C$217,IF(D108=400,'A.0_Tablas salariales SC'!$C$218,IF(D108=450,'A.0_Tablas salariales SC'!$C$219,IF(D108=401,'A.0_Tablas salariales SC'!$C$220,IF(D108=451,'A.0_Tablas salariales SC'!$C$221,'A.0_Tablas salariales SC'!$C$215)))))))</f>
        <v>0.34250000000000003</v>
      </c>
      <c r="R108" s="183">
        <f t="shared" si="9"/>
        <v>691.62737500000003</v>
      </c>
      <c r="S108" s="183">
        <f t="shared" si="10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'A.1.0_TablaAntigüedad_Sub'!I109</f>
        <v>126</v>
      </c>
      <c r="I109" s="183">
        <f>'A.1.0_TablaAntigüedad_Sub'!W109</f>
        <v>446.8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8"/>
        <v>6702</v>
      </c>
      <c r="O109" s="183">
        <f>'A.0_Tablas salariales SC'!$K$13</f>
        <v>22010.9</v>
      </c>
      <c r="P109" s="183">
        <f>(O109+N109)*G109+'A.0_Tablas salariales SC'!$R$28*(100%-'A.1_Tabla Costes Subrog_2026'!G109)</f>
        <v>2019.35</v>
      </c>
      <c r="Q109" s="184">
        <f>IF(D109=100,'A.0_Tablas salariales SC'!$C$215,IF(D109=150,'A.0_Tablas salariales SC'!$C$216,IF(D109=189,'A.0_Tablas salariales SC'!$C$217,IF(D109=400,'A.0_Tablas salariales SC'!$C$218,IF(D109=450,'A.0_Tablas salariales SC'!$C$219,IF(D109=401,'A.0_Tablas salariales SC'!$C$220,IF(D109=451,'A.0_Tablas salariales SC'!$C$221,'A.0_Tablas salariales SC'!$C$215)))))))</f>
        <v>0.34250000000000003</v>
      </c>
      <c r="R109" s="183">
        <f t="shared" si="9"/>
        <v>691.62737500000003</v>
      </c>
      <c r="S109" s="183">
        <f t="shared" si="10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'A.1.0_TablaAntigüedad_Sub'!I110</f>
        <v>126</v>
      </c>
      <c r="I110" s="183">
        <f>'A.1.0_TablaAntigüedad_Sub'!W110</f>
        <v>446.8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8"/>
        <v>6702</v>
      </c>
      <c r="O110" s="183">
        <f>'A.0_Tablas salariales SC'!$K$13</f>
        <v>22010.9</v>
      </c>
      <c r="P110" s="183">
        <f>(O110+N110)*G110+'A.0_Tablas salariales SC'!$R$28*(100%-'A.1_Tabla Costes Subrog_2026'!G110)</f>
        <v>2019.35</v>
      </c>
      <c r="Q110" s="184">
        <f>IF(D110=100,'A.0_Tablas salariales SC'!$C$215,IF(D110=150,'A.0_Tablas salariales SC'!$C$216,IF(D110=189,'A.0_Tablas salariales SC'!$C$217,IF(D110=400,'A.0_Tablas salariales SC'!$C$218,IF(D110=450,'A.0_Tablas salariales SC'!$C$219,IF(D110=401,'A.0_Tablas salariales SC'!$C$220,IF(D110=451,'A.0_Tablas salariales SC'!$C$221,'A.0_Tablas salariales SC'!$C$215)))))))</f>
        <v>0.34250000000000003</v>
      </c>
      <c r="R110" s="183">
        <f t="shared" si="9"/>
        <v>691.62737500000003</v>
      </c>
      <c r="S110" s="183">
        <f t="shared" si="10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'A.1.0_TablaAntigüedad_Sub'!I111</f>
        <v>126</v>
      </c>
      <c r="I111" s="183">
        <f>'A.1.0_TablaAntigüedad_Sub'!W111</f>
        <v>446.8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8"/>
        <v>6702</v>
      </c>
      <c r="O111" s="183">
        <f>'A.0_Tablas salariales SC'!$K$13</f>
        <v>22010.9</v>
      </c>
      <c r="P111" s="183">
        <f>(O111+N111)*G111+'A.0_Tablas salariales SC'!$R$28*(100%-'A.1_Tabla Costes Subrog_2026'!G111)</f>
        <v>2019.35</v>
      </c>
      <c r="Q111" s="184">
        <f>IF(D111=100,'A.0_Tablas salariales SC'!$C$215,IF(D111=150,'A.0_Tablas salariales SC'!$C$216,IF(D111=189,'A.0_Tablas salariales SC'!$C$217,IF(D111=400,'A.0_Tablas salariales SC'!$C$218,IF(D111=450,'A.0_Tablas salariales SC'!$C$219,IF(D111=401,'A.0_Tablas salariales SC'!$C$220,IF(D111=451,'A.0_Tablas salariales SC'!$C$221,'A.0_Tablas salariales SC'!$C$215)))))))</f>
        <v>0.34250000000000003</v>
      </c>
      <c r="R111" s="183">
        <f t="shared" si="9"/>
        <v>691.62737500000003</v>
      </c>
      <c r="S111" s="183">
        <f t="shared" si="10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'A.1.0_TablaAntigüedad_Sub'!I112</f>
        <v>126</v>
      </c>
      <c r="I112" s="183">
        <f>'A.1.0_TablaAntigüedad_Sub'!W112</f>
        <v>446.8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8"/>
        <v>6702</v>
      </c>
      <c r="O112" s="183">
        <f>'A.0_Tablas salariales SC'!$K$13</f>
        <v>22010.9</v>
      </c>
      <c r="P112" s="183">
        <f>(O112+N112)*G112+'A.0_Tablas salariales SC'!$R$28*(100%-'A.1_Tabla Costes Subrog_2026'!G112)</f>
        <v>2019.35</v>
      </c>
      <c r="Q112" s="184">
        <f>IF(D112=100,'A.0_Tablas salariales SC'!$C$215,IF(D112=150,'A.0_Tablas salariales SC'!$C$216,IF(D112=189,'A.0_Tablas salariales SC'!$C$217,IF(D112=400,'A.0_Tablas salariales SC'!$C$218,IF(D112=450,'A.0_Tablas salariales SC'!$C$219,IF(D112=401,'A.0_Tablas salariales SC'!$C$220,IF(D112=451,'A.0_Tablas salariales SC'!$C$221,'A.0_Tablas salariales SC'!$C$215)))))))</f>
        <v>0.34250000000000003</v>
      </c>
      <c r="R112" s="183">
        <f t="shared" si="9"/>
        <v>691.62737500000003</v>
      </c>
      <c r="S112" s="183">
        <f t="shared" si="10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'A.1.0_TablaAntigüedad_Sub'!I113</f>
        <v>126</v>
      </c>
      <c r="I113" s="183">
        <f>'A.1.0_TablaAntigüedad_Sub'!W113</f>
        <v>446.8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8"/>
        <v>6702</v>
      </c>
      <c r="O113" s="183">
        <f>'A.0_Tablas salariales SC'!$K$13</f>
        <v>22010.9</v>
      </c>
      <c r="P113" s="183">
        <f>(O113+N113)*G113+'A.0_Tablas salariales SC'!$R$28*(100%-'A.1_Tabla Costes Subrog_2026'!G113)</f>
        <v>2019.35</v>
      </c>
      <c r="Q113" s="184">
        <f>IF(D113=100,'A.0_Tablas salariales SC'!$C$215,IF(D113=150,'A.0_Tablas salariales SC'!$C$216,IF(D113=189,'A.0_Tablas salariales SC'!$C$217,IF(D113=400,'A.0_Tablas salariales SC'!$C$218,IF(D113=450,'A.0_Tablas salariales SC'!$C$219,IF(D113=401,'A.0_Tablas salariales SC'!$C$220,IF(D113=451,'A.0_Tablas salariales SC'!$C$221,'A.0_Tablas salariales SC'!$C$215)))))))</f>
        <v>0.34250000000000003</v>
      </c>
      <c r="R113" s="183">
        <f t="shared" si="1"/>
        <v>691.62737500000003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8"/>
      <c r="K114" s="178"/>
      <c r="L114" s="178"/>
      <c r="M114" s="178"/>
      <c r="N114" s="178"/>
      <c r="O114" s="174"/>
      <c r="P114" s="174"/>
      <c r="Q114" s="174"/>
      <c r="R114" s="174"/>
      <c r="S114" s="174"/>
      <c r="T114" s="180">
        <f>SUM(S87:S113)</f>
        <v>0</v>
      </c>
    </row>
    <row r="115" spans="1:20">
      <c r="A115" s="508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2">
        <f>'A.1. Plantilla_Subrogacion'!F115</f>
        <v>0</v>
      </c>
      <c r="H115" s="181">
        <f>'A.1.0_TablaAntigüedad_Sub'!I115</f>
        <v>126</v>
      </c>
      <c r="I115" s="183">
        <f>'A.1.0_TablaAntigüedad_Sub'!W115</f>
        <v>446.8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8"/>
        <v>6702</v>
      </c>
      <c r="O115" s="183">
        <f>'A.0_Tablas salariales SC'!$K$14</f>
        <v>23036.149999999994</v>
      </c>
      <c r="P115" s="183">
        <f>(O115+N115)*G115+'A.0_Tablas salariales SC'!$R$28*(100%-'A.1_Tabla Costes Subrog_2026'!G115)</f>
        <v>2019.35</v>
      </c>
      <c r="Q115" s="184">
        <f>IF(D115=100,'A.0_Tablas salariales SC'!$C$215,IF(D115=150,'A.0_Tablas salariales SC'!$C$216,IF(D115=189,'A.0_Tablas salariales SC'!$C$217,IF(D115=400,'A.0_Tablas salariales SC'!$C$218,IF(D115=450,'A.0_Tablas salariales SC'!$C$219,IF(D115=401,'A.0_Tablas salariales SC'!$C$220,IF(D115=451,'A.0_Tablas salariales SC'!$C$221,'A.0_Tablas salariales SC'!$C$215)))))))</f>
        <v>0.34250000000000003</v>
      </c>
      <c r="R115" s="183">
        <f t="shared" si="1"/>
        <v>691.62737500000003</v>
      </c>
      <c r="S115" s="183">
        <f t="shared" ref="S115:S176" si="11">(R115+P115)*A115</f>
        <v>0</v>
      </c>
      <c r="T115" s="179"/>
    </row>
    <row r="116" spans="1:20">
      <c r="A116" s="508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2">
        <f>'A.1. Plantilla_Subrogacion'!F116</f>
        <v>0</v>
      </c>
      <c r="H116" s="181">
        <f>'A.1.0_TablaAntigüedad_Sub'!I116</f>
        <v>126</v>
      </c>
      <c r="I116" s="183">
        <f>'A.1.0_TablaAntigüedad_Sub'!W116</f>
        <v>446.8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8"/>
        <v>6702</v>
      </c>
      <c r="O116" s="183">
        <f>'A.0_Tablas salariales SC'!$K$14</f>
        <v>23036.149999999994</v>
      </c>
      <c r="P116" s="183">
        <f>(O116+N116)*G116+'A.0_Tablas salariales SC'!$R$28*(100%-'A.1_Tabla Costes Subrog_2026'!G116)</f>
        <v>2019.35</v>
      </c>
      <c r="Q116" s="184">
        <f>IF(D116=100,'A.0_Tablas salariales SC'!$C$215,IF(D116=150,'A.0_Tablas salariales SC'!$C$216,IF(D116=189,'A.0_Tablas salariales SC'!$C$217,IF(D116=400,'A.0_Tablas salariales SC'!$C$218,IF(D116=450,'A.0_Tablas salariales SC'!$C$219,IF(D116=401,'A.0_Tablas salariales SC'!$C$220,IF(D116=451,'A.0_Tablas salariales SC'!$C$221,'A.0_Tablas salariales SC'!$C$215)))))))</f>
        <v>0.34250000000000003</v>
      </c>
      <c r="R116" s="183">
        <f t="shared" ref="R116:R176" si="12">Q116*P116</f>
        <v>691.62737500000003</v>
      </c>
      <c r="S116" s="183">
        <f t="shared" si="11"/>
        <v>0</v>
      </c>
      <c r="T116" s="179"/>
    </row>
    <row r="117" spans="1:20">
      <c r="A117" s="508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2">
        <f>'A.1. Plantilla_Subrogacion'!F117</f>
        <v>0</v>
      </c>
      <c r="H117" s="181">
        <f>'A.1.0_TablaAntigüedad_Sub'!I117</f>
        <v>126</v>
      </c>
      <c r="I117" s="183">
        <f>'A.1.0_TablaAntigüedad_Sub'!W117</f>
        <v>446.8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8"/>
        <v>6702</v>
      </c>
      <c r="O117" s="183">
        <f>'A.0_Tablas salariales SC'!$K$14</f>
        <v>23036.149999999994</v>
      </c>
      <c r="P117" s="183">
        <f>(O117+N117)*G117+'A.0_Tablas salariales SC'!$R$28*(100%-'A.1_Tabla Costes Subrog_2026'!G117)</f>
        <v>2019.35</v>
      </c>
      <c r="Q117" s="184">
        <f>IF(D117=100,'A.0_Tablas salariales SC'!$C$215,IF(D117=150,'A.0_Tablas salariales SC'!$C$216,IF(D117=189,'A.0_Tablas salariales SC'!$C$217,IF(D117=400,'A.0_Tablas salariales SC'!$C$218,IF(D117=450,'A.0_Tablas salariales SC'!$C$219,IF(D117=401,'A.0_Tablas salariales SC'!$C$220,IF(D117=451,'A.0_Tablas salariales SC'!$C$221,'A.0_Tablas salariales SC'!$C$215)))))))</f>
        <v>0.34250000000000003</v>
      </c>
      <c r="R117" s="183">
        <f t="shared" si="12"/>
        <v>691.62737500000003</v>
      </c>
      <c r="S117" s="183">
        <f t="shared" si="11"/>
        <v>0</v>
      </c>
      <c r="T117" s="179"/>
    </row>
    <row r="118" spans="1:20">
      <c r="A118" s="508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2">
        <f>'A.1. Plantilla_Subrogacion'!F118</f>
        <v>0</v>
      </c>
      <c r="H118" s="181">
        <f>'A.1.0_TablaAntigüedad_Sub'!I118</f>
        <v>126</v>
      </c>
      <c r="I118" s="183">
        <f>'A.1.0_TablaAntigüedad_Sub'!W118</f>
        <v>446.8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8"/>
        <v>6702</v>
      </c>
      <c r="O118" s="183">
        <f>'A.0_Tablas salariales SC'!$K$14</f>
        <v>23036.149999999994</v>
      </c>
      <c r="P118" s="183">
        <f>(O118+N118)*G118+'A.0_Tablas salariales SC'!$R$28*(100%-'A.1_Tabla Costes Subrog_2026'!G118)</f>
        <v>2019.35</v>
      </c>
      <c r="Q118" s="184">
        <f>IF(D118=100,'A.0_Tablas salariales SC'!$C$215,IF(D118=150,'A.0_Tablas salariales SC'!$C$216,IF(D118=189,'A.0_Tablas salariales SC'!$C$217,IF(D118=400,'A.0_Tablas salariales SC'!$C$218,IF(D118=450,'A.0_Tablas salariales SC'!$C$219,IF(D118=401,'A.0_Tablas salariales SC'!$C$220,IF(D118=451,'A.0_Tablas salariales SC'!$C$221,'A.0_Tablas salariales SC'!$C$215)))))))</f>
        <v>0.34250000000000003</v>
      </c>
      <c r="R118" s="183">
        <f t="shared" si="12"/>
        <v>691.62737500000003</v>
      </c>
      <c r="S118" s="183">
        <f t="shared" si="11"/>
        <v>0</v>
      </c>
      <c r="T118" s="179"/>
    </row>
    <row r="119" spans="1:20">
      <c r="A119" s="508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2">
        <f>'A.1. Plantilla_Subrogacion'!F119</f>
        <v>0</v>
      </c>
      <c r="H119" s="181">
        <f>'A.1.0_TablaAntigüedad_Sub'!I119</f>
        <v>126</v>
      </c>
      <c r="I119" s="183">
        <f>'A.1.0_TablaAntigüedad_Sub'!W119</f>
        <v>446.8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8"/>
        <v>6702</v>
      </c>
      <c r="O119" s="183">
        <f>'A.0_Tablas salariales SC'!$K$14</f>
        <v>23036.149999999994</v>
      </c>
      <c r="P119" s="183">
        <f>(O119+N119)*G119+'A.0_Tablas salariales SC'!$R$28*(100%-'A.1_Tabla Costes Subrog_2026'!G119)</f>
        <v>2019.35</v>
      </c>
      <c r="Q119" s="184">
        <f>IF(D119=100,'A.0_Tablas salariales SC'!$C$215,IF(D119=150,'A.0_Tablas salariales SC'!$C$216,IF(D119=189,'A.0_Tablas salariales SC'!$C$217,IF(D119=400,'A.0_Tablas salariales SC'!$C$218,IF(D119=450,'A.0_Tablas salariales SC'!$C$219,IF(D119=401,'A.0_Tablas salariales SC'!$C$220,IF(D119=451,'A.0_Tablas salariales SC'!$C$221,'A.0_Tablas salariales SC'!$C$215)))))))</f>
        <v>0.34250000000000003</v>
      </c>
      <c r="R119" s="183">
        <f t="shared" si="12"/>
        <v>691.62737500000003</v>
      </c>
      <c r="S119" s="183">
        <f t="shared" si="11"/>
        <v>0</v>
      </c>
      <c r="T119" s="179"/>
    </row>
    <row r="120" spans="1:20">
      <c r="A120" s="508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2">
        <f>'A.1. Plantilla_Subrogacion'!F120</f>
        <v>0</v>
      </c>
      <c r="H120" s="181">
        <f>'A.1.0_TablaAntigüedad_Sub'!I120</f>
        <v>126</v>
      </c>
      <c r="I120" s="183">
        <f>'A.1.0_TablaAntigüedad_Sub'!W120</f>
        <v>446.8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8"/>
        <v>6702</v>
      </c>
      <c r="O120" s="183">
        <f>'A.0_Tablas salariales SC'!$K$14</f>
        <v>23036.149999999994</v>
      </c>
      <c r="P120" s="183">
        <f>(O120+N120)*G120+'A.0_Tablas salariales SC'!$R$28*(100%-'A.1_Tabla Costes Subrog_2026'!G120)</f>
        <v>2019.35</v>
      </c>
      <c r="Q120" s="184">
        <f>IF(D120=100,'A.0_Tablas salariales SC'!$C$215,IF(D120=150,'A.0_Tablas salariales SC'!$C$216,IF(D120=189,'A.0_Tablas salariales SC'!$C$217,IF(D120=400,'A.0_Tablas salariales SC'!$C$218,IF(D120=450,'A.0_Tablas salariales SC'!$C$219,IF(D120=401,'A.0_Tablas salariales SC'!$C$220,IF(D120=451,'A.0_Tablas salariales SC'!$C$221,'A.0_Tablas salariales SC'!$C$215)))))))</f>
        <v>0.34250000000000003</v>
      </c>
      <c r="R120" s="183">
        <f t="shared" si="12"/>
        <v>691.62737500000003</v>
      </c>
      <c r="S120" s="183">
        <f t="shared" si="11"/>
        <v>0</v>
      </c>
      <c r="T120" s="179"/>
    </row>
    <row r="121" spans="1:20">
      <c r="A121" s="508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2">
        <f>'A.1. Plantilla_Subrogacion'!F121</f>
        <v>0</v>
      </c>
      <c r="H121" s="181">
        <f>'A.1.0_TablaAntigüedad_Sub'!I121</f>
        <v>126</v>
      </c>
      <c r="I121" s="183">
        <f>'A.1.0_TablaAntigüedad_Sub'!W121</f>
        <v>446.8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8"/>
        <v>6702</v>
      </c>
      <c r="O121" s="183">
        <f>'A.0_Tablas salariales SC'!$K$14</f>
        <v>23036.149999999994</v>
      </c>
      <c r="P121" s="183">
        <f>(O121+N121)*G121+'A.0_Tablas salariales SC'!$R$28*(100%-'A.1_Tabla Costes Subrog_2026'!G121)</f>
        <v>2019.35</v>
      </c>
      <c r="Q121" s="184">
        <f>IF(D121=100,'A.0_Tablas salariales SC'!$C$215,IF(D121=150,'A.0_Tablas salariales SC'!$C$216,IF(D121=189,'A.0_Tablas salariales SC'!$C$217,IF(D121=400,'A.0_Tablas salariales SC'!$C$218,IF(D121=450,'A.0_Tablas salariales SC'!$C$219,IF(D121=401,'A.0_Tablas salariales SC'!$C$220,IF(D121=451,'A.0_Tablas salariales SC'!$C$221,'A.0_Tablas salariales SC'!$C$215)))))))</f>
        <v>0.34250000000000003</v>
      </c>
      <c r="R121" s="183">
        <f t="shared" si="12"/>
        <v>691.62737500000003</v>
      </c>
      <c r="S121" s="183">
        <f t="shared" si="11"/>
        <v>0</v>
      </c>
      <c r="T121" s="179"/>
    </row>
    <row r="122" spans="1:20">
      <c r="A122" s="508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2">
        <f>'A.1. Plantilla_Subrogacion'!F122</f>
        <v>0</v>
      </c>
      <c r="H122" s="181">
        <f>'A.1.0_TablaAntigüedad_Sub'!I122</f>
        <v>126</v>
      </c>
      <c r="I122" s="183">
        <f>'A.1.0_TablaAntigüedad_Sub'!W122</f>
        <v>446.8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8"/>
        <v>6702</v>
      </c>
      <c r="O122" s="183">
        <f>'A.0_Tablas salariales SC'!$K$14</f>
        <v>23036.149999999994</v>
      </c>
      <c r="P122" s="183">
        <f>(O122+N122)*G122+'A.0_Tablas salariales SC'!$R$28*(100%-'A.1_Tabla Costes Subrog_2026'!G122)</f>
        <v>2019.35</v>
      </c>
      <c r="Q122" s="184">
        <f>IF(D122=100,'A.0_Tablas salariales SC'!$C$215,IF(D122=150,'A.0_Tablas salariales SC'!$C$216,IF(D122=189,'A.0_Tablas salariales SC'!$C$217,IF(D122=400,'A.0_Tablas salariales SC'!$C$218,IF(D122=450,'A.0_Tablas salariales SC'!$C$219,IF(D122=401,'A.0_Tablas salariales SC'!$C$220,IF(D122=451,'A.0_Tablas salariales SC'!$C$221,'A.0_Tablas salariales SC'!$C$215)))))))</f>
        <v>0.34250000000000003</v>
      </c>
      <c r="R122" s="183">
        <f t="shared" si="12"/>
        <v>691.62737500000003</v>
      </c>
      <c r="S122" s="183">
        <f t="shared" si="11"/>
        <v>0</v>
      </c>
      <c r="T122" s="179"/>
    </row>
    <row r="123" spans="1:20">
      <c r="A123" s="508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2">
        <f>'A.1. Plantilla_Subrogacion'!F123</f>
        <v>0</v>
      </c>
      <c r="H123" s="181">
        <f>'A.1.0_TablaAntigüedad_Sub'!I123</f>
        <v>126</v>
      </c>
      <c r="I123" s="183">
        <f>'A.1.0_TablaAntigüedad_Sub'!W123</f>
        <v>446.8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8"/>
        <v>6702</v>
      </c>
      <c r="O123" s="183">
        <f>'A.0_Tablas salariales SC'!$K$14</f>
        <v>23036.149999999994</v>
      </c>
      <c r="P123" s="183">
        <f>(O123+N123)*G123+'A.0_Tablas salariales SC'!$R$28*(100%-'A.1_Tabla Costes Subrog_2026'!G123)</f>
        <v>2019.35</v>
      </c>
      <c r="Q123" s="184">
        <f>IF(D123=100,'A.0_Tablas salariales SC'!$C$215,IF(D123=150,'A.0_Tablas salariales SC'!$C$216,IF(D123=189,'A.0_Tablas salariales SC'!$C$217,IF(D123=400,'A.0_Tablas salariales SC'!$C$218,IF(D123=450,'A.0_Tablas salariales SC'!$C$219,IF(D123=401,'A.0_Tablas salariales SC'!$C$220,IF(D123=451,'A.0_Tablas salariales SC'!$C$221,'A.0_Tablas salariales SC'!$C$215)))))))</f>
        <v>0.34250000000000003</v>
      </c>
      <c r="R123" s="183">
        <f t="shared" ref="R123:R137" si="13">Q123*P123</f>
        <v>691.62737500000003</v>
      </c>
      <c r="S123" s="183">
        <f t="shared" ref="S123:S137" si="14">(R123+P123)*A123</f>
        <v>0</v>
      </c>
      <c r="T123" s="179"/>
    </row>
    <row r="124" spans="1:20">
      <c r="A124" s="508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2">
        <f>'A.1. Plantilla_Subrogacion'!F124</f>
        <v>0</v>
      </c>
      <c r="H124" s="181">
        <f>'A.1.0_TablaAntigüedad_Sub'!I124</f>
        <v>126</v>
      </c>
      <c r="I124" s="183">
        <f>'A.1.0_TablaAntigüedad_Sub'!W124</f>
        <v>446.8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8"/>
        <v>6702</v>
      </c>
      <c r="O124" s="183">
        <f>'A.0_Tablas salariales SC'!$K$14</f>
        <v>23036.149999999994</v>
      </c>
      <c r="P124" s="183">
        <f>(O124+N124)*G124+'A.0_Tablas salariales SC'!$R$28*(100%-'A.1_Tabla Costes Subrog_2026'!G124)</f>
        <v>2019.35</v>
      </c>
      <c r="Q124" s="184">
        <f>IF(D124=100,'A.0_Tablas salariales SC'!$C$215,IF(D124=150,'A.0_Tablas salariales SC'!$C$216,IF(D124=189,'A.0_Tablas salariales SC'!$C$217,IF(D124=400,'A.0_Tablas salariales SC'!$C$218,IF(D124=450,'A.0_Tablas salariales SC'!$C$219,IF(D124=401,'A.0_Tablas salariales SC'!$C$220,IF(D124=451,'A.0_Tablas salariales SC'!$C$221,'A.0_Tablas salariales SC'!$C$215)))))))</f>
        <v>0.34250000000000003</v>
      </c>
      <c r="R124" s="183">
        <f t="shared" si="13"/>
        <v>691.62737500000003</v>
      </c>
      <c r="S124" s="183">
        <f t="shared" si="14"/>
        <v>0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'A.1.0_TablaAntigüedad_Sub'!I125</f>
        <v>126</v>
      </c>
      <c r="I125" s="183">
        <f>'A.1.0_TablaAntigüedad_Sub'!W125</f>
        <v>446.8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8"/>
        <v>6702</v>
      </c>
      <c r="O125" s="183">
        <f>'A.0_Tablas salariales SC'!$K$14</f>
        <v>23036.149999999994</v>
      </c>
      <c r="P125" s="183">
        <f>(O125+N125)*G125+'A.0_Tablas salariales SC'!$R$28*(100%-'A.1_Tabla Costes Subrog_2026'!G125)</f>
        <v>2019.35</v>
      </c>
      <c r="Q125" s="184">
        <f>IF(D125=100,'A.0_Tablas salariales SC'!$C$215,IF(D125=150,'A.0_Tablas salariales SC'!$C$216,IF(D125=189,'A.0_Tablas salariales SC'!$C$217,IF(D125=400,'A.0_Tablas salariales SC'!$C$218,IF(D125=450,'A.0_Tablas salariales SC'!$C$219,IF(D125=401,'A.0_Tablas salariales SC'!$C$220,IF(D125=451,'A.0_Tablas salariales SC'!$C$221,'A.0_Tablas salariales SC'!$C$215)))))))</f>
        <v>0.34250000000000003</v>
      </c>
      <c r="R125" s="183">
        <f t="shared" si="13"/>
        <v>691.62737500000003</v>
      </c>
      <c r="S125" s="183">
        <f t="shared" si="14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'A.1.0_TablaAntigüedad_Sub'!I126</f>
        <v>126</v>
      </c>
      <c r="I126" s="183">
        <f>'A.1.0_TablaAntigüedad_Sub'!W126</f>
        <v>446.8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8"/>
        <v>6702</v>
      </c>
      <c r="O126" s="183">
        <f>'A.0_Tablas salariales SC'!$K$14</f>
        <v>23036.149999999994</v>
      </c>
      <c r="P126" s="183">
        <f>(O126+N126)*G126+'A.0_Tablas salariales SC'!$R$28*(100%-'A.1_Tabla Costes Subrog_2026'!G126)</f>
        <v>2019.35</v>
      </c>
      <c r="Q126" s="184">
        <f>IF(D126=100,'A.0_Tablas salariales SC'!$C$215,IF(D126=150,'A.0_Tablas salariales SC'!$C$216,IF(D126=189,'A.0_Tablas salariales SC'!$C$217,IF(D126=400,'A.0_Tablas salariales SC'!$C$218,IF(D126=450,'A.0_Tablas salariales SC'!$C$219,IF(D126=401,'A.0_Tablas salariales SC'!$C$220,IF(D126=451,'A.0_Tablas salariales SC'!$C$221,'A.0_Tablas salariales SC'!$C$215)))))))</f>
        <v>0.34250000000000003</v>
      </c>
      <c r="R126" s="183">
        <f t="shared" si="13"/>
        <v>691.62737500000003</v>
      </c>
      <c r="S126" s="183">
        <f t="shared" si="14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'A.1.0_TablaAntigüedad_Sub'!I127</f>
        <v>126</v>
      </c>
      <c r="I127" s="183">
        <f>'A.1.0_TablaAntigüedad_Sub'!W127</f>
        <v>446.8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8"/>
        <v>6702</v>
      </c>
      <c r="O127" s="183">
        <f>'A.0_Tablas salariales SC'!$K$14</f>
        <v>23036.149999999994</v>
      </c>
      <c r="P127" s="183">
        <f>(O127+N127)*G127+'A.0_Tablas salariales SC'!$R$28*(100%-'A.1_Tabla Costes Subrog_2026'!G127)</f>
        <v>2019.35</v>
      </c>
      <c r="Q127" s="184">
        <f>IF(D127=100,'A.0_Tablas salariales SC'!$C$215,IF(D127=150,'A.0_Tablas salariales SC'!$C$216,IF(D127=189,'A.0_Tablas salariales SC'!$C$217,IF(D127=400,'A.0_Tablas salariales SC'!$C$218,IF(D127=450,'A.0_Tablas salariales SC'!$C$219,IF(D127=401,'A.0_Tablas salariales SC'!$C$220,IF(D127=451,'A.0_Tablas salariales SC'!$C$221,'A.0_Tablas salariales SC'!$C$215)))))))</f>
        <v>0.34250000000000003</v>
      </c>
      <c r="R127" s="183">
        <f t="shared" si="13"/>
        <v>691.62737500000003</v>
      </c>
      <c r="S127" s="183">
        <f t="shared" si="14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'A.1.0_TablaAntigüedad_Sub'!I128</f>
        <v>126</v>
      </c>
      <c r="I128" s="183">
        <f>'A.1.0_TablaAntigüedad_Sub'!W128</f>
        <v>446.8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8"/>
        <v>6702</v>
      </c>
      <c r="O128" s="183">
        <f>'A.0_Tablas salariales SC'!$K$14</f>
        <v>23036.149999999994</v>
      </c>
      <c r="P128" s="183">
        <f>(O128+N128)*G128+'A.0_Tablas salariales SC'!$R$28*(100%-'A.1_Tabla Costes Subrog_2026'!G128)</f>
        <v>2019.35</v>
      </c>
      <c r="Q128" s="184">
        <f>IF(D128=100,'A.0_Tablas salariales SC'!$C$215,IF(D128=150,'A.0_Tablas salariales SC'!$C$216,IF(D128=189,'A.0_Tablas salariales SC'!$C$217,IF(D128=400,'A.0_Tablas salariales SC'!$C$218,IF(D128=450,'A.0_Tablas salariales SC'!$C$219,IF(D128=401,'A.0_Tablas salariales SC'!$C$220,IF(D128=451,'A.0_Tablas salariales SC'!$C$221,'A.0_Tablas salariales SC'!$C$215)))))))</f>
        <v>0.34250000000000003</v>
      </c>
      <c r="R128" s="183">
        <f t="shared" si="13"/>
        <v>691.62737500000003</v>
      </c>
      <c r="S128" s="183">
        <f t="shared" si="14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'A.1.0_TablaAntigüedad_Sub'!I129</f>
        <v>126</v>
      </c>
      <c r="I129" s="183">
        <f>'A.1.0_TablaAntigüedad_Sub'!W129</f>
        <v>446.8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8"/>
        <v>6702</v>
      </c>
      <c r="O129" s="183">
        <f>'A.0_Tablas salariales SC'!$K$14</f>
        <v>23036.149999999994</v>
      </c>
      <c r="P129" s="183">
        <f>(O129+N129)*G129+'A.0_Tablas salariales SC'!$R$28*(100%-'A.1_Tabla Costes Subrog_2026'!G129)</f>
        <v>2019.35</v>
      </c>
      <c r="Q129" s="184">
        <f>IF(D129=100,'A.0_Tablas salariales SC'!$C$215,IF(D129=150,'A.0_Tablas salariales SC'!$C$216,IF(D129=189,'A.0_Tablas salariales SC'!$C$217,IF(D129=400,'A.0_Tablas salariales SC'!$C$218,IF(D129=450,'A.0_Tablas salariales SC'!$C$219,IF(D129=401,'A.0_Tablas salariales SC'!$C$220,IF(D129=451,'A.0_Tablas salariales SC'!$C$221,'A.0_Tablas salariales SC'!$C$215)))))))</f>
        <v>0.34250000000000003</v>
      </c>
      <c r="R129" s="183">
        <f t="shared" si="13"/>
        <v>691.62737500000003</v>
      </c>
      <c r="S129" s="183">
        <f t="shared" si="14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'A.1.0_TablaAntigüedad_Sub'!I130</f>
        <v>126</v>
      </c>
      <c r="I130" s="183">
        <f>'A.1.0_TablaAntigüedad_Sub'!W130</f>
        <v>446.8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8"/>
        <v>6702</v>
      </c>
      <c r="O130" s="183">
        <f>'A.0_Tablas salariales SC'!$K$14</f>
        <v>23036.149999999994</v>
      </c>
      <c r="P130" s="183">
        <f>(O130+N130)*G130+'A.0_Tablas salariales SC'!$R$28*(100%-'A.1_Tabla Costes Subrog_2026'!G130)</f>
        <v>2019.35</v>
      </c>
      <c r="Q130" s="184">
        <f>IF(D130=100,'A.0_Tablas salariales SC'!$C$215,IF(D130=150,'A.0_Tablas salariales SC'!$C$216,IF(D130=189,'A.0_Tablas salariales SC'!$C$217,IF(D130=400,'A.0_Tablas salariales SC'!$C$218,IF(D130=450,'A.0_Tablas salariales SC'!$C$219,IF(D130=401,'A.0_Tablas salariales SC'!$C$220,IF(D130=451,'A.0_Tablas salariales SC'!$C$221,'A.0_Tablas salariales SC'!$C$215)))))))</f>
        <v>0.34250000000000003</v>
      </c>
      <c r="R130" s="183">
        <f t="shared" si="13"/>
        <v>691.62737500000003</v>
      </c>
      <c r="S130" s="183">
        <f t="shared" si="14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'A.1.0_TablaAntigüedad_Sub'!I131</f>
        <v>126</v>
      </c>
      <c r="I131" s="183">
        <f>'A.1.0_TablaAntigüedad_Sub'!W131</f>
        <v>446.8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8"/>
        <v>6702</v>
      </c>
      <c r="O131" s="183">
        <f>'A.0_Tablas salariales SC'!$K$14</f>
        <v>23036.149999999994</v>
      </c>
      <c r="P131" s="183">
        <f>(O131+N131)*G131+'A.0_Tablas salariales SC'!$R$28*(100%-'A.1_Tabla Costes Subrog_2026'!G131)</f>
        <v>2019.35</v>
      </c>
      <c r="Q131" s="184">
        <f>IF(D131=100,'A.0_Tablas salariales SC'!$C$215,IF(D131=150,'A.0_Tablas salariales SC'!$C$216,IF(D131=189,'A.0_Tablas salariales SC'!$C$217,IF(D131=400,'A.0_Tablas salariales SC'!$C$218,IF(D131=450,'A.0_Tablas salariales SC'!$C$219,IF(D131=401,'A.0_Tablas salariales SC'!$C$220,IF(D131=451,'A.0_Tablas salariales SC'!$C$221,'A.0_Tablas salariales SC'!$C$215)))))))</f>
        <v>0.34250000000000003</v>
      </c>
      <c r="R131" s="183">
        <f t="shared" si="13"/>
        <v>691.62737500000003</v>
      </c>
      <c r="S131" s="183">
        <f t="shared" si="14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'A.1.0_TablaAntigüedad_Sub'!I132</f>
        <v>126</v>
      </c>
      <c r="I132" s="183">
        <f>'A.1.0_TablaAntigüedad_Sub'!W132</f>
        <v>446.8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8"/>
        <v>6702</v>
      </c>
      <c r="O132" s="183">
        <f>'A.0_Tablas salariales SC'!$K$14</f>
        <v>23036.149999999994</v>
      </c>
      <c r="P132" s="183">
        <f>(O132+N132)*G132+'A.0_Tablas salariales SC'!$R$28*(100%-'A.1_Tabla Costes Subrog_2026'!G132)</f>
        <v>2019.35</v>
      </c>
      <c r="Q132" s="184">
        <f>IF(D132=100,'A.0_Tablas salariales SC'!$C$215,IF(D132=150,'A.0_Tablas salariales SC'!$C$216,IF(D132=189,'A.0_Tablas salariales SC'!$C$217,IF(D132=400,'A.0_Tablas salariales SC'!$C$218,IF(D132=450,'A.0_Tablas salariales SC'!$C$219,IF(D132=401,'A.0_Tablas salariales SC'!$C$220,IF(D132=451,'A.0_Tablas salariales SC'!$C$221,'A.0_Tablas salariales SC'!$C$215)))))))</f>
        <v>0.34250000000000003</v>
      </c>
      <c r="R132" s="183">
        <f t="shared" si="13"/>
        <v>691.62737500000003</v>
      </c>
      <c r="S132" s="183">
        <f t="shared" si="14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'A.1.0_TablaAntigüedad_Sub'!I133</f>
        <v>126</v>
      </c>
      <c r="I133" s="183">
        <f>'A.1.0_TablaAntigüedad_Sub'!W133</f>
        <v>446.8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8"/>
        <v>6702</v>
      </c>
      <c r="O133" s="183">
        <f>'A.0_Tablas salariales SC'!$K$14</f>
        <v>23036.149999999994</v>
      </c>
      <c r="P133" s="183">
        <f>(O133+N133)*G133+'A.0_Tablas salariales SC'!$R$28*(100%-'A.1_Tabla Costes Subrog_2026'!G133)</f>
        <v>2019.35</v>
      </c>
      <c r="Q133" s="184">
        <f>IF(D133=100,'A.0_Tablas salariales SC'!$C$215,IF(D133=150,'A.0_Tablas salariales SC'!$C$216,IF(D133=189,'A.0_Tablas salariales SC'!$C$217,IF(D133=400,'A.0_Tablas salariales SC'!$C$218,IF(D133=450,'A.0_Tablas salariales SC'!$C$219,IF(D133=401,'A.0_Tablas salariales SC'!$C$220,IF(D133=451,'A.0_Tablas salariales SC'!$C$221,'A.0_Tablas salariales SC'!$C$215)))))))</f>
        <v>0.34250000000000003</v>
      </c>
      <c r="R133" s="183">
        <f t="shared" si="13"/>
        <v>691.62737500000003</v>
      </c>
      <c r="S133" s="183">
        <f t="shared" si="14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'A.1.0_TablaAntigüedad_Sub'!I134</f>
        <v>126</v>
      </c>
      <c r="I134" s="183">
        <f>'A.1.0_TablaAntigüedad_Sub'!W134</f>
        <v>446.8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si="8"/>
        <v>6702</v>
      </c>
      <c r="O134" s="183">
        <f>'A.0_Tablas salariales SC'!$K$14</f>
        <v>23036.149999999994</v>
      </c>
      <c r="P134" s="183">
        <f>(O134+N134)*G134+'A.0_Tablas salariales SC'!$R$28*(100%-'A.1_Tabla Costes Subrog_2026'!G134)</f>
        <v>2019.35</v>
      </c>
      <c r="Q134" s="184">
        <f>IF(D134=100,'A.0_Tablas salariales SC'!$C$215,IF(D134=150,'A.0_Tablas salariales SC'!$C$216,IF(D134=189,'A.0_Tablas salariales SC'!$C$217,IF(D134=400,'A.0_Tablas salariales SC'!$C$218,IF(D134=450,'A.0_Tablas salariales SC'!$C$219,IF(D134=401,'A.0_Tablas salariales SC'!$C$220,IF(D134=451,'A.0_Tablas salariales SC'!$C$221,'A.0_Tablas salariales SC'!$C$215)))))))</f>
        <v>0.34250000000000003</v>
      </c>
      <c r="R134" s="183">
        <f t="shared" si="13"/>
        <v>691.62737500000003</v>
      </c>
      <c r="S134" s="183">
        <f t="shared" si="14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'A.1.0_TablaAntigüedad_Sub'!I135</f>
        <v>126</v>
      </c>
      <c r="I135" s="183">
        <f>'A.1.0_TablaAntigüedad_Sub'!W135</f>
        <v>446.8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8"/>
        <v>6702</v>
      </c>
      <c r="O135" s="183">
        <f>'A.0_Tablas salariales SC'!$K$14</f>
        <v>23036.149999999994</v>
      </c>
      <c r="P135" s="183">
        <f>(O135+N135)*G135+'A.0_Tablas salariales SC'!$R$28*(100%-'A.1_Tabla Costes Subrog_2026'!G135)</f>
        <v>2019.35</v>
      </c>
      <c r="Q135" s="184">
        <f>IF(D135=100,'A.0_Tablas salariales SC'!$C$215,IF(D135=150,'A.0_Tablas salariales SC'!$C$216,IF(D135=189,'A.0_Tablas salariales SC'!$C$217,IF(D135=400,'A.0_Tablas salariales SC'!$C$218,IF(D135=450,'A.0_Tablas salariales SC'!$C$219,IF(D135=401,'A.0_Tablas salariales SC'!$C$220,IF(D135=451,'A.0_Tablas salariales SC'!$C$221,'A.0_Tablas salariales SC'!$C$215)))))))</f>
        <v>0.34250000000000003</v>
      </c>
      <c r="R135" s="183">
        <f t="shared" si="13"/>
        <v>691.62737500000003</v>
      </c>
      <c r="S135" s="183">
        <f t="shared" si="14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'A.1.0_TablaAntigüedad_Sub'!I136</f>
        <v>126</v>
      </c>
      <c r="I136" s="183">
        <f>'A.1.0_TablaAntigüedad_Sub'!W136</f>
        <v>446.8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8"/>
        <v>6702</v>
      </c>
      <c r="O136" s="183">
        <f>'A.0_Tablas salariales SC'!$K$14</f>
        <v>23036.149999999994</v>
      </c>
      <c r="P136" s="183">
        <f>(O136+N136)*G136+'A.0_Tablas salariales SC'!$R$28*(100%-'A.1_Tabla Costes Subrog_2026'!G136)</f>
        <v>2019.35</v>
      </c>
      <c r="Q136" s="184">
        <f>IF(D136=100,'A.0_Tablas salariales SC'!$C$215,IF(D136=150,'A.0_Tablas salariales SC'!$C$216,IF(D136=189,'A.0_Tablas salariales SC'!$C$217,IF(D136=400,'A.0_Tablas salariales SC'!$C$218,IF(D136=450,'A.0_Tablas salariales SC'!$C$219,IF(D136=401,'A.0_Tablas salariales SC'!$C$220,IF(D136=451,'A.0_Tablas salariales SC'!$C$221,'A.0_Tablas salariales SC'!$C$215)))))))</f>
        <v>0.34250000000000003</v>
      </c>
      <c r="R136" s="183">
        <f t="shared" si="13"/>
        <v>691.62737500000003</v>
      </c>
      <c r="S136" s="183">
        <f t="shared" si="14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'A.1.0_TablaAntigüedad_Sub'!I137</f>
        <v>126</v>
      </c>
      <c r="I137" s="183">
        <f>'A.1.0_TablaAntigüedad_Sub'!W137</f>
        <v>446.8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8"/>
        <v>6702</v>
      </c>
      <c r="O137" s="183">
        <f>'A.0_Tablas salariales SC'!$K$14</f>
        <v>23036.149999999994</v>
      </c>
      <c r="P137" s="183">
        <f>(O137+N137)*G137+'A.0_Tablas salariales SC'!$R$28*(100%-'A.1_Tabla Costes Subrog_2026'!G137)</f>
        <v>2019.35</v>
      </c>
      <c r="Q137" s="184">
        <f>IF(D137=100,'A.0_Tablas salariales SC'!$C$215,IF(D137=150,'A.0_Tablas salariales SC'!$C$216,IF(D137=189,'A.0_Tablas salariales SC'!$C$217,IF(D137=400,'A.0_Tablas salariales SC'!$C$218,IF(D137=450,'A.0_Tablas salariales SC'!$C$219,IF(D137=401,'A.0_Tablas salariales SC'!$C$220,IF(D137=451,'A.0_Tablas salariales SC'!$C$221,'A.0_Tablas salariales SC'!$C$215)))))))</f>
        <v>0.34250000000000003</v>
      </c>
      <c r="R137" s="183">
        <f t="shared" si="13"/>
        <v>691.62737500000003</v>
      </c>
      <c r="S137" s="183">
        <f t="shared" si="14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'A.1.0_TablaAntigüedad_Sub'!I138</f>
        <v>126</v>
      </c>
      <c r="I138" s="183">
        <f>'A.1.0_TablaAntigüedad_Sub'!W138</f>
        <v>446.8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8"/>
        <v>6702</v>
      </c>
      <c r="O138" s="183">
        <f>'A.0_Tablas salariales SC'!$K$14</f>
        <v>23036.149999999994</v>
      </c>
      <c r="P138" s="183">
        <f>(O138+N138)*G138+'A.0_Tablas salariales SC'!$R$28*(100%-'A.1_Tabla Costes Subrog_2026'!G138)</f>
        <v>2019.35</v>
      </c>
      <c r="Q138" s="184">
        <f>IF(D138=100,'A.0_Tablas salariales SC'!$C$215,IF(D138=150,'A.0_Tablas salariales SC'!$C$216,IF(D138=189,'A.0_Tablas salariales SC'!$C$217,IF(D138=400,'A.0_Tablas salariales SC'!$C$218,IF(D138=450,'A.0_Tablas salariales SC'!$C$219,IF(D138=401,'A.0_Tablas salariales SC'!$C$220,IF(D138=451,'A.0_Tablas salariales SC'!$C$221,'A.0_Tablas salariales SC'!$C$215)))))))</f>
        <v>0.34250000000000003</v>
      </c>
      <c r="R138" s="183">
        <f t="shared" si="12"/>
        <v>691.62737500000003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0</v>
      </c>
    </row>
    <row r="140" spans="1:20">
      <c r="A140" s="508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2">
        <f>'A.1. Plantilla_Subrogacion'!F140</f>
        <v>0</v>
      </c>
      <c r="H140" s="181">
        <f>'A.1.0_TablaAntigüedad_Sub'!I140</f>
        <v>126</v>
      </c>
      <c r="I140" s="183">
        <f>'A.1.0_TablaAntigüedad_Sub'!W140</f>
        <v>446.8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8"/>
        <v>6702</v>
      </c>
      <c r="O140" s="183">
        <f>'A.0_Tablas salariales SC'!$K$14</f>
        <v>23036.149999999994</v>
      </c>
      <c r="P140" s="183">
        <f>(O140+N140)*G140+'A.0_Tablas salariales SC'!$R$28*(100%-'A.1_Tabla Costes Subrog_2026'!G140)</f>
        <v>2019.35</v>
      </c>
      <c r="Q140" s="492">
        <f>IF(D140=100,'A.0_Tablas salariales SC'!$C$227,IF(D140=150,'A.0_Tablas salariales SC'!$C$228,IF(D140=189,'A.0_Tablas salariales SC'!$C$229,IF(D140=400,'A.0_Tablas salariales SC'!$C$230,IF(D140=450,'A.0_Tablas salariales SC'!$C$231,IF(D140=401,'A.0_Tablas salariales SC'!$C$232,IF(D140=451,'A.0_Tablas salariales SC'!$C$233,'A.0_Tablas salariales SC'!$C$227)))))))</f>
        <v>0.3735</v>
      </c>
      <c r="R140" s="183">
        <f t="shared" si="12"/>
        <v>754.22722499999998</v>
      </c>
      <c r="S140" s="183">
        <f t="shared" si="11"/>
        <v>0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'A.1.0_TablaAntigüedad_Sub'!I141</f>
        <v>126</v>
      </c>
      <c r="I141" s="183">
        <f>'A.1.0_TablaAntigüedad_Sub'!W141</f>
        <v>446.8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8"/>
        <v>6702</v>
      </c>
      <c r="O141" s="183">
        <f>'A.0_Tablas salariales SC'!$K$14</f>
        <v>23036.149999999994</v>
      </c>
      <c r="P141" s="183">
        <f>(O141+N141)*G141+'A.0_Tablas salariales SC'!$R$28*(100%-'A.1_Tabla Costes Subrog_2026'!G141)</f>
        <v>2019.35</v>
      </c>
      <c r="Q141" s="492">
        <f>IF(D141=100,'A.0_Tablas salariales SC'!$C$227,IF(D141=150,'A.0_Tablas salariales SC'!$C$228,IF(D141=189,'A.0_Tablas salariales SC'!$C$229,IF(D141=400,'A.0_Tablas salariales SC'!$C$230,IF(D141=450,'A.0_Tablas salariales SC'!$C$231,IF(D141=401,'A.0_Tablas salariales SC'!$C$232,IF(D141=451,'A.0_Tablas salariales SC'!$C$233,'A.0_Tablas salariales SC'!$C$227)))))))</f>
        <v>0.3735</v>
      </c>
      <c r="R141" s="183">
        <f t="shared" si="12"/>
        <v>754.22722499999998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'A.1.0_TablaAntigüedad_Sub'!I142</f>
        <v>126</v>
      </c>
      <c r="I142" s="183">
        <f>'A.1.0_TablaAntigüedad_Sub'!W142</f>
        <v>446.8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ref="N142:N179" si="15">I142*$I$4+J142*$J$4+K142*$K$4+$M$4*M142+L142*$L$4</f>
        <v>6702</v>
      </c>
      <c r="O142" s="183">
        <f>'A.0_Tablas salariales SC'!$K$14</f>
        <v>23036.149999999994</v>
      </c>
      <c r="P142" s="183">
        <f>(O142+N142)*G142+'A.0_Tablas salariales SC'!$R$28*(100%-'A.1_Tabla Costes Subrog_2026'!G142)</f>
        <v>2019.35</v>
      </c>
      <c r="Q142" s="492">
        <f>IF(D142=100,'A.0_Tablas salariales SC'!$C$227,IF(D142=150,'A.0_Tablas salariales SC'!$C$228,IF(D142=189,'A.0_Tablas salariales SC'!$C$229,IF(D142=400,'A.0_Tablas salariales SC'!$C$230,IF(D142=450,'A.0_Tablas salariales SC'!$C$231,IF(D142=401,'A.0_Tablas salariales SC'!$C$232,IF(D142=451,'A.0_Tablas salariales SC'!$C$233,'A.0_Tablas salariales SC'!$C$227)))))))</f>
        <v>0.3735</v>
      </c>
      <c r="R142" s="183">
        <f t="shared" si="12"/>
        <v>754.22722499999998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'A.1.0_TablaAntigüedad_Sub'!I143</f>
        <v>126</v>
      </c>
      <c r="I143" s="183">
        <f>'A.1.0_TablaAntigüedad_Sub'!W143</f>
        <v>446.8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5"/>
        <v>6702</v>
      </c>
      <c r="O143" s="183">
        <f>'A.0_Tablas salariales SC'!$K$14</f>
        <v>23036.149999999994</v>
      </c>
      <c r="P143" s="183">
        <f>(O143+N143)*G143+'A.0_Tablas salariales SC'!$R$28*(100%-'A.1_Tabla Costes Subrog_2026'!G143)</f>
        <v>2019.35</v>
      </c>
      <c r="Q143" s="492">
        <f>IF(D143=100,'A.0_Tablas salariales SC'!$C$227,IF(D143=150,'A.0_Tablas salariales SC'!$C$228,IF(D143=189,'A.0_Tablas salariales SC'!$C$229,IF(D143=400,'A.0_Tablas salariales SC'!$C$230,IF(D143=450,'A.0_Tablas salariales SC'!$C$231,IF(D143=401,'A.0_Tablas salariales SC'!$C$232,IF(D143=451,'A.0_Tablas salariales SC'!$C$233,'A.0_Tablas salariales SC'!$C$227)))))))</f>
        <v>0.3735</v>
      </c>
      <c r="R143" s="183">
        <f t="shared" ref="R143:R150" si="16">Q143*P143</f>
        <v>754.22722499999998</v>
      </c>
      <c r="S143" s="183">
        <f t="shared" ref="S143:S150" si="17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'A.1.0_TablaAntigüedad_Sub'!I144</f>
        <v>126</v>
      </c>
      <c r="I144" s="183">
        <f>'A.1.0_TablaAntigüedad_Sub'!W144</f>
        <v>446.8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5"/>
        <v>6702</v>
      </c>
      <c r="O144" s="183">
        <f>'A.0_Tablas salariales SC'!$K$14</f>
        <v>23036.149999999994</v>
      </c>
      <c r="P144" s="183">
        <f>(O144+N144)*G144+'A.0_Tablas salariales SC'!$R$28*(100%-'A.1_Tabla Costes Subrog_2026'!G144)</f>
        <v>2019.35</v>
      </c>
      <c r="Q144" s="492">
        <f>IF(D144=100,'A.0_Tablas salariales SC'!$C$227,IF(D144=150,'A.0_Tablas salariales SC'!$C$228,IF(D144=189,'A.0_Tablas salariales SC'!$C$229,IF(D144=400,'A.0_Tablas salariales SC'!$C$230,IF(D144=450,'A.0_Tablas salariales SC'!$C$231,IF(D144=401,'A.0_Tablas salariales SC'!$C$232,IF(D144=451,'A.0_Tablas salariales SC'!$C$233,'A.0_Tablas salariales SC'!$C$227)))))))</f>
        <v>0.3735</v>
      </c>
      <c r="R144" s="183">
        <f t="shared" si="16"/>
        <v>754.22722499999998</v>
      </c>
      <c r="S144" s="183">
        <f t="shared" si="17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'A.1.0_TablaAntigüedad_Sub'!I145</f>
        <v>126</v>
      </c>
      <c r="I145" s="183">
        <f>'A.1.0_TablaAntigüedad_Sub'!W145</f>
        <v>446.8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5"/>
        <v>6702</v>
      </c>
      <c r="O145" s="183">
        <f>'A.0_Tablas salariales SC'!$K$14</f>
        <v>23036.149999999994</v>
      </c>
      <c r="P145" s="183">
        <f>(O145+N145)*G145+'A.0_Tablas salariales SC'!$R$28*(100%-'A.1_Tabla Costes Subrog_2026'!G145)</f>
        <v>2019.35</v>
      </c>
      <c r="Q145" s="492">
        <f>IF(D145=100,'A.0_Tablas salariales SC'!$C$227,IF(D145=150,'A.0_Tablas salariales SC'!$C$228,IF(D145=189,'A.0_Tablas salariales SC'!$C$229,IF(D145=400,'A.0_Tablas salariales SC'!$C$230,IF(D145=450,'A.0_Tablas salariales SC'!$C$231,IF(D145=401,'A.0_Tablas salariales SC'!$C$232,IF(D145=451,'A.0_Tablas salariales SC'!$C$233,'A.0_Tablas salariales SC'!$C$227)))))))</f>
        <v>0.3735</v>
      </c>
      <c r="R145" s="183">
        <f t="shared" si="16"/>
        <v>754.22722499999998</v>
      </c>
      <c r="S145" s="183">
        <f t="shared" si="17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'A.1.0_TablaAntigüedad_Sub'!I146</f>
        <v>126</v>
      </c>
      <c r="I146" s="183">
        <f>'A.1.0_TablaAntigüedad_Sub'!W146</f>
        <v>446.8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5"/>
        <v>6702</v>
      </c>
      <c r="O146" s="183">
        <f>'A.0_Tablas salariales SC'!$K$14</f>
        <v>23036.149999999994</v>
      </c>
      <c r="P146" s="183">
        <f>(O146+N146)*G146+'A.0_Tablas salariales SC'!$R$28*(100%-'A.1_Tabla Costes Subrog_2026'!G146)</f>
        <v>2019.35</v>
      </c>
      <c r="Q146" s="492">
        <f>IF(D146=100,'A.0_Tablas salariales SC'!$C$227,IF(D146=150,'A.0_Tablas salariales SC'!$C$228,IF(D146=189,'A.0_Tablas salariales SC'!$C$229,IF(D146=400,'A.0_Tablas salariales SC'!$C$230,IF(D146=450,'A.0_Tablas salariales SC'!$C$231,IF(D146=401,'A.0_Tablas salariales SC'!$C$232,IF(D146=451,'A.0_Tablas salariales SC'!$C$233,'A.0_Tablas salariales SC'!$C$227)))))))</f>
        <v>0.3735</v>
      </c>
      <c r="R146" s="183">
        <f t="shared" si="16"/>
        <v>754.22722499999998</v>
      </c>
      <c r="S146" s="183">
        <f t="shared" si="17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'A.1.0_TablaAntigüedad_Sub'!I147</f>
        <v>126</v>
      </c>
      <c r="I147" s="183">
        <f>'A.1.0_TablaAntigüedad_Sub'!W147</f>
        <v>446.8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5"/>
        <v>6702</v>
      </c>
      <c r="O147" s="183">
        <f>'A.0_Tablas salariales SC'!$K$14</f>
        <v>23036.149999999994</v>
      </c>
      <c r="P147" s="183">
        <f>(O147+N147)*G147+'A.0_Tablas salariales SC'!$R$28*(100%-'A.1_Tabla Costes Subrog_2026'!G147)</f>
        <v>2019.35</v>
      </c>
      <c r="Q147" s="492">
        <f>IF(D147=100,'A.0_Tablas salariales SC'!$C$227,IF(D147=150,'A.0_Tablas salariales SC'!$C$228,IF(D147=189,'A.0_Tablas salariales SC'!$C$229,IF(D147=400,'A.0_Tablas salariales SC'!$C$230,IF(D147=450,'A.0_Tablas salariales SC'!$C$231,IF(D147=401,'A.0_Tablas salariales SC'!$C$232,IF(D147=451,'A.0_Tablas salariales SC'!$C$233,'A.0_Tablas salariales SC'!$C$227)))))))</f>
        <v>0.3735</v>
      </c>
      <c r="R147" s="183">
        <f t="shared" si="16"/>
        <v>754.22722499999998</v>
      </c>
      <c r="S147" s="183">
        <f t="shared" si="17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'A.1.0_TablaAntigüedad_Sub'!I148</f>
        <v>126</v>
      </c>
      <c r="I148" s="183">
        <f>'A.1.0_TablaAntigüedad_Sub'!W148</f>
        <v>446.8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5"/>
        <v>6702</v>
      </c>
      <c r="O148" s="183">
        <f>'A.0_Tablas salariales SC'!$K$14</f>
        <v>23036.149999999994</v>
      </c>
      <c r="P148" s="183">
        <f>(O148+N148)*G148+'A.0_Tablas salariales SC'!$R$28*(100%-'A.1_Tabla Costes Subrog_2026'!G148)</f>
        <v>2019.35</v>
      </c>
      <c r="Q148" s="492">
        <f>IF(D148=100,'A.0_Tablas salariales SC'!$C$227,IF(D148=150,'A.0_Tablas salariales SC'!$C$228,IF(D148=189,'A.0_Tablas salariales SC'!$C$229,IF(D148=400,'A.0_Tablas salariales SC'!$C$230,IF(D148=450,'A.0_Tablas salariales SC'!$C$231,IF(D148=401,'A.0_Tablas salariales SC'!$C$232,IF(D148=451,'A.0_Tablas salariales SC'!$C$233,'A.0_Tablas salariales SC'!$C$227)))))))</f>
        <v>0.3735</v>
      </c>
      <c r="R148" s="183">
        <f t="shared" si="16"/>
        <v>754.22722499999998</v>
      </c>
      <c r="S148" s="183">
        <f t="shared" si="17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'A.1.0_TablaAntigüedad_Sub'!I149</f>
        <v>126</v>
      </c>
      <c r="I149" s="183">
        <f>'A.1.0_TablaAntigüedad_Sub'!W149</f>
        <v>446.8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5"/>
        <v>6702</v>
      </c>
      <c r="O149" s="183">
        <f>'A.0_Tablas salariales SC'!$K$14</f>
        <v>23036.149999999994</v>
      </c>
      <c r="P149" s="183">
        <f>(O149+N149)*G149+'A.0_Tablas salariales SC'!$R$28*(100%-'A.1_Tabla Costes Subrog_2026'!G149)</f>
        <v>2019.35</v>
      </c>
      <c r="Q149" s="492">
        <f>IF(D149=100,'A.0_Tablas salariales SC'!$C$227,IF(D149=150,'A.0_Tablas salariales SC'!$C$228,IF(D149=189,'A.0_Tablas salariales SC'!$C$229,IF(D149=400,'A.0_Tablas salariales SC'!$C$230,IF(D149=450,'A.0_Tablas salariales SC'!$C$231,IF(D149=401,'A.0_Tablas salariales SC'!$C$232,IF(D149=451,'A.0_Tablas salariales SC'!$C$233,'A.0_Tablas salariales SC'!$C$227)))))))</f>
        <v>0.3735</v>
      </c>
      <c r="R149" s="183">
        <f t="shared" si="16"/>
        <v>754.22722499999998</v>
      </c>
      <c r="S149" s="183">
        <f t="shared" si="17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'A.1.0_TablaAntigüedad_Sub'!I150</f>
        <v>126</v>
      </c>
      <c r="I150" s="183">
        <f>'A.1.0_TablaAntigüedad_Sub'!W150</f>
        <v>446.8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5"/>
        <v>6702</v>
      </c>
      <c r="O150" s="183">
        <f>'A.0_Tablas salariales SC'!$K$14</f>
        <v>23036.149999999994</v>
      </c>
      <c r="P150" s="183">
        <f>(O150+N150)*G150+'A.0_Tablas salariales SC'!$R$28*(100%-'A.1_Tabla Costes Subrog_2026'!G150)</f>
        <v>2019.35</v>
      </c>
      <c r="Q150" s="492">
        <f>IF(D150=100,'A.0_Tablas salariales SC'!$C$227,IF(D150=150,'A.0_Tablas salariales SC'!$C$228,IF(D150=189,'A.0_Tablas salariales SC'!$C$229,IF(D150=400,'A.0_Tablas salariales SC'!$C$230,IF(D150=450,'A.0_Tablas salariales SC'!$C$231,IF(D150=401,'A.0_Tablas salariales SC'!$C$232,IF(D150=451,'A.0_Tablas salariales SC'!$C$233,'A.0_Tablas salariales SC'!$C$227)))))))</f>
        <v>0.3735</v>
      </c>
      <c r="R150" s="183">
        <f t="shared" si="16"/>
        <v>754.22722499999998</v>
      </c>
      <c r="S150" s="183">
        <f t="shared" si="17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'A.1.0_TablaAntigüedad_Sub'!I151</f>
        <v>126</v>
      </c>
      <c r="I151" s="183">
        <f>'A.1.0_TablaAntigüedad_Sub'!W151</f>
        <v>446.8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5"/>
        <v>6702</v>
      </c>
      <c r="O151" s="183">
        <f>'A.0_Tablas salariales SC'!$K$14</f>
        <v>23036.149999999994</v>
      </c>
      <c r="P151" s="183">
        <f>(O151+N151)*G151+'A.0_Tablas salariales SC'!$R$28*(100%-'A.1_Tabla Costes Subrog_2026'!G151)</f>
        <v>2019.35</v>
      </c>
      <c r="Q151" s="492">
        <f>IF(D151=100,'A.0_Tablas salariales SC'!$C$227,IF(D151=150,'A.0_Tablas salariales SC'!$C$228,IF(D151=189,'A.0_Tablas salariales SC'!$C$229,IF(D151=400,'A.0_Tablas salariales SC'!$C$230,IF(D151=450,'A.0_Tablas salariales SC'!$C$231,IF(D151=401,'A.0_Tablas salariales SC'!$C$232,IF(D151=451,'A.0_Tablas salariales SC'!$C$233,'A.0_Tablas salariales SC'!$C$227)))))))</f>
        <v>0.3735</v>
      </c>
      <c r="R151" s="183">
        <f t="shared" si="12"/>
        <v>754.22722499999998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8"/>
      <c r="K152" s="178"/>
      <c r="L152" s="178"/>
      <c r="M152" s="178"/>
      <c r="N152" s="178"/>
      <c r="O152" s="174"/>
      <c r="P152" s="174"/>
      <c r="Q152" s="174"/>
      <c r="R152" s="174"/>
      <c r="S152" s="174"/>
      <c r="T152" s="180">
        <f>SUM(S140:S151)</f>
        <v>0</v>
      </c>
    </row>
    <row r="153" spans="1:20">
      <c r="A153" s="508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2">
        <f>'A.1. Plantilla_Subrogacion'!F153</f>
        <v>0</v>
      </c>
      <c r="H153" s="181">
        <f>'A.1.0_TablaAntigüedad_Sub'!I153</f>
        <v>126</v>
      </c>
      <c r="I153" s="183">
        <f>'A.1.0_TablaAntigüedad_Sub'!W153</f>
        <v>446.8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5"/>
        <v>6702</v>
      </c>
      <c r="O153" s="183">
        <f>'A.0_Tablas salariales SC'!$K$17</f>
        <v>23974.850000000002</v>
      </c>
      <c r="P153" s="183">
        <f>(O153+N153)*G153+'A.0_Tablas salariales SC'!$R$28*(100%-'A.1_Tabla Costes Subrog_2026'!G153)</f>
        <v>2019.35</v>
      </c>
      <c r="Q153" s="184">
        <f>IF(D153=100,'A.0_Tablas salariales SC'!$C$215,IF(D153=150,'A.0_Tablas salariales SC'!$C$216,IF(D153=189,'A.0_Tablas salariales SC'!$C$217,IF(D153=400,'A.0_Tablas salariales SC'!$C$218,IF(D153=450,'A.0_Tablas salariales SC'!$C$219,IF(D153=401,'A.0_Tablas salariales SC'!$C$220,IF(D153=451,'A.0_Tablas salariales SC'!$C$221,'A.0_Tablas salariales SC'!$C$215)))))))</f>
        <v>0.34250000000000003</v>
      </c>
      <c r="R153" s="183">
        <f t="shared" si="12"/>
        <v>691.62737500000003</v>
      </c>
      <c r="S153" s="183">
        <f t="shared" si="11"/>
        <v>0</v>
      </c>
      <c r="T153" s="179"/>
    </row>
    <row r="154" spans="1:20">
      <c r="A154" s="508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2">
        <f>'A.1. Plantilla_Subrogacion'!F154</f>
        <v>0</v>
      </c>
      <c r="H154" s="181">
        <f>'A.1.0_TablaAntigüedad_Sub'!I154</f>
        <v>126</v>
      </c>
      <c r="I154" s="183">
        <f>'A.1.0_TablaAntigüedad_Sub'!W154</f>
        <v>446.8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5"/>
        <v>6702</v>
      </c>
      <c r="O154" s="183">
        <f>'A.0_Tablas salariales SC'!$K$17</f>
        <v>23974.850000000002</v>
      </c>
      <c r="P154" s="183">
        <f>(O154+N154)*G154+'A.0_Tablas salariales SC'!$R$28*(100%-'A.1_Tabla Costes Subrog_2026'!G154)</f>
        <v>2019.35</v>
      </c>
      <c r="Q154" s="184">
        <f>IF(D154=100,'A.0_Tablas salariales SC'!$C$215,IF(D154=150,'A.0_Tablas salariales SC'!$C$216,IF(D154=189,'A.0_Tablas salariales SC'!$C$217,IF(D154=400,'A.0_Tablas salariales SC'!$C$218,IF(D154=450,'A.0_Tablas salariales SC'!$C$219,IF(D154=401,'A.0_Tablas salariales SC'!$C$220,IF(D154=451,'A.0_Tablas salariales SC'!$C$221,'A.0_Tablas salariales SC'!$C$215)))))))</f>
        <v>0.34250000000000003</v>
      </c>
      <c r="R154" s="183">
        <f t="shared" ref="R154:R161" si="18">Q154*P154</f>
        <v>691.62737500000003</v>
      </c>
      <c r="S154" s="183">
        <f t="shared" ref="S154:S161" si="19">(R154+P154)*A154</f>
        <v>0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'A.1.0_TablaAntigüedad_Sub'!I155</f>
        <v>126</v>
      </c>
      <c r="I155" s="183">
        <f>'A.1.0_TablaAntigüedad_Sub'!W155</f>
        <v>446.8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5"/>
        <v>6702</v>
      </c>
      <c r="O155" s="183">
        <f>'A.0_Tablas salariales SC'!$K$17</f>
        <v>23974.850000000002</v>
      </c>
      <c r="P155" s="183">
        <f>(O155+N155)*G155+'A.0_Tablas salariales SC'!$R$28*(100%-'A.1_Tabla Costes Subrog_2026'!G155)</f>
        <v>2019.35</v>
      </c>
      <c r="Q155" s="184">
        <f>IF(D155=100,'A.0_Tablas salariales SC'!$C$215,IF(D155=150,'A.0_Tablas salariales SC'!$C$216,IF(D155=189,'A.0_Tablas salariales SC'!$C$217,IF(D155=400,'A.0_Tablas salariales SC'!$C$218,IF(D155=450,'A.0_Tablas salariales SC'!$C$219,IF(D155=401,'A.0_Tablas salariales SC'!$C$220,IF(D155=451,'A.0_Tablas salariales SC'!$C$221,'A.0_Tablas salariales SC'!$C$215)))))))</f>
        <v>0.34250000000000003</v>
      </c>
      <c r="R155" s="183">
        <f t="shared" si="18"/>
        <v>691.62737500000003</v>
      </c>
      <c r="S155" s="183">
        <f t="shared" si="19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'A.1.0_TablaAntigüedad_Sub'!I156</f>
        <v>126</v>
      </c>
      <c r="I156" s="183">
        <f>'A.1.0_TablaAntigüedad_Sub'!W156</f>
        <v>446.8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5"/>
        <v>6702</v>
      </c>
      <c r="O156" s="183">
        <f>'A.0_Tablas salariales SC'!$K$17</f>
        <v>23974.850000000002</v>
      </c>
      <c r="P156" s="183">
        <f>(O156+N156)*G156+'A.0_Tablas salariales SC'!$R$28*(100%-'A.1_Tabla Costes Subrog_2026'!G156)</f>
        <v>2019.35</v>
      </c>
      <c r="Q156" s="184">
        <f>IF(D156=100,'A.0_Tablas salariales SC'!$C$215,IF(D156=150,'A.0_Tablas salariales SC'!$C$216,IF(D156=189,'A.0_Tablas salariales SC'!$C$217,IF(D156=400,'A.0_Tablas salariales SC'!$C$218,IF(D156=450,'A.0_Tablas salariales SC'!$C$219,IF(D156=401,'A.0_Tablas salariales SC'!$C$220,IF(D156=451,'A.0_Tablas salariales SC'!$C$221,'A.0_Tablas salariales SC'!$C$215)))))))</f>
        <v>0.34250000000000003</v>
      </c>
      <c r="R156" s="183">
        <f t="shared" si="18"/>
        <v>691.62737500000003</v>
      </c>
      <c r="S156" s="183">
        <f t="shared" si="19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'A.1.0_TablaAntigüedad_Sub'!I157</f>
        <v>126</v>
      </c>
      <c r="I157" s="183">
        <f>'A.1.0_TablaAntigüedad_Sub'!W157</f>
        <v>446.8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5"/>
        <v>6702</v>
      </c>
      <c r="O157" s="183">
        <f>'A.0_Tablas salariales SC'!$K$17</f>
        <v>23974.850000000002</v>
      </c>
      <c r="P157" s="183">
        <f>(O157+N157)*G157+'A.0_Tablas salariales SC'!$R$28*(100%-'A.1_Tabla Costes Subrog_2026'!G157)</f>
        <v>2019.35</v>
      </c>
      <c r="Q157" s="184">
        <f>IF(D157=100,'A.0_Tablas salariales SC'!$C$215,IF(D157=150,'A.0_Tablas salariales SC'!$C$216,IF(D157=189,'A.0_Tablas salariales SC'!$C$217,IF(D157=400,'A.0_Tablas salariales SC'!$C$218,IF(D157=450,'A.0_Tablas salariales SC'!$C$219,IF(D157=401,'A.0_Tablas salariales SC'!$C$220,IF(D157=451,'A.0_Tablas salariales SC'!$C$221,'A.0_Tablas salariales SC'!$C$215)))))))</f>
        <v>0.34250000000000003</v>
      </c>
      <c r="R157" s="183">
        <f t="shared" si="18"/>
        <v>691.62737500000003</v>
      </c>
      <c r="S157" s="183">
        <f t="shared" si="19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'A.1.0_TablaAntigüedad_Sub'!I158</f>
        <v>126</v>
      </c>
      <c r="I158" s="183">
        <f>'A.1.0_TablaAntigüedad_Sub'!W158</f>
        <v>446.8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5"/>
        <v>6702</v>
      </c>
      <c r="O158" s="183">
        <f>'A.0_Tablas salariales SC'!$K$17</f>
        <v>23974.850000000002</v>
      </c>
      <c r="P158" s="183">
        <f>(O158+N158)*G158+'A.0_Tablas salariales SC'!$R$28*(100%-'A.1_Tabla Costes Subrog_2026'!G158)</f>
        <v>2019.35</v>
      </c>
      <c r="Q158" s="184">
        <f>IF(D158=100,'A.0_Tablas salariales SC'!$C$215,IF(D158=150,'A.0_Tablas salariales SC'!$C$216,IF(D158=189,'A.0_Tablas salariales SC'!$C$217,IF(D158=400,'A.0_Tablas salariales SC'!$C$218,IF(D158=450,'A.0_Tablas salariales SC'!$C$219,IF(D158=401,'A.0_Tablas salariales SC'!$C$220,IF(D158=451,'A.0_Tablas salariales SC'!$C$221,'A.0_Tablas salariales SC'!$C$215)))))))</f>
        <v>0.34250000000000003</v>
      </c>
      <c r="R158" s="183">
        <f t="shared" si="18"/>
        <v>691.62737500000003</v>
      </c>
      <c r="S158" s="183">
        <f t="shared" si="19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'A.1.0_TablaAntigüedad_Sub'!I159</f>
        <v>126</v>
      </c>
      <c r="I159" s="183">
        <f>'A.1.0_TablaAntigüedad_Sub'!W159</f>
        <v>446.8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5"/>
        <v>6702</v>
      </c>
      <c r="O159" s="183">
        <f>'A.0_Tablas salariales SC'!$K$17</f>
        <v>23974.850000000002</v>
      </c>
      <c r="P159" s="183">
        <f>(O159+N159)*G159+'A.0_Tablas salariales SC'!$R$28*(100%-'A.1_Tabla Costes Subrog_2026'!G159)</f>
        <v>2019.35</v>
      </c>
      <c r="Q159" s="184">
        <f>IF(D159=100,'A.0_Tablas salariales SC'!$C$215,IF(D159=150,'A.0_Tablas salariales SC'!$C$216,IF(D159=189,'A.0_Tablas salariales SC'!$C$217,IF(D159=400,'A.0_Tablas salariales SC'!$C$218,IF(D159=450,'A.0_Tablas salariales SC'!$C$219,IF(D159=401,'A.0_Tablas salariales SC'!$C$220,IF(D159=451,'A.0_Tablas salariales SC'!$C$221,'A.0_Tablas salariales SC'!$C$215)))))))</f>
        <v>0.34250000000000003</v>
      </c>
      <c r="R159" s="183">
        <f t="shared" si="18"/>
        <v>691.62737500000003</v>
      </c>
      <c r="S159" s="183">
        <f t="shared" si="19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'A.1.0_TablaAntigüedad_Sub'!I160</f>
        <v>126</v>
      </c>
      <c r="I160" s="183">
        <f>'A.1.0_TablaAntigüedad_Sub'!W160</f>
        <v>446.8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5"/>
        <v>6702</v>
      </c>
      <c r="O160" s="183">
        <f>'A.0_Tablas salariales SC'!$K$17</f>
        <v>23974.850000000002</v>
      </c>
      <c r="P160" s="183">
        <f>(O160+N160)*G160+'A.0_Tablas salariales SC'!$R$28*(100%-'A.1_Tabla Costes Subrog_2026'!G160)</f>
        <v>2019.35</v>
      </c>
      <c r="Q160" s="184">
        <f>IF(D160=100,'A.0_Tablas salariales SC'!$C$215,IF(D160=150,'A.0_Tablas salariales SC'!$C$216,IF(D160=189,'A.0_Tablas salariales SC'!$C$217,IF(D160=400,'A.0_Tablas salariales SC'!$C$218,IF(D160=450,'A.0_Tablas salariales SC'!$C$219,IF(D160=401,'A.0_Tablas salariales SC'!$C$220,IF(D160=451,'A.0_Tablas salariales SC'!$C$221,'A.0_Tablas salariales SC'!$C$215)))))))</f>
        <v>0.34250000000000003</v>
      </c>
      <c r="R160" s="183">
        <f t="shared" si="18"/>
        <v>691.62737500000003</v>
      </c>
      <c r="S160" s="183">
        <f t="shared" si="19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'A.1.0_TablaAntigüedad_Sub'!I161</f>
        <v>126</v>
      </c>
      <c r="I161" s="183">
        <f>'A.1.0_TablaAntigüedad_Sub'!W161</f>
        <v>446.8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5"/>
        <v>6702</v>
      </c>
      <c r="O161" s="183">
        <f>'A.0_Tablas salariales SC'!$K$17</f>
        <v>23974.850000000002</v>
      </c>
      <c r="P161" s="183">
        <f>(O161+N161)*G161+'A.0_Tablas salariales SC'!$R$28*(100%-'A.1_Tabla Costes Subrog_2026'!G161)</f>
        <v>2019.35</v>
      </c>
      <c r="Q161" s="184">
        <f>IF(D161=100,'A.0_Tablas salariales SC'!$C$215,IF(D161=150,'A.0_Tablas salariales SC'!$C$216,IF(D161=189,'A.0_Tablas salariales SC'!$C$217,IF(D161=400,'A.0_Tablas salariales SC'!$C$218,IF(D161=450,'A.0_Tablas salariales SC'!$C$219,IF(D161=401,'A.0_Tablas salariales SC'!$C$220,IF(D161=451,'A.0_Tablas salariales SC'!$C$221,'A.0_Tablas salariales SC'!$C$215)))))))</f>
        <v>0.34250000000000003</v>
      </c>
      <c r="R161" s="183">
        <f t="shared" si="18"/>
        <v>691.62737500000003</v>
      </c>
      <c r="S161" s="183">
        <f t="shared" si="19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'A.1.0_TablaAntigüedad_Sub'!I162</f>
        <v>126</v>
      </c>
      <c r="I162" s="183">
        <f>'A.1.0_TablaAntigüedad_Sub'!W162</f>
        <v>446.8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5"/>
        <v>6702</v>
      </c>
      <c r="O162" s="183">
        <f>'A.0_Tablas salariales SC'!$K$17</f>
        <v>23974.850000000002</v>
      </c>
      <c r="P162" s="183">
        <f>(O162+N162)*G162+'A.0_Tablas salariales SC'!$R$28*(100%-'A.1_Tabla Costes Subrog_2026'!G162)</f>
        <v>2019.35</v>
      </c>
      <c r="Q162" s="184">
        <f>IF(D162=100,'A.0_Tablas salariales SC'!$C$215,IF(D162=150,'A.0_Tablas salariales SC'!$C$216,IF(D162=189,'A.0_Tablas salariales SC'!$C$217,IF(D162=400,'A.0_Tablas salariales SC'!$C$218,IF(D162=450,'A.0_Tablas salariales SC'!$C$219,IF(D162=401,'A.0_Tablas salariales SC'!$C$220,IF(D162=451,'A.0_Tablas salariales SC'!$C$221,'A.0_Tablas salariales SC'!$C$215)))))))</f>
        <v>0.34250000000000003</v>
      </c>
      <c r="R162" s="183">
        <f t="shared" si="12"/>
        <v>691.62737500000003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8"/>
      <c r="K163" s="178"/>
      <c r="L163" s="178"/>
      <c r="M163" s="178"/>
      <c r="N163" s="174"/>
      <c r="O163" s="174"/>
      <c r="P163" s="174"/>
      <c r="Q163" s="174"/>
      <c r="R163" s="174"/>
      <c r="S163" s="174"/>
      <c r="T163" s="180">
        <f>SUM(S153:S162)</f>
        <v>0</v>
      </c>
    </row>
    <row r="164" spans="1:20">
      <c r="A164" s="508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2">
        <f>'A.1. Plantilla_Subrogacion'!F164</f>
        <v>0</v>
      </c>
      <c r="H164" s="181">
        <f>'A.1.0_TablaAntigüedad_Sub'!I164</f>
        <v>126</v>
      </c>
      <c r="I164" s="183">
        <f>'A.1.0_TablaAntigüedad_Sub'!W164</f>
        <v>611.96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5"/>
        <v>9179.4000000000015</v>
      </c>
      <c r="O164" s="183">
        <f>'A.0_Tablas salariales SC'!$K$27</f>
        <v>30074.149999999998</v>
      </c>
      <c r="P164" s="183">
        <f>(O164+N164)*G164+'A.0_Tablas salariales SC'!$R$28*(100%-'A.1_Tabla Costes Subrog_2026'!G164)</f>
        <v>2019.35</v>
      </c>
      <c r="Q164" s="184">
        <f>IF(D164=100,'A.0_Tablas salariales SC'!$C$215,IF(D164=150,'A.0_Tablas salariales SC'!$C$216,IF(D164=189,'A.0_Tablas salariales SC'!$C$217,IF(D164=400,'A.0_Tablas salariales SC'!$C$218,IF(D164=450,'A.0_Tablas salariales SC'!$C$219,IF(D164=401,'A.0_Tablas salariales SC'!$C$220,IF(D164=451,'A.0_Tablas salariales SC'!$C$221,'A.0_Tablas salariales SC'!$C$215)))))))</f>
        <v>0.34250000000000003</v>
      </c>
      <c r="R164" s="183">
        <f>Q164*P164</f>
        <v>691.62737500000003</v>
      </c>
      <c r="S164" s="183">
        <f>(R164+P164)*A164</f>
        <v>0</v>
      </c>
      <c r="T164" s="179"/>
    </row>
    <row r="165" spans="1:20">
      <c r="A165" s="508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2">
        <f>'A.1. Plantilla_Subrogacion'!F165</f>
        <v>0</v>
      </c>
      <c r="H165" s="181">
        <f>'A.1.0_TablaAntigüedad_Sub'!I165</f>
        <v>126</v>
      </c>
      <c r="I165" s="183">
        <f>'A.1.0_TablaAntigüedad_Sub'!W165</f>
        <v>611.96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5"/>
        <v>9179.4000000000015</v>
      </c>
      <c r="O165" s="183">
        <f>'A.0_Tablas salariales SC'!$K$27</f>
        <v>30074.149999999998</v>
      </c>
      <c r="P165" s="183">
        <f>(O165+N165)*G165+'A.0_Tablas salariales SC'!$R$28*(100%-'A.1_Tabla Costes Subrog_2026'!G165)</f>
        <v>2019.35</v>
      </c>
      <c r="Q165" s="184">
        <f>IF(D165=100,'A.0_Tablas salariales SC'!$C$215,IF(D165=150,'A.0_Tablas salariales SC'!$C$216,IF(D165=189,'A.0_Tablas salariales SC'!$C$217,IF(D165=400,'A.0_Tablas salariales SC'!$C$218,IF(D165=450,'A.0_Tablas salariales SC'!$C$219,IF(D165=401,'A.0_Tablas salariales SC'!$C$220,IF(D165=451,'A.0_Tablas salariales SC'!$C$221,'A.0_Tablas salariales SC'!$C$215)))))))</f>
        <v>0.34250000000000003</v>
      </c>
      <c r="R165" s="183">
        <f t="shared" ref="R165:R167" si="20">Q165*P165</f>
        <v>691.62737500000003</v>
      </c>
      <c r="S165" s="183">
        <f t="shared" ref="S165:S167" si="21">(R165+P165)*A165</f>
        <v>0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'A.1.0_TablaAntigüedad_Sub'!I166</f>
        <v>126</v>
      </c>
      <c r="I166" s="183">
        <f>'A.1.0_TablaAntigüedad_Sub'!W166</f>
        <v>611.96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5"/>
        <v>9179.4000000000015</v>
      </c>
      <c r="O166" s="183">
        <f>'A.0_Tablas salariales SC'!$K$27</f>
        <v>30074.149999999998</v>
      </c>
      <c r="P166" s="183">
        <f>(O166+N166)*G166+'A.0_Tablas salariales SC'!$R$28*(100%-'A.1_Tabla Costes Subrog_2026'!G166)</f>
        <v>2019.35</v>
      </c>
      <c r="Q166" s="184">
        <f>IF(D166=100,'A.0_Tablas salariales SC'!$C$215,IF(D166=150,'A.0_Tablas salariales SC'!$C$216,IF(D166=189,'A.0_Tablas salariales SC'!$C$217,IF(D166=400,'A.0_Tablas salariales SC'!$C$218,IF(D166=450,'A.0_Tablas salariales SC'!$C$219,IF(D166=401,'A.0_Tablas salariales SC'!$C$220,IF(D166=451,'A.0_Tablas salariales SC'!$C$221,'A.0_Tablas salariales SC'!$C$215)))))))</f>
        <v>0.34250000000000003</v>
      </c>
      <c r="R166" s="183">
        <f t="shared" si="20"/>
        <v>691.62737500000003</v>
      </c>
      <c r="S166" s="183">
        <f t="shared" si="21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'A.1.0_TablaAntigüedad_Sub'!I167</f>
        <v>126</v>
      </c>
      <c r="I167" s="183">
        <f>'A.1.0_TablaAntigüedad_Sub'!W167</f>
        <v>611.96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5"/>
        <v>9179.4000000000015</v>
      </c>
      <c r="O167" s="183">
        <f>'A.0_Tablas salariales SC'!$K$27</f>
        <v>30074.149999999998</v>
      </c>
      <c r="P167" s="183">
        <f>(O167+N167)*G167+'A.0_Tablas salariales SC'!$R$28*(100%-'A.1_Tabla Costes Subrog_2026'!G167)</f>
        <v>2019.35</v>
      </c>
      <c r="Q167" s="184">
        <f>IF(D167=100,'A.0_Tablas salariales SC'!$C$215,IF(D167=150,'A.0_Tablas salariales SC'!$C$216,IF(D167=189,'A.0_Tablas salariales SC'!$C$217,IF(D167=400,'A.0_Tablas salariales SC'!$C$218,IF(D167=450,'A.0_Tablas salariales SC'!$C$219,IF(D167=401,'A.0_Tablas salariales SC'!$C$220,IF(D167=451,'A.0_Tablas salariales SC'!$C$221,'A.0_Tablas salariales SC'!$C$215)))))))</f>
        <v>0.34250000000000003</v>
      </c>
      <c r="R167" s="183">
        <f t="shared" si="20"/>
        <v>691.62737500000003</v>
      </c>
      <c r="S167" s="183">
        <f t="shared" si="21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'A.1.0_TablaAntigüedad_Sub'!I168</f>
        <v>126</v>
      </c>
      <c r="I168" s="183">
        <f>'A.1.0_TablaAntigüedad_Sub'!W168</f>
        <v>611.96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5"/>
        <v>9179.4000000000015</v>
      </c>
      <c r="O168" s="183">
        <f>'A.0_Tablas salariales SC'!$K$27</f>
        <v>30074.149999999998</v>
      </c>
      <c r="P168" s="183">
        <f>(O168+N168)*G168+'A.0_Tablas salariales SC'!$R$28*(100%-'A.1_Tabla Costes Subrog_2026'!G168)</f>
        <v>2019.35</v>
      </c>
      <c r="Q168" s="184">
        <f>IF(D168=100,'A.0_Tablas salariales SC'!$C$215,IF(D168=150,'A.0_Tablas salariales SC'!$C$216,IF(D168=189,'A.0_Tablas salariales SC'!$C$217,IF(D168=400,'A.0_Tablas salariales SC'!$C$218,IF(D168=450,'A.0_Tablas salariales SC'!$C$219,IF(D168=401,'A.0_Tablas salariales SC'!$C$220,IF(D168=451,'A.0_Tablas salariales SC'!$C$221,'A.0_Tablas salariales SC'!$C$215)))))))</f>
        <v>0.34250000000000003</v>
      </c>
      <c r="R168" s="183">
        <f t="shared" si="12"/>
        <v>691.62737500000003</v>
      </c>
      <c r="S168" s="183">
        <f t="shared" si="11"/>
        <v>0</v>
      </c>
      <c r="T168" s="179"/>
    </row>
    <row r="169" spans="1:20">
      <c r="A169" s="508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2">
        <f>'A.1. Plantilla_Subrogacion'!F169</f>
        <v>0</v>
      </c>
      <c r="H169" s="181">
        <f>'A.1.0_TablaAntigüedad_Sub'!I169</f>
        <v>126</v>
      </c>
      <c r="I169" s="183">
        <f>'A.1.0_TablaAntigüedad_Sub'!W169</f>
        <v>611.96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5"/>
        <v>9179.4000000000015</v>
      </c>
      <c r="O169" s="183">
        <f>'A.0_Tablas salariales SC'!$K$28</f>
        <v>34071.049999999996</v>
      </c>
      <c r="P169" s="183">
        <f>(O169+N169)*G169+'A.0_Tablas salariales SC'!$R$28*(100%-'A.1_Tabla Costes Subrog_2026'!G169)</f>
        <v>2019.35</v>
      </c>
      <c r="Q169" s="184">
        <f>IF(D169=100,'A.0_Tablas salariales SC'!$C$215,IF(D169=150,'A.0_Tablas salariales SC'!$C$216,IF(D169=189,'A.0_Tablas salariales SC'!$C$217,IF(D169=400,'A.0_Tablas salariales SC'!$C$218,IF(D169=450,'A.0_Tablas salariales SC'!$C$219,IF(D169=401,'A.0_Tablas salariales SC'!$C$220,IF(D169=451,'A.0_Tablas salariales SC'!$C$221,'A.0_Tablas salariales SC'!$C$215)))))))</f>
        <v>0.34250000000000003</v>
      </c>
      <c r="R169" s="183">
        <f t="shared" ref="R169:R171" si="22">Q169*P169</f>
        <v>691.62737500000003</v>
      </c>
      <c r="S169" s="183">
        <f t="shared" ref="S169:S171" si="23">(R169+P169)*A169</f>
        <v>0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'A.1.0_TablaAntigüedad_Sub'!I170</f>
        <v>126</v>
      </c>
      <c r="I170" s="183">
        <f>'A.1.0_TablaAntigüedad_Sub'!W170</f>
        <v>611.96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5"/>
        <v>9179.4000000000015</v>
      </c>
      <c r="O170" s="183">
        <f>'A.0_Tablas salariales SC'!$K$28</f>
        <v>34071.049999999996</v>
      </c>
      <c r="P170" s="183">
        <f>(O170+N170)*G170+'A.0_Tablas salariales SC'!$R$28*(100%-'A.1_Tabla Costes Subrog_2026'!G170)</f>
        <v>2019.35</v>
      </c>
      <c r="Q170" s="184">
        <f>IF(D170=100,'A.0_Tablas salariales SC'!$C$215,IF(D170=150,'A.0_Tablas salariales SC'!$C$216,IF(D170=189,'A.0_Tablas salariales SC'!$C$217,IF(D170=400,'A.0_Tablas salariales SC'!$C$218,IF(D170=450,'A.0_Tablas salariales SC'!$C$219,IF(D170=401,'A.0_Tablas salariales SC'!$C$220,IF(D170=451,'A.0_Tablas salariales SC'!$C$221,'A.0_Tablas salariales SC'!$C$215)))))))</f>
        <v>0.34250000000000003</v>
      </c>
      <c r="R170" s="183">
        <f t="shared" si="22"/>
        <v>691.62737500000003</v>
      </c>
      <c r="S170" s="183">
        <f t="shared" si="23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'A.1.0_TablaAntigüedad_Sub'!I171</f>
        <v>126</v>
      </c>
      <c r="I171" s="183">
        <f>'A.1.0_TablaAntigüedad_Sub'!W171</f>
        <v>611.96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5"/>
        <v>9179.4000000000015</v>
      </c>
      <c r="O171" s="183">
        <f>'A.0_Tablas salariales SC'!$K$28</f>
        <v>34071.049999999996</v>
      </c>
      <c r="P171" s="183">
        <f>(O171+N171)*G171+'A.0_Tablas salariales SC'!$R$28*(100%-'A.1_Tabla Costes Subrog_2026'!G171)</f>
        <v>2019.35</v>
      </c>
      <c r="Q171" s="184">
        <f>IF(D171=100,'A.0_Tablas salariales SC'!$C$215,IF(D171=150,'A.0_Tablas salariales SC'!$C$216,IF(D171=189,'A.0_Tablas salariales SC'!$C$217,IF(D171=400,'A.0_Tablas salariales SC'!$C$218,IF(D171=450,'A.0_Tablas salariales SC'!$C$219,IF(D171=401,'A.0_Tablas salariales SC'!$C$220,IF(D171=451,'A.0_Tablas salariales SC'!$C$221,'A.0_Tablas salariales SC'!$C$215)))))))</f>
        <v>0.34250000000000003</v>
      </c>
      <c r="R171" s="183">
        <f t="shared" si="22"/>
        <v>691.62737500000003</v>
      </c>
      <c r="S171" s="183">
        <f t="shared" si="23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'A.1.0_TablaAntigüedad_Sub'!I172</f>
        <v>126</v>
      </c>
      <c r="I172" s="183">
        <f>'A.1.0_TablaAntigüedad_Sub'!W172</f>
        <v>611.96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5"/>
        <v>9179.4000000000015</v>
      </c>
      <c r="O172" s="183">
        <f>'A.0_Tablas salariales SC'!$K$28</f>
        <v>34071.049999999996</v>
      </c>
      <c r="P172" s="183">
        <f>(O172+N172)*G172+'A.0_Tablas salariales SC'!$R$28*(100%-'A.1_Tabla Costes Subrog_2026'!G172)</f>
        <v>2019.35</v>
      </c>
      <c r="Q172" s="184">
        <f>IF(D172=100,'A.0_Tablas salariales SC'!$C$215,IF(D172=150,'A.0_Tablas salariales SC'!$C$216,IF(D172=189,'A.0_Tablas salariales SC'!$C$217,IF(D172=400,'A.0_Tablas salariales SC'!$C$218,IF(D172=450,'A.0_Tablas salariales SC'!$C$219,IF(D172=401,'A.0_Tablas salariales SC'!$C$220,IF(D172=451,'A.0_Tablas salariales SC'!$C$221,'A.0_Tablas salariales SC'!$C$215)))))))</f>
        <v>0.34250000000000003</v>
      </c>
      <c r="R172" s="183">
        <f t="shared" si="12"/>
        <v>691.62737500000003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8"/>
      <c r="K173" s="178"/>
      <c r="L173" s="178"/>
      <c r="M173" s="178"/>
      <c r="N173" s="174"/>
      <c r="O173" s="174"/>
      <c r="P173" s="174"/>
      <c r="Q173" s="174"/>
      <c r="R173" s="174"/>
      <c r="S173" s="174"/>
      <c r="T173" s="180">
        <f>SUM(S164:S172)</f>
        <v>0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'A.1.0_TablaAntigüedad_Sub'!I174</f>
        <v>126</v>
      </c>
      <c r="I174" s="183">
        <f>'A.1.0_TablaAntigüedad_Sub'!W174</f>
        <v>482.18</v>
      </c>
      <c r="J174" s="183"/>
      <c r="K174" s="183">
        <f>'A.1. Plantilla_Subrogacion'!I174</f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5"/>
        <v>7232.7</v>
      </c>
      <c r="O174" s="183">
        <f>'A.0_Tablas salariales SC'!K20</f>
        <v>22080.5</v>
      </c>
      <c r="P174" s="183">
        <f>(O174+N174)*G174+'A.0_Tablas salariales SC'!$R$28*(100%-'A.1_Tabla Costes Subrog_2026'!G174)</f>
        <v>2019.35</v>
      </c>
      <c r="Q174" s="184">
        <f>IF(D174=100,'A.0_Tablas salariales SC'!$C$215,IF(D174=150,'A.0_Tablas salariales SC'!$C$216,IF(D174=189,'A.0_Tablas salariales SC'!$C$217,IF(D174=400,'A.0_Tablas salariales SC'!$C$218,IF(D174=450,'A.0_Tablas salariales SC'!$C$219,IF(D174=401,'A.0_Tablas salariales SC'!$C$220,IF(D174=451,'A.0_Tablas salariales SC'!$C$221,'A.0_Tablas salariales SC'!$C$215)))))))</f>
        <v>0.34250000000000003</v>
      </c>
      <c r="R174" s="183">
        <f t="shared" ref="R174" si="24">Q174*P174</f>
        <v>691.62737500000003</v>
      </c>
      <c r="S174" s="183">
        <f t="shared" ref="S174" si="25">(R174+P174)*A174</f>
        <v>0</v>
      </c>
      <c r="T174" s="179"/>
    </row>
    <row r="175" spans="1:20">
      <c r="A175" s="508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2">
        <f>'A.1. Plantilla_Subrogacion'!F175</f>
        <v>0</v>
      </c>
      <c r="H175" s="181">
        <f>'A.1.0_TablaAntigüedad_Sub'!I175</f>
        <v>126</v>
      </c>
      <c r="I175" s="183">
        <f>'A.1.0_TablaAntigüedad_Sub'!W175</f>
        <v>482.18</v>
      </c>
      <c r="J175" s="183"/>
      <c r="K175" s="183">
        <f>'A.1. Plantilla_Subrogacion'!I175</f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5"/>
        <v>7232.7</v>
      </c>
      <c r="O175" s="183">
        <f>'A.0_Tablas salariales SC'!K21</f>
        <v>22954.55</v>
      </c>
      <c r="P175" s="183">
        <f>(O175+N175)*G175+'A.0_Tablas salariales SC'!$R$28*(100%-'A.1_Tabla Costes Subrog_2026'!G175)</f>
        <v>2019.35</v>
      </c>
      <c r="Q175" s="184">
        <f>IF(D175=100,'A.0_Tablas salariales SC'!$C$215,IF(D175=150,'A.0_Tablas salariales SC'!$C$216,IF(D175=189,'A.0_Tablas salariales SC'!$C$217,IF(D175=400,'A.0_Tablas salariales SC'!$C$218,IF(D175=450,'A.0_Tablas salariales SC'!$C$219,IF(D175=401,'A.0_Tablas salariales SC'!$C$220,IF(D175=451,'A.0_Tablas salariales SC'!$C$221,'A.0_Tablas salariales SC'!$C$215)))))))</f>
        <v>0.34250000000000003</v>
      </c>
      <c r="R175" s="183">
        <f t="shared" si="12"/>
        <v>691.62737500000003</v>
      </c>
      <c r="S175" s="183">
        <f t="shared" si="11"/>
        <v>0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'A.1.0_TablaAntigüedad_Sub'!I176</f>
        <v>126</v>
      </c>
      <c r="I176" s="183">
        <f>'A.1.0_TablaAntigüedad_Sub'!W176</f>
        <v>482.18</v>
      </c>
      <c r="J176" s="183"/>
      <c r="K176" s="183">
        <f>'A.1. Plantilla_Subrogacion'!I176</f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5"/>
        <v>7232.7</v>
      </c>
      <c r="O176" s="183">
        <f>'A.0_Tablas salariales SC'!K23</f>
        <v>25938.349999999991</v>
      </c>
      <c r="P176" s="183">
        <f>(O176+N176)*G176+'A.0_Tablas salariales SC'!$R$28*(100%-'A.1_Tabla Costes Subrog_2026'!G176)</f>
        <v>2019.35</v>
      </c>
      <c r="Q176" s="184">
        <f>IF(D176=100,'A.0_Tablas salariales SC'!$C$215,IF(D176=150,'A.0_Tablas salariales SC'!$C$216,IF(D176=189,'A.0_Tablas salariales SC'!$C$217,IF(D176=400,'A.0_Tablas salariales SC'!$C$218,IF(D176=450,'A.0_Tablas salariales SC'!$C$219,IF(D176=401,'A.0_Tablas salariales SC'!$C$220,IF(D176=451,'A.0_Tablas salariales SC'!$C$221,'A.0_Tablas salariales SC'!$C$215)))))))</f>
        <v>0.34250000000000003</v>
      </c>
      <c r="R176" s="183">
        <f t="shared" si="12"/>
        <v>691.62737500000003</v>
      </c>
      <c r="S176" s="183">
        <f t="shared" si="11"/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0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'A.1.0_TablaAntigüedad_Sub'!I178</f>
        <v>126</v>
      </c>
      <c r="I178" s="183">
        <f>'A.1.0_TablaAntigüedad_Sub'!W178</f>
        <v>446.8</v>
      </c>
      <c r="J178" s="183"/>
      <c r="K178" s="183">
        <f>'A.1. Plantilla_Subrogacion'!I178</f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5"/>
        <v>6702</v>
      </c>
      <c r="O178" s="183">
        <f>'A.0_Tablas salariales SC'!K12</f>
        <v>21906.649999999998</v>
      </c>
      <c r="P178" s="183">
        <f>(O178+N178)*G178+'A.0_Tablas salariales SC'!$R$28*(100%-'A.1_Tabla Costes Subrog_2026'!G178)</f>
        <v>2019.35</v>
      </c>
      <c r="Q178" s="184">
        <f>IF(D178=100,'A.0_Tablas salariales SC'!$C$215,IF(D178=150,'A.0_Tablas salariales SC'!$C$216,IF(D178=189,'A.0_Tablas salariales SC'!$C$217,IF(D178=400,'A.0_Tablas salariales SC'!$C$218,IF(D178=450,'A.0_Tablas salariales SC'!$C$219,IF(D178=401,'A.0_Tablas salariales SC'!$C$220,IF(D178=451,'A.0_Tablas salariales SC'!$C$221,'A.0_Tablas salariales SC'!$C$215)))))))</f>
        <v>0.34250000000000003</v>
      </c>
      <c r="R178" s="183">
        <f t="shared" ref="R178:R179" si="26">Q178*P178</f>
        <v>691.62737500000003</v>
      </c>
      <c r="S178" s="183">
        <f t="shared" ref="S178:S179" si="27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'A.1.0_TablaAntigüedad_Sub'!I179</f>
        <v>126</v>
      </c>
      <c r="I179" s="183">
        <f>'A.1.0_TablaAntigüedad_Sub'!W179</f>
        <v>446.8</v>
      </c>
      <c r="J179" s="183"/>
      <c r="K179" s="183">
        <f>'A.1. Plantilla_Subrogacion'!I179</f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5"/>
        <v>6702</v>
      </c>
      <c r="O179" s="183">
        <f>'A.0_Tablas salariales SC'!K11</f>
        <v>21211.85</v>
      </c>
      <c r="P179" s="183">
        <f>(O179+N179)*G179+'A.0_Tablas salariales SC'!$R$28*(100%-'A.1_Tabla Costes Subrog_2026'!G179)</f>
        <v>2019.35</v>
      </c>
      <c r="Q179" s="184">
        <f>IF(D179=100,'A.0_Tablas salariales SC'!$C$215,IF(D179=150,'A.0_Tablas salariales SC'!$C$216,IF(D179=189,'A.0_Tablas salariales SC'!$C$217,IF(D179=400,'A.0_Tablas salariales SC'!$C$218,IF(D179=450,'A.0_Tablas salariales SC'!$C$219,IF(D179=401,'A.0_Tablas salariales SC'!$C$220,IF(D179=451,'A.0_Tablas salariales SC'!$C$221,'A.0_Tablas salariales SC'!$C$215)))))))</f>
        <v>0.34250000000000003</v>
      </c>
      <c r="R179" s="183">
        <f t="shared" si="26"/>
        <v>691.62737500000003</v>
      </c>
      <c r="S179" s="183">
        <f t="shared" si="27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SUM(T5:T180)</f>
        <v>0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O13 A86:N86 A114:N114 A152:N152 A163:M163 A173:M173">
    <cfRule type="cellIs" dxfId="110" priority="12" operator="equal">
      <formula>0</formula>
    </cfRule>
  </conditionalFormatting>
  <conditionalFormatting sqref="A139:S139">
    <cfRule type="cellIs" dxfId="109" priority="11" operator="equal">
      <formula>0</formula>
    </cfRule>
  </conditionalFormatting>
  <conditionalFormatting sqref="G164:M172">
    <cfRule type="cellIs" dxfId="108" priority="3" operator="equal">
      <formula>0</formula>
    </cfRule>
  </conditionalFormatting>
  <conditionalFormatting sqref="G174:M176">
    <cfRule type="cellIs" dxfId="107" priority="2" operator="equal">
      <formula>0</formula>
    </cfRule>
  </conditionalFormatting>
  <conditionalFormatting sqref="G5:N12 G14:N85 G87:N113 G115:N138 G140:N151 N163:O176">
    <cfRule type="cellIs" dxfId="106" priority="13" operator="equal">
      <formula>0</formula>
    </cfRule>
  </conditionalFormatting>
  <conditionalFormatting sqref="G153:N162">
    <cfRule type="cellIs" dxfId="105" priority="4" operator="equal">
      <formula>0</formula>
    </cfRule>
  </conditionalFormatting>
  <conditionalFormatting sqref="G178:S179">
    <cfRule type="cellIs" dxfId="104" priority="1" operator="equal">
      <formula>0</formula>
    </cfRule>
  </conditionalFormatting>
  <conditionalFormatting sqref="O5:S7 O8:O12 P8:S84 O14:O84 O85:S138 O140:S153 O154:O162 P154:S176">
    <cfRule type="cellIs" dxfId="103" priority="15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16DF-964A-4958-9F63-46018AEA3959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K4" sqref="K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937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926</v>
      </c>
      <c r="I3" s="241" t="s">
        <v>927</v>
      </c>
      <c r="J3" s="241" t="s">
        <v>928</v>
      </c>
      <c r="K3" s="241" t="s">
        <v>1002</v>
      </c>
      <c r="L3" s="241" t="s">
        <v>1103</v>
      </c>
      <c r="M3" s="241" t="s">
        <v>929</v>
      </c>
      <c r="N3" s="241" t="s">
        <v>930</v>
      </c>
      <c r="O3" s="241" t="s">
        <v>931</v>
      </c>
      <c r="P3" s="241" t="s">
        <v>932</v>
      </c>
      <c r="Q3" s="241" t="s">
        <v>933</v>
      </c>
      <c r="R3" s="241" t="s">
        <v>934</v>
      </c>
      <c r="S3" s="241" t="s">
        <v>935</v>
      </c>
      <c r="T3" s="241" t="s">
        <v>936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Contrato'!$E$18),1)</f>
        <v>1.02</v>
      </c>
      <c r="L4" s="93">
        <f>IF(('A. Resumen Costes Personal Año'!$D$14=2026),(1+'Caracteristicas Contrato'!$E$18),1)</f>
        <v>1.02</v>
      </c>
      <c r="M4" s="93">
        <f>IF(('A. Resumen Costes Personal Año'!$D$14=2026),(1+'Caracteristicas Contrato'!$E$18),1)</f>
        <v>1.02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2">
        <f>'A.1. Plantilla_Subrogacion'!F5</f>
        <v>0</v>
      </c>
      <c r="H5" s="181">
        <f>'A.1.0_TablaAntigüedad_Sub'!J5</f>
        <v>127</v>
      </c>
      <c r="I5" s="183">
        <f>'A.1.0_TablaAntigüedad_Sub'!X5</f>
        <v>462.44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6936.6</v>
      </c>
      <c r="O5" s="183">
        <f>'A.0_Tablas salariales SC'!$K$36</f>
        <v>20892.639999999996</v>
      </c>
      <c r="P5" s="183">
        <f>(O5+N5)*G5+'A.0_Tablas salariales SC'!$R$55*(100%-G5)</f>
        <v>2318.7400000000002</v>
      </c>
      <c r="Q5" s="184">
        <f>IF(D5=100,'A.0_Tablas salariales SC'!$D$215,IF(D5=150,'A.0_Tablas salariales SC'!$D$216,IF(D5=189,'A.0_Tablas salariales SC'!$D$217,IF(D5=400,'A.0_Tablas salariales SC'!$D$218,IF(D5=450,'A.0_Tablas salariales SC'!$D$219,IF(D5=401,'A.0_Tablas salariales SC'!$D$220,IF(D5=451,'A.0_Tablas salariales SC'!$D$221,'A.0_Tablas salariales SC'!$D$215)))))))</f>
        <v>0.34329999999999999</v>
      </c>
      <c r="R5" s="183">
        <f>Q5*P5</f>
        <v>796.02344200000005</v>
      </c>
      <c r="S5" s="183">
        <f>(R5+P5)*A5</f>
        <v>0</v>
      </c>
      <c r="T5" s="179"/>
    </row>
    <row r="6" spans="1:20">
      <c r="A6" s="508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2">
        <f>'A.1. Plantilla_Subrogacion'!F6</f>
        <v>0</v>
      </c>
      <c r="H6" s="181">
        <f>'A.1.0_TablaAntigüedad_Sub'!J6</f>
        <v>127</v>
      </c>
      <c r="I6" s="183">
        <f>'A.1.0_TablaAntigüedad_Sub'!X6</f>
        <v>462.44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6936.6</v>
      </c>
      <c r="O6" s="183">
        <f>'A.0_Tablas salariales SC'!$K$36</f>
        <v>20892.639999999996</v>
      </c>
      <c r="P6" s="183">
        <f>(O6+N6)*G6+'A.0_Tablas salariales SC'!$R$55*(100%-G6)</f>
        <v>2318.7400000000002</v>
      </c>
      <c r="Q6" s="184">
        <f>IF(D6=100,'A.0_Tablas salariales SC'!$D$215,IF(D6=150,'A.0_Tablas salariales SC'!$D$216,IF(D6=189,'A.0_Tablas salariales SC'!$D$217,IF(D6=400,'A.0_Tablas salariales SC'!$D$218,IF(D6=450,'A.0_Tablas salariales SC'!$D$219,IF(D6=401,'A.0_Tablas salariales SC'!$D$220,IF(D6=451,'A.0_Tablas salariales SC'!$D$221,'A.0_Tablas salariales SC'!$D$215)))))))</f>
        <v>0.34329999999999999</v>
      </c>
      <c r="R6" s="183">
        <f t="shared" ref="R6:R113" si="1">Q6*P6</f>
        <v>796.02344200000005</v>
      </c>
      <c r="S6" s="183">
        <f t="shared" ref="S6:S113" si="2">(R6+P6)*A6</f>
        <v>0</v>
      </c>
      <c r="T6" s="179"/>
    </row>
    <row r="7" spans="1:20">
      <c r="A7" s="508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2">
        <f>'A.1. Plantilla_Subrogacion'!F7</f>
        <v>0</v>
      </c>
      <c r="H7" s="181">
        <f>'A.1.0_TablaAntigüedad_Sub'!J7</f>
        <v>127</v>
      </c>
      <c r="I7" s="183">
        <f>'A.1.0_TablaAntigüedad_Sub'!X7</f>
        <v>462.44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6936.6</v>
      </c>
      <c r="O7" s="183">
        <f>'A.0_Tablas salariales SC'!$K$36</f>
        <v>20892.639999999996</v>
      </c>
      <c r="P7" s="183">
        <f>(O7+N7)*G7+'A.0_Tablas salariales SC'!$R$55*(100%-G7)</f>
        <v>2318.7400000000002</v>
      </c>
      <c r="Q7" s="184">
        <f>IF(D7=100,'A.0_Tablas salariales SC'!$D$215,IF(D7=150,'A.0_Tablas salariales SC'!$D$216,IF(D7=189,'A.0_Tablas salariales SC'!$D$217,IF(D7=400,'A.0_Tablas salariales SC'!$D$218,IF(D7=450,'A.0_Tablas salariales SC'!$D$219,IF(D7=401,'A.0_Tablas salariales SC'!$D$220,IF(D7=451,'A.0_Tablas salariales SC'!$D$221,'A.0_Tablas salariales SC'!$D$215)))))))</f>
        <v>0.34329999999999999</v>
      </c>
      <c r="R7" s="183">
        <f t="shared" si="1"/>
        <v>796.02344200000005</v>
      </c>
      <c r="S7" s="183">
        <f t="shared" si="2"/>
        <v>0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'A.1.0_TablaAntigüedad_Sub'!J8</f>
        <v>127</v>
      </c>
      <c r="I8" s="183">
        <f>'A.1.0_TablaAntigüedad_Sub'!X8</f>
        <v>462.44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6936.6</v>
      </c>
      <c r="O8" s="183">
        <f>'A.0_Tablas salariales SC'!$K$36</f>
        <v>20892.639999999996</v>
      </c>
      <c r="P8" s="183">
        <f>(O8+N8)*G8+'A.0_Tablas salariales SC'!$R$55*(100%-G8)</f>
        <v>2318.7400000000002</v>
      </c>
      <c r="Q8" s="184">
        <f>IF(D8=100,'A.0_Tablas salariales SC'!$D$215,IF(D8=150,'A.0_Tablas salariales SC'!$D$216,IF(D8=189,'A.0_Tablas salariales SC'!$D$217,IF(D8=400,'A.0_Tablas salariales SC'!$D$218,IF(D8=450,'A.0_Tablas salariales SC'!$D$219,IF(D8=401,'A.0_Tablas salariales SC'!$D$220,IF(D8=451,'A.0_Tablas salariales SC'!$D$221,'A.0_Tablas salariales SC'!$D$215)))))))</f>
        <v>0.34329999999999999</v>
      </c>
      <c r="R8" s="183">
        <f t="shared" ref="R8:R12" si="3">Q8*P8</f>
        <v>796.02344200000005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'A.1.0_TablaAntigüedad_Sub'!J9</f>
        <v>127</v>
      </c>
      <c r="I9" s="183">
        <f>'A.1.0_TablaAntigüedad_Sub'!X9</f>
        <v>462.44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6936.6</v>
      </c>
      <c r="O9" s="183">
        <f>'A.0_Tablas salariales SC'!$K$36</f>
        <v>20892.639999999996</v>
      </c>
      <c r="P9" s="183">
        <f>(O9+N9)*G9+'A.0_Tablas salariales SC'!$R$55*(100%-G9)</f>
        <v>2318.7400000000002</v>
      </c>
      <c r="Q9" s="184">
        <f>IF(D9=100,'A.0_Tablas salariales SC'!$D$215,IF(D9=150,'A.0_Tablas salariales SC'!$D$216,IF(D9=189,'A.0_Tablas salariales SC'!$D$217,IF(D9=400,'A.0_Tablas salariales SC'!$D$218,IF(D9=450,'A.0_Tablas salariales SC'!$D$219,IF(D9=401,'A.0_Tablas salariales SC'!$D$220,IF(D9=451,'A.0_Tablas salariales SC'!$D$221,'A.0_Tablas salariales SC'!$D$215)))))))</f>
        <v>0.34329999999999999</v>
      </c>
      <c r="R9" s="183">
        <f t="shared" si="3"/>
        <v>796.02344200000005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'A.1.0_TablaAntigüedad_Sub'!J10</f>
        <v>127</v>
      </c>
      <c r="I10" s="183">
        <f>'A.1.0_TablaAntigüedad_Sub'!X10</f>
        <v>462.44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6936.6</v>
      </c>
      <c r="O10" s="183">
        <f>'A.0_Tablas salariales SC'!$K$36</f>
        <v>20892.639999999996</v>
      </c>
      <c r="P10" s="183">
        <f>(O10+N10)*G10+'A.0_Tablas salariales SC'!$R$55*(100%-G10)</f>
        <v>2318.7400000000002</v>
      </c>
      <c r="Q10" s="184">
        <f>IF(D10=100,'A.0_Tablas salariales SC'!$D$215,IF(D10=150,'A.0_Tablas salariales SC'!$D$216,IF(D10=189,'A.0_Tablas salariales SC'!$D$217,IF(D10=400,'A.0_Tablas salariales SC'!$D$218,IF(D10=450,'A.0_Tablas salariales SC'!$D$219,IF(D10=401,'A.0_Tablas salariales SC'!$D$220,IF(D10=451,'A.0_Tablas salariales SC'!$D$221,'A.0_Tablas salariales SC'!$D$215)))))))</f>
        <v>0.34329999999999999</v>
      </c>
      <c r="R10" s="183">
        <f t="shared" si="3"/>
        <v>796.02344200000005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'A.1.0_TablaAntigüedad_Sub'!J11</f>
        <v>127</v>
      </c>
      <c r="I11" s="183">
        <f>'A.1.0_TablaAntigüedad_Sub'!X11</f>
        <v>462.44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6936.6</v>
      </c>
      <c r="O11" s="183">
        <f>'A.0_Tablas salariales SC'!$K$36</f>
        <v>20892.639999999996</v>
      </c>
      <c r="P11" s="183">
        <f>(O11+N11)*G11+'A.0_Tablas salariales SC'!$R$55*(100%-G11)</f>
        <v>2318.7400000000002</v>
      </c>
      <c r="Q11" s="184">
        <f>IF(D11=100,'A.0_Tablas salariales SC'!$D$215,IF(D11=150,'A.0_Tablas salariales SC'!$D$216,IF(D11=189,'A.0_Tablas salariales SC'!$D$217,IF(D11=400,'A.0_Tablas salariales SC'!$D$218,IF(D11=450,'A.0_Tablas salariales SC'!$D$219,IF(D11=401,'A.0_Tablas salariales SC'!$D$220,IF(D11=451,'A.0_Tablas salariales SC'!$D$221,'A.0_Tablas salariales SC'!$D$215)))))))</f>
        <v>0.34329999999999999</v>
      </c>
      <c r="R11" s="183">
        <f t="shared" si="3"/>
        <v>796.02344200000005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'A.1.0_TablaAntigüedad_Sub'!J12</f>
        <v>127</v>
      </c>
      <c r="I12" s="183">
        <f>'A.1.0_TablaAntigüedad_Sub'!X12</f>
        <v>462.44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6936.6</v>
      </c>
      <c r="O12" s="183">
        <f>'A.0_Tablas salariales SC'!$K$36</f>
        <v>20892.639999999996</v>
      </c>
      <c r="P12" s="183">
        <f>(O12+N12)*G12+'A.0_Tablas salariales SC'!$R$55*(100%-G12)</f>
        <v>2318.7400000000002</v>
      </c>
      <c r="Q12" s="184">
        <f>IF(D12=100,'A.0_Tablas salariales SC'!$D$215,IF(D12=150,'A.0_Tablas salariales SC'!$D$216,IF(D12=189,'A.0_Tablas salariales SC'!$D$217,IF(D12=400,'A.0_Tablas salariales SC'!$D$218,IF(D12=450,'A.0_Tablas salariales SC'!$D$219,IF(D12=401,'A.0_Tablas salariales SC'!$D$220,IF(D12=451,'A.0_Tablas salariales SC'!$D$221,'A.0_Tablas salariales SC'!$D$215)))))))</f>
        <v>0.34329999999999999</v>
      </c>
      <c r="R12" s="183">
        <f t="shared" si="3"/>
        <v>796.02344200000005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0</v>
      </c>
    </row>
    <row r="14" spans="1:20">
      <c r="A14" s="508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2">
        <f>'A.1. Plantilla_Subrogacion'!F14</f>
        <v>0</v>
      </c>
      <c r="H14" s="181">
        <f>'A.1.0_TablaAntigüedad_Sub'!J14</f>
        <v>127</v>
      </c>
      <c r="I14" s="183">
        <f>'A.1.0_TablaAntigüedad_Sub'!X14</f>
        <v>462.44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6936.6</v>
      </c>
      <c r="O14" s="183">
        <f>'A.0_Tablas salariales SC'!$K$37</f>
        <v>21953.889999999996</v>
      </c>
      <c r="P14" s="183">
        <f>(O14+N14)*G14+'A.0_Tablas salariales SC'!$R$55*(100%-G14)</f>
        <v>2318.7400000000002</v>
      </c>
      <c r="Q14" s="184">
        <f>IF(D14=100,'A.0_Tablas salariales SC'!$D$215,IF(D14=150,'A.0_Tablas salariales SC'!$D$216,IF(D14=189,'A.0_Tablas salariales SC'!$D$217,IF(D14=400,'A.0_Tablas salariales SC'!$D$218,IF(D14=450,'A.0_Tablas salariales SC'!$D$219,IF(D14=401,'A.0_Tablas salariales SC'!$D$220,IF(D14=451,'A.0_Tablas salariales SC'!$D$221,'A.0_Tablas salariales SC'!$D$215)))))))</f>
        <v>0.34329999999999999</v>
      </c>
      <c r="R14" s="183">
        <f t="shared" si="1"/>
        <v>796.02344200000005</v>
      </c>
      <c r="S14" s="183">
        <f t="shared" si="2"/>
        <v>0</v>
      </c>
      <c r="T14" s="179"/>
    </row>
    <row r="15" spans="1:20">
      <c r="A15" s="508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2">
        <f>'A.1. Plantilla_Subrogacion'!F15</f>
        <v>0</v>
      </c>
      <c r="H15" s="181">
        <f>'A.1.0_TablaAntigüedad_Sub'!J15</f>
        <v>127</v>
      </c>
      <c r="I15" s="183">
        <f>'A.1.0_TablaAntigüedad_Sub'!X15</f>
        <v>462.44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6936.6</v>
      </c>
      <c r="O15" s="183">
        <f>'A.0_Tablas salariales SC'!$K$37</f>
        <v>21953.889999999996</v>
      </c>
      <c r="P15" s="183">
        <f>(O15+N15)*G15+'A.0_Tablas salariales SC'!$R$55*(100%-G15)</f>
        <v>2318.7400000000002</v>
      </c>
      <c r="Q15" s="184">
        <f>IF(D15=100,'A.0_Tablas salariales SC'!$D$215,IF(D15=150,'A.0_Tablas salariales SC'!$D$216,IF(D15=189,'A.0_Tablas salariales SC'!$D$217,IF(D15=400,'A.0_Tablas salariales SC'!$D$218,IF(D15=450,'A.0_Tablas salariales SC'!$D$219,IF(D15=401,'A.0_Tablas salariales SC'!$D$220,IF(D15=451,'A.0_Tablas salariales SC'!$D$221,'A.0_Tablas salariales SC'!$D$215)))))))</f>
        <v>0.34329999999999999</v>
      </c>
      <c r="R15" s="183">
        <f t="shared" si="1"/>
        <v>796.02344200000005</v>
      </c>
      <c r="S15" s="183">
        <f t="shared" si="2"/>
        <v>0</v>
      </c>
      <c r="T15" s="179"/>
    </row>
    <row r="16" spans="1:20">
      <c r="A16" s="508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2">
        <f>'A.1. Plantilla_Subrogacion'!F16</f>
        <v>0</v>
      </c>
      <c r="H16" s="181">
        <f>'A.1.0_TablaAntigüedad_Sub'!J16</f>
        <v>127</v>
      </c>
      <c r="I16" s="183">
        <f>'A.1.0_TablaAntigüedad_Sub'!X16</f>
        <v>462.44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6936.6</v>
      </c>
      <c r="O16" s="183">
        <f>'A.0_Tablas salariales SC'!$K$37</f>
        <v>21953.889999999996</v>
      </c>
      <c r="P16" s="183">
        <f>(O16+N16)*G16+'A.0_Tablas salariales SC'!$R$55*(100%-G16)</f>
        <v>2318.7400000000002</v>
      </c>
      <c r="Q16" s="184">
        <f>IF(D16=100,'A.0_Tablas salariales SC'!$D$215,IF(D16=150,'A.0_Tablas salariales SC'!$D$216,IF(D16=189,'A.0_Tablas salariales SC'!$D$217,IF(D16=400,'A.0_Tablas salariales SC'!$D$218,IF(D16=450,'A.0_Tablas salariales SC'!$D$219,IF(D16=401,'A.0_Tablas salariales SC'!$D$220,IF(D16=451,'A.0_Tablas salariales SC'!$D$221,'A.0_Tablas salariales SC'!$D$215)))))))</f>
        <v>0.34329999999999999</v>
      </c>
      <c r="R16" s="183">
        <f t="shared" si="1"/>
        <v>796.02344200000005</v>
      </c>
      <c r="S16" s="183">
        <f t="shared" si="2"/>
        <v>0</v>
      </c>
      <c r="T16" s="179"/>
    </row>
    <row r="17" spans="1:20">
      <c r="A17" s="508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2">
        <f>'A.1. Plantilla_Subrogacion'!F17</f>
        <v>0</v>
      </c>
      <c r="H17" s="181">
        <f>'A.1.0_TablaAntigüedad_Sub'!J17</f>
        <v>127</v>
      </c>
      <c r="I17" s="183">
        <f>'A.1.0_TablaAntigüedad_Sub'!X17</f>
        <v>462.44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6936.6</v>
      </c>
      <c r="O17" s="183">
        <f>'A.0_Tablas salariales SC'!$K$37</f>
        <v>21953.889999999996</v>
      </c>
      <c r="P17" s="183">
        <f>(O17+N17)*G17+'A.0_Tablas salariales SC'!$R$55*(100%-G17)</f>
        <v>2318.7400000000002</v>
      </c>
      <c r="Q17" s="184">
        <f>IF(D17=100,'A.0_Tablas salariales SC'!$D$215,IF(D17=150,'A.0_Tablas salariales SC'!$D$216,IF(D17=189,'A.0_Tablas salariales SC'!$D$217,IF(D17=400,'A.0_Tablas salariales SC'!$D$218,IF(D17=450,'A.0_Tablas salariales SC'!$D$219,IF(D17=401,'A.0_Tablas salariales SC'!$D$220,IF(D17=451,'A.0_Tablas salariales SC'!$D$221,'A.0_Tablas salariales SC'!$D$215)))))))</f>
        <v>0.34329999999999999</v>
      </c>
      <c r="R17" s="183">
        <f t="shared" si="1"/>
        <v>796.02344200000005</v>
      </c>
      <c r="S17" s="183">
        <f t="shared" si="2"/>
        <v>0</v>
      </c>
      <c r="T17" s="179"/>
    </row>
    <row r="18" spans="1:20">
      <c r="A18" s="508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2">
        <f>'A.1. Plantilla_Subrogacion'!F18</f>
        <v>0</v>
      </c>
      <c r="H18" s="181">
        <f>'A.1.0_TablaAntigüedad_Sub'!J18</f>
        <v>127</v>
      </c>
      <c r="I18" s="183">
        <f>'A.1.0_TablaAntigüedad_Sub'!X18</f>
        <v>462.44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6936.6</v>
      </c>
      <c r="O18" s="183">
        <f>'A.0_Tablas salariales SC'!$K$37</f>
        <v>21953.889999999996</v>
      </c>
      <c r="P18" s="183">
        <f>(O18+N18)*G18+'A.0_Tablas salariales SC'!$R$55*(100%-G18)</f>
        <v>2318.7400000000002</v>
      </c>
      <c r="Q18" s="184">
        <f>IF(D18=100,'A.0_Tablas salariales SC'!$D$215,IF(D18=150,'A.0_Tablas salariales SC'!$D$216,IF(D18=189,'A.0_Tablas salariales SC'!$D$217,IF(D18=400,'A.0_Tablas salariales SC'!$D$218,IF(D18=450,'A.0_Tablas salariales SC'!$D$219,IF(D18=401,'A.0_Tablas salariales SC'!$D$220,IF(D18=451,'A.0_Tablas salariales SC'!$D$221,'A.0_Tablas salariales SC'!$D$215)))))))</f>
        <v>0.34329999999999999</v>
      </c>
      <c r="R18" s="183">
        <f t="shared" si="1"/>
        <v>796.02344200000005</v>
      </c>
      <c r="S18" s="183">
        <f t="shared" si="2"/>
        <v>0</v>
      </c>
      <c r="T18" s="179"/>
    </row>
    <row r="19" spans="1:20">
      <c r="A19" s="508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2">
        <f>'A.1. Plantilla_Subrogacion'!F19</f>
        <v>0</v>
      </c>
      <c r="H19" s="181">
        <f>'A.1.0_TablaAntigüedad_Sub'!J19</f>
        <v>127</v>
      </c>
      <c r="I19" s="183">
        <f>'A.1.0_TablaAntigüedad_Sub'!X19</f>
        <v>462.44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6936.6</v>
      </c>
      <c r="O19" s="183">
        <f>'A.0_Tablas salariales SC'!$K$37</f>
        <v>21953.889999999996</v>
      </c>
      <c r="P19" s="183">
        <f>(O19+N19)*G19+'A.0_Tablas salariales SC'!$R$55*(100%-G19)</f>
        <v>2318.7400000000002</v>
      </c>
      <c r="Q19" s="184">
        <f>IF(D19=100,'A.0_Tablas salariales SC'!$D$215,IF(D19=150,'A.0_Tablas salariales SC'!$D$216,IF(D19=189,'A.0_Tablas salariales SC'!$D$217,IF(D19=400,'A.0_Tablas salariales SC'!$D$218,IF(D19=450,'A.0_Tablas salariales SC'!$D$219,IF(D19=401,'A.0_Tablas salariales SC'!$D$220,IF(D19=451,'A.0_Tablas salariales SC'!$D$221,'A.0_Tablas salariales SC'!$D$215)))))))</f>
        <v>0.34329999999999999</v>
      </c>
      <c r="R19" s="183">
        <f t="shared" si="1"/>
        <v>796.02344200000005</v>
      </c>
      <c r="S19" s="183">
        <f t="shared" si="2"/>
        <v>0</v>
      </c>
      <c r="T19" s="179"/>
    </row>
    <row r="20" spans="1:20">
      <c r="A20" s="508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2">
        <f>'A.1. Plantilla_Subrogacion'!F20</f>
        <v>0</v>
      </c>
      <c r="H20" s="181">
        <f>'A.1.0_TablaAntigüedad_Sub'!J20</f>
        <v>127</v>
      </c>
      <c r="I20" s="183">
        <f>'A.1.0_TablaAntigüedad_Sub'!X20</f>
        <v>462.44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6936.6</v>
      </c>
      <c r="O20" s="183">
        <f>'A.0_Tablas salariales SC'!$K$37</f>
        <v>21953.889999999996</v>
      </c>
      <c r="P20" s="183">
        <f>(O20+N20)*G20+'A.0_Tablas salariales SC'!$R$55*(100%-G20)</f>
        <v>2318.7400000000002</v>
      </c>
      <c r="Q20" s="184">
        <f>IF(D20=100,'A.0_Tablas salariales SC'!$D$215,IF(D20=150,'A.0_Tablas salariales SC'!$D$216,IF(D20=189,'A.0_Tablas salariales SC'!$D$217,IF(D20=400,'A.0_Tablas salariales SC'!$D$218,IF(D20=450,'A.0_Tablas salariales SC'!$D$219,IF(D20=401,'A.0_Tablas salariales SC'!$D$220,IF(D20=451,'A.0_Tablas salariales SC'!$D$221,'A.0_Tablas salariales SC'!$D$215)))))))</f>
        <v>0.34329999999999999</v>
      </c>
      <c r="R20" s="183">
        <f t="shared" si="1"/>
        <v>796.02344200000005</v>
      </c>
      <c r="S20" s="183">
        <f t="shared" si="2"/>
        <v>0</v>
      </c>
      <c r="T20" s="179"/>
    </row>
    <row r="21" spans="1:20">
      <c r="A21" s="508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2">
        <f>'A.1. Plantilla_Subrogacion'!F21</f>
        <v>0</v>
      </c>
      <c r="H21" s="181">
        <f>'A.1.0_TablaAntigüedad_Sub'!J21</f>
        <v>127</v>
      </c>
      <c r="I21" s="183">
        <f>'A.1.0_TablaAntigüedad_Sub'!X21</f>
        <v>462.44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6936.6</v>
      </c>
      <c r="O21" s="183">
        <f>'A.0_Tablas salariales SC'!$K$37</f>
        <v>21953.889999999996</v>
      </c>
      <c r="P21" s="183">
        <f>(O21+N21)*G21+'A.0_Tablas salariales SC'!$R$55*(100%-G21)</f>
        <v>2318.7400000000002</v>
      </c>
      <c r="Q21" s="184">
        <f>IF(D21=100,'A.0_Tablas salariales SC'!$D$215,IF(D21=150,'A.0_Tablas salariales SC'!$D$216,IF(D21=189,'A.0_Tablas salariales SC'!$D$217,IF(D21=400,'A.0_Tablas salariales SC'!$D$218,IF(D21=450,'A.0_Tablas salariales SC'!$D$219,IF(D21=401,'A.0_Tablas salariales SC'!$D$220,IF(D21=451,'A.0_Tablas salariales SC'!$D$221,'A.0_Tablas salariales SC'!$D$215)))))))</f>
        <v>0.34329999999999999</v>
      </c>
      <c r="R21" s="183">
        <f t="shared" si="1"/>
        <v>796.02344200000005</v>
      </c>
      <c r="S21" s="183">
        <f t="shared" si="2"/>
        <v>0</v>
      </c>
      <c r="T21" s="179"/>
    </row>
    <row r="22" spans="1:20">
      <c r="A22" s="508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2">
        <f>'A.1. Plantilla_Subrogacion'!F22</f>
        <v>0</v>
      </c>
      <c r="H22" s="181">
        <f>'A.1.0_TablaAntigüedad_Sub'!J22</f>
        <v>127</v>
      </c>
      <c r="I22" s="183">
        <f>'A.1.0_TablaAntigüedad_Sub'!X22</f>
        <v>462.44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6936.6</v>
      </c>
      <c r="O22" s="183">
        <f>'A.0_Tablas salariales SC'!$K$37</f>
        <v>21953.889999999996</v>
      </c>
      <c r="P22" s="183">
        <f>(O22+N22)*G22+'A.0_Tablas salariales SC'!$R$55*(100%-G22)</f>
        <v>2318.7400000000002</v>
      </c>
      <c r="Q22" s="184">
        <f>IF(D22=100,'A.0_Tablas salariales SC'!$D$215,IF(D22=150,'A.0_Tablas salariales SC'!$D$216,IF(D22=189,'A.0_Tablas salariales SC'!$D$217,IF(D22=400,'A.0_Tablas salariales SC'!$D$218,IF(D22=450,'A.0_Tablas salariales SC'!$D$219,IF(D22=401,'A.0_Tablas salariales SC'!$D$220,IF(D22=451,'A.0_Tablas salariales SC'!$D$221,'A.0_Tablas salariales SC'!$D$215)))))))</f>
        <v>0.34329999999999999</v>
      </c>
      <c r="R22" s="183">
        <f t="shared" si="1"/>
        <v>796.02344200000005</v>
      </c>
      <c r="S22" s="183">
        <f t="shared" si="2"/>
        <v>0</v>
      </c>
      <c r="T22" s="179"/>
    </row>
    <row r="23" spans="1:20">
      <c r="A23" s="508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2">
        <f>'A.1. Plantilla_Subrogacion'!F23</f>
        <v>0</v>
      </c>
      <c r="H23" s="181">
        <f>'A.1.0_TablaAntigüedad_Sub'!J23</f>
        <v>127</v>
      </c>
      <c r="I23" s="183">
        <f>'A.1.0_TablaAntigüedad_Sub'!X23</f>
        <v>462.44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6936.6</v>
      </c>
      <c r="O23" s="183">
        <f>'A.0_Tablas salariales SC'!$K$37</f>
        <v>21953.889999999996</v>
      </c>
      <c r="P23" s="183">
        <f>(O23+N23)*G23+'A.0_Tablas salariales SC'!$R$55*(100%-G23)</f>
        <v>2318.7400000000002</v>
      </c>
      <c r="Q23" s="184">
        <f>IF(D23=100,'A.0_Tablas salariales SC'!$D$215,IF(D23=150,'A.0_Tablas salariales SC'!$D$216,IF(D23=189,'A.0_Tablas salariales SC'!$D$217,IF(D23=400,'A.0_Tablas salariales SC'!$D$218,IF(D23=450,'A.0_Tablas salariales SC'!$D$219,IF(D23=401,'A.0_Tablas salariales SC'!$D$220,IF(D23=451,'A.0_Tablas salariales SC'!$D$221,'A.0_Tablas salariales SC'!$D$215)))))))</f>
        <v>0.34329999999999999</v>
      </c>
      <c r="R23" s="183">
        <f t="shared" si="1"/>
        <v>796.02344200000005</v>
      </c>
      <c r="S23" s="183">
        <f t="shared" si="2"/>
        <v>0</v>
      </c>
      <c r="T23" s="179"/>
    </row>
    <row r="24" spans="1:20">
      <c r="A24" s="508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2">
        <f>'A.1. Plantilla_Subrogacion'!F24</f>
        <v>0</v>
      </c>
      <c r="H24" s="181">
        <f>'A.1.0_TablaAntigüedad_Sub'!J24</f>
        <v>127</v>
      </c>
      <c r="I24" s="183">
        <f>'A.1.0_TablaAntigüedad_Sub'!X24</f>
        <v>462.44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6936.6</v>
      </c>
      <c r="O24" s="183">
        <f>'A.0_Tablas salariales SC'!$K$37</f>
        <v>21953.889999999996</v>
      </c>
      <c r="P24" s="183">
        <f>(O24+N24)*G24+'A.0_Tablas salariales SC'!$R$55*(100%-G24)</f>
        <v>2318.7400000000002</v>
      </c>
      <c r="Q24" s="184">
        <f>IF(D24=100,'A.0_Tablas salariales SC'!$D$215,IF(D24=150,'A.0_Tablas salariales SC'!$D$216,IF(D24=189,'A.0_Tablas salariales SC'!$D$217,IF(D24=400,'A.0_Tablas salariales SC'!$D$218,IF(D24=450,'A.0_Tablas salariales SC'!$D$219,IF(D24=401,'A.0_Tablas salariales SC'!$D$220,IF(D24=451,'A.0_Tablas salariales SC'!$D$221,'A.0_Tablas salariales SC'!$D$215)))))))</f>
        <v>0.34329999999999999</v>
      </c>
      <c r="R24" s="183">
        <f t="shared" si="1"/>
        <v>796.02344200000005</v>
      </c>
      <c r="S24" s="183">
        <f t="shared" si="2"/>
        <v>0</v>
      </c>
      <c r="T24" s="179"/>
    </row>
    <row r="25" spans="1:20">
      <c r="A25" s="508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2">
        <f>'A.1. Plantilla_Subrogacion'!F25</f>
        <v>0</v>
      </c>
      <c r="H25" s="181">
        <f>'A.1.0_TablaAntigüedad_Sub'!J25</f>
        <v>127</v>
      </c>
      <c r="I25" s="183">
        <f>'A.1.0_TablaAntigüedad_Sub'!X25</f>
        <v>462.44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6936.6</v>
      </c>
      <c r="O25" s="183">
        <f>'A.0_Tablas salariales SC'!$K$37</f>
        <v>21953.889999999996</v>
      </c>
      <c r="P25" s="183">
        <f>(O25+N25)*G25+'A.0_Tablas salariales SC'!$R$55*(100%-G25)</f>
        <v>2318.7400000000002</v>
      </c>
      <c r="Q25" s="184">
        <f>IF(D25=100,'A.0_Tablas salariales SC'!$D$215,IF(D25=150,'A.0_Tablas salariales SC'!$D$216,IF(D25=189,'A.0_Tablas salariales SC'!$D$217,IF(D25=400,'A.0_Tablas salariales SC'!$D$218,IF(D25=450,'A.0_Tablas salariales SC'!$D$219,IF(D25=401,'A.0_Tablas salariales SC'!$D$220,IF(D25=451,'A.0_Tablas salariales SC'!$D$221,'A.0_Tablas salariales SC'!$D$215)))))))</f>
        <v>0.34329999999999999</v>
      </c>
      <c r="R25" s="183">
        <f t="shared" si="1"/>
        <v>796.02344200000005</v>
      </c>
      <c r="S25" s="183">
        <f t="shared" si="2"/>
        <v>0</v>
      </c>
      <c r="T25" s="179"/>
    </row>
    <row r="26" spans="1:20">
      <c r="A26" s="508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2">
        <f>'A.1. Plantilla_Subrogacion'!F26</f>
        <v>0</v>
      </c>
      <c r="H26" s="181">
        <f>'A.1.0_TablaAntigüedad_Sub'!J26</f>
        <v>127</v>
      </c>
      <c r="I26" s="183">
        <f>'A.1.0_TablaAntigüedad_Sub'!X26</f>
        <v>462.44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6936.6</v>
      </c>
      <c r="O26" s="183">
        <f>'A.0_Tablas salariales SC'!$K$37</f>
        <v>21953.889999999996</v>
      </c>
      <c r="P26" s="183">
        <f>(O26+N26)*G26+'A.0_Tablas salariales SC'!$R$55*(100%-G26)</f>
        <v>2318.7400000000002</v>
      </c>
      <c r="Q26" s="184">
        <f>IF(D26=100,'A.0_Tablas salariales SC'!$D$215,IF(D26=150,'A.0_Tablas salariales SC'!$D$216,IF(D26=189,'A.0_Tablas salariales SC'!$D$217,IF(D26=400,'A.0_Tablas salariales SC'!$D$218,IF(D26=450,'A.0_Tablas salariales SC'!$D$219,IF(D26=401,'A.0_Tablas salariales SC'!$D$220,IF(D26=451,'A.0_Tablas salariales SC'!$D$221,'A.0_Tablas salariales SC'!$D$215)))))))</f>
        <v>0.34329999999999999</v>
      </c>
      <c r="R26" s="183">
        <f t="shared" si="1"/>
        <v>796.02344200000005</v>
      </c>
      <c r="S26" s="183">
        <f t="shared" si="2"/>
        <v>0</v>
      </c>
      <c r="T26" s="179"/>
    </row>
    <row r="27" spans="1:20">
      <c r="A27" s="508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2">
        <f>'A.1. Plantilla_Subrogacion'!F27</f>
        <v>0</v>
      </c>
      <c r="H27" s="181">
        <f>'A.1.0_TablaAntigüedad_Sub'!J27</f>
        <v>127</v>
      </c>
      <c r="I27" s="183">
        <f>'A.1.0_TablaAntigüedad_Sub'!X27</f>
        <v>462.44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6936.6</v>
      </c>
      <c r="O27" s="183">
        <f>'A.0_Tablas salariales SC'!$K$37</f>
        <v>21953.889999999996</v>
      </c>
      <c r="P27" s="183">
        <f>(O27+N27)*G27+'A.0_Tablas salariales SC'!$R$55*(100%-G27)</f>
        <v>2318.7400000000002</v>
      </c>
      <c r="Q27" s="184">
        <f>IF(D27=100,'A.0_Tablas salariales SC'!$D$215,IF(D27=150,'A.0_Tablas salariales SC'!$D$216,IF(D27=189,'A.0_Tablas salariales SC'!$D$217,IF(D27=400,'A.0_Tablas salariales SC'!$D$218,IF(D27=450,'A.0_Tablas salariales SC'!$D$219,IF(D27=401,'A.0_Tablas salariales SC'!$D$220,IF(D27=451,'A.0_Tablas salariales SC'!$D$221,'A.0_Tablas salariales SC'!$D$215)))))))</f>
        <v>0.34329999999999999</v>
      </c>
      <c r="R27" s="183">
        <f t="shared" si="1"/>
        <v>796.02344200000005</v>
      </c>
      <c r="S27" s="183">
        <f t="shared" si="2"/>
        <v>0</v>
      </c>
      <c r="T27" s="179"/>
    </row>
    <row r="28" spans="1:20">
      <c r="A28" s="508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2">
        <f>'A.1. Plantilla_Subrogacion'!F28</f>
        <v>0</v>
      </c>
      <c r="H28" s="181">
        <f>'A.1.0_TablaAntigüedad_Sub'!J28</f>
        <v>127</v>
      </c>
      <c r="I28" s="183">
        <f>'A.1.0_TablaAntigüedad_Sub'!X28</f>
        <v>462.44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6936.6</v>
      </c>
      <c r="O28" s="183">
        <f>'A.0_Tablas salariales SC'!$K$37</f>
        <v>21953.889999999996</v>
      </c>
      <c r="P28" s="183">
        <f>(O28+N28)*G28+'A.0_Tablas salariales SC'!$R$55*(100%-G28)</f>
        <v>2318.7400000000002</v>
      </c>
      <c r="Q28" s="184">
        <f>IF(D28=100,'A.0_Tablas salariales SC'!$D$215,IF(D28=150,'A.0_Tablas salariales SC'!$D$216,IF(D28=189,'A.0_Tablas salariales SC'!$D$217,IF(D28=400,'A.0_Tablas salariales SC'!$D$218,IF(D28=450,'A.0_Tablas salariales SC'!$D$219,IF(D28=401,'A.0_Tablas salariales SC'!$D$220,IF(D28=451,'A.0_Tablas salariales SC'!$D$221,'A.0_Tablas salariales SC'!$D$215)))))))</f>
        <v>0.34329999999999999</v>
      </c>
      <c r="R28" s="183">
        <f t="shared" si="1"/>
        <v>796.02344200000005</v>
      </c>
      <c r="S28" s="183">
        <f t="shared" si="2"/>
        <v>0</v>
      </c>
      <c r="T28" s="179"/>
    </row>
    <row r="29" spans="1:20">
      <c r="A29" s="508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2">
        <f>'A.1. Plantilla_Subrogacion'!F29</f>
        <v>0</v>
      </c>
      <c r="H29" s="181">
        <f>'A.1.0_TablaAntigüedad_Sub'!J29</f>
        <v>127</v>
      </c>
      <c r="I29" s="183">
        <f>'A.1.0_TablaAntigüedad_Sub'!X29</f>
        <v>462.44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6936.6</v>
      </c>
      <c r="O29" s="183">
        <f>'A.0_Tablas salariales SC'!$K$37</f>
        <v>21953.889999999996</v>
      </c>
      <c r="P29" s="183">
        <f>(O29+N29)*G29+'A.0_Tablas salariales SC'!$R$55*(100%-G29)</f>
        <v>2318.7400000000002</v>
      </c>
      <c r="Q29" s="184">
        <f>IF(D29=100,'A.0_Tablas salariales SC'!$D$215,IF(D29=150,'A.0_Tablas salariales SC'!$D$216,IF(D29=189,'A.0_Tablas salariales SC'!$D$217,IF(D29=400,'A.0_Tablas salariales SC'!$D$218,IF(D29=450,'A.0_Tablas salariales SC'!$D$219,IF(D29=401,'A.0_Tablas salariales SC'!$D$220,IF(D29=451,'A.0_Tablas salariales SC'!$D$221,'A.0_Tablas salariales SC'!$D$215)))))))</f>
        <v>0.34329999999999999</v>
      </c>
      <c r="R29" s="183">
        <f t="shared" si="1"/>
        <v>796.02344200000005</v>
      </c>
      <c r="S29" s="183">
        <f t="shared" si="2"/>
        <v>0</v>
      </c>
      <c r="T29" s="179"/>
    </row>
    <row r="30" spans="1:20">
      <c r="A30" s="508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2">
        <f>'A.1. Plantilla_Subrogacion'!F30</f>
        <v>0</v>
      </c>
      <c r="H30" s="181">
        <f>'A.1.0_TablaAntigüedad_Sub'!J30</f>
        <v>127</v>
      </c>
      <c r="I30" s="183">
        <f>'A.1.0_TablaAntigüedad_Sub'!X30</f>
        <v>462.44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6936.6</v>
      </c>
      <c r="O30" s="183">
        <f>'A.0_Tablas salariales SC'!$K$37</f>
        <v>21953.889999999996</v>
      </c>
      <c r="P30" s="183">
        <f>(O30+N30)*G30+'A.0_Tablas salariales SC'!$R$55*(100%-G30)</f>
        <v>2318.7400000000002</v>
      </c>
      <c r="Q30" s="184">
        <f>IF(D30=100,'A.0_Tablas salariales SC'!$D$215,IF(D30=150,'A.0_Tablas salariales SC'!$D$216,IF(D30=189,'A.0_Tablas salariales SC'!$D$217,IF(D30=400,'A.0_Tablas salariales SC'!$D$218,IF(D30=450,'A.0_Tablas salariales SC'!$D$219,IF(D30=401,'A.0_Tablas salariales SC'!$D$220,IF(D30=451,'A.0_Tablas salariales SC'!$D$221,'A.0_Tablas salariales SC'!$D$215)))))))</f>
        <v>0.34329999999999999</v>
      </c>
      <c r="R30" s="183">
        <f t="shared" si="1"/>
        <v>796.02344200000005</v>
      </c>
      <c r="S30" s="183">
        <f t="shared" si="2"/>
        <v>0</v>
      </c>
      <c r="T30" s="179"/>
    </row>
    <row r="31" spans="1:20">
      <c r="A31" s="508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2">
        <f>'A.1. Plantilla_Subrogacion'!F31</f>
        <v>0</v>
      </c>
      <c r="H31" s="181">
        <f>'A.1.0_TablaAntigüedad_Sub'!J31</f>
        <v>127</v>
      </c>
      <c r="I31" s="183">
        <f>'A.1.0_TablaAntigüedad_Sub'!X31</f>
        <v>462.44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6936.6</v>
      </c>
      <c r="O31" s="183">
        <f>'A.0_Tablas salariales SC'!$K$37</f>
        <v>21953.889999999996</v>
      </c>
      <c r="P31" s="183">
        <f>(O31+N31)*G31+'A.0_Tablas salariales SC'!$R$55*(100%-G31)</f>
        <v>2318.7400000000002</v>
      </c>
      <c r="Q31" s="184">
        <f>IF(D31=100,'A.0_Tablas salariales SC'!$D$215,IF(D31=150,'A.0_Tablas salariales SC'!$D$216,IF(D31=189,'A.0_Tablas salariales SC'!$D$217,IF(D31=400,'A.0_Tablas salariales SC'!$D$218,IF(D31=450,'A.0_Tablas salariales SC'!$D$219,IF(D31=401,'A.0_Tablas salariales SC'!$D$220,IF(D31=451,'A.0_Tablas salariales SC'!$D$221,'A.0_Tablas salariales SC'!$D$215)))))))</f>
        <v>0.34329999999999999</v>
      </c>
      <c r="R31" s="183">
        <f t="shared" si="1"/>
        <v>796.02344200000005</v>
      </c>
      <c r="S31" s="183">
        <f t="shared" si="2"/>
        <v>0</v>
      </c>
      <c r="T31" s="179"/>
    </row>
    <row r="32" spans="1:20">
      <c r="A32" s="508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2">
        <f>'A.1. Plantilla_Subrogacion'!F32</f>
        <v>0</v>
      </c>
      <c r="H32" s="181">
        <f>'A.1.0_TablaAntigüedad_Sub'!J32</f>
        <v>127</v>
      </c>
      <c r="I32" s="183">
        <f>'A.1.0_TablaAntigüedad_Sub'!X32</f>
        <v>462.44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6936.6</v>
      </c>
      <c r="O32" s="183">
        <f>'A.0_Tablas salariales SC'!$K$37</f>
        <v>21953.889999999996</v>
      </c>
      <c r="P32" s="183">
        <f>(O32+N32)*G32+'A.0_Tablas salariales SC'!$R$55*(100%-G32)</f>
        <v>2318.7400000000002</v>
      </c>
      <c r="Q32" s="184">
        <f>IF(D32=100,'A.0_Tablas salariales SC'!$D$215,IF(D32=150,'A.0_Tablas salariales SC'!$D$216,IF(D32=189,'A.0_Tablas salariales SC'!$D$217,IF(D32=400,'A.0_Tablas salariales SC'!$D$218,IF(D32=450,'A.0_Tablas salariales SC'!$D$219,IF(D32=401,'A.0_Tablas salariales SC'!$D$220,IF(D32=451,'A.0_Tablas salariales SC'!$D$221,'A.0_Tablas salariales SC'!$D$215)))))))</f>
        <v>0.34329999999999999</v>
      </c>
      <c r="R32" s="183">
        <f t="shared" si="1"/>
        <v>796.02344200000005</v>
      </c>
      <c r="S32" s="183">
        <f t="shared" si="2"/>
        <v>0</v>
      </c>
      <c r="T32" s="179"/>
    </row>
    <row r="33" spans="1:20">
      <c r="A33" s="508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2">
        <f>'A.1. Plantilla_Subrogacion'!F33</f>
        <v>0</v>
      </c>
      <c r="H33" s="181">
        <f>'A.1.0_TablaAntigüedad_Sub'!J33</f>
        <v>127</v>
      </c>
      <c r="I33" s="183">
        <f>'A.1.0_TablaAntigüedad_Sub'!X33</f>
        <v>462.44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6936.6</v>
      </c>
      <c r="O33" s="183">
        <f>'A.0_Tablas salariales SC'!$K$37</f>
        <v>21953.889999999996</v>
      </c>
      <c r="P33" s="183">
        <f>(O33+N33)*G33+'A.0_Tablas salariales SC'!$R$55*(100%-G33)</f>
        <v>2318.7400000000002</v>
      </c>
      <c r="Q33" s="184">
        <f>IF(D33=100,'A.0_Tablas salariales SC'!$D$215,IF(D33=150,'A.0_Tablas salariales SC'!$D$216,IF(D33=189,'A.0_Tablas salariales SC'!$D$217,IF(D33=400,'A.0_Tablas salariales SC'!$D$218,IF(D33=450,'A.0_Tablas salariales SC'!$D$219,IF(D33=401,'A.0_Tablas salariales SC'!$D$220,IF(D33=451,'A.0_Tablas salariales SC'!$D$221,'A.0_Tablas salariales SC'!$D$215)))))))</f>
        <v>0.34329999999999999</v>
      </c>
      <c r="R33" s="183">
        <f t="shared" si="1"/>
        <v>796.02344200000005</v>
      </c>
      <c r="S33" s="183">
        <f t="shared" si="2"/>
        <v>0</v>
      </c>
      <c r="T33" s="179"/>
    </row>
    <row r="34" spans="1:20">
      <c r="A34" s="508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2">
        <f>'A.1. Plantilla_Subrogacion'!F34</f>
        <v>0</v>
      </c>
      <c r="H34" s="181">
        <f>'A.1.0_TablaAntigüedad_Sub'!J34</f>
        <v>127</v>
      </c>
      <c r="I34" s="183">
        <f>'A.1.0_TablaAntigüedad_Sub'!X34</f>
        <v>462.44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6936.6</v>
      </c>
      <c r="O34" s="183">
        <f>'A.0_Tablas salariales SC'!$K$37</f>
        <v>21953.889999999996</v>
      </c>
      <c r="P34" s="183">
        <f>(O34+N34)*G34+'A.0_Tablas salariales SC'!$R$55*(100%-G34)</f>
        <v>2318.7400000000002</v>
      </c>
      <c r="Q34" s="184">
        <f>IF(D34=100,'A.0_Tablas salariales SC'!$D$215,IF(D34=150,'A.0_Tablas salariales SC'!$D$216,IF(D34=189,'A.0_Tablas salariales SC'!$D$217,IF(D34=400,'A.0_Tablas salariales SC'!$D$218,IF(D34=450,'A.0_Tablas salariales SC'!$D$219,IF(D34=401,'A.0_Tablas salariales SC'!$D$220,IF(D34=451,'A.0_Tablas salariales SC'!$D$221,'A.0_Tablas salariales SC'!$D$215)))))))</f>
        <v>0.34329999999999999</v>
      </c>
      <c r="R34" s="183">
        <f t="shared" si="1"/>
        <v>796.02344200000005</v>
      </c>
      <c r="S34" s="183">
        <f t="shared" si="2"/>
        <v>0</v>
      </c>
      <c r="T34" s="179"/>
    </row>
    <row r="35" spans="1:20">
      <c r="A35" s="508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2">
        <f>'A.1. Plantilla_Subrogacion'!F35</f>
        <v>0</v>
      </c>
      <c r="H35" s="181">
        <f>'A.1.0_TablaAntigüedad_Sub'!J35</f>
        <v>127</v>
      </c>
      <c r="I35" s="183">
        <f>'A.1.0_TablaAntigüedad_Sub'!X35</f>
        <v>462.44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6936.6</v>
      </c>
      <c r="O35" s="183">
        <f>'A.0_Tablas salariales SC'!$K$37</f>
        <v>21953.889999999996</v>
      </c>
      <c r="P35" s="183">
        <f>(O35+N35)*G35+'A.0_Tablas salariales SC'!$R$55*(100%-G35)</f>
        <v>2318.7400000000002</v>
      </c>
      <c r="Q35" s="184">
        <f>IF(D35=100,'A.0_Tablas salariales SC'!$D$215,IF(D35=150,'A.0_Tablas salariales SC'!$D$216,IF(D35=189,'A.0_Tablas salariales SC'!$D$217,IF(D35=400,'A.0_Tablas salariales SC'!$D$218,IF(D35=450,'A.0_Tablas salariales SC'!$D$219,IF(D35=401,'A.0_Tablas salariales SC'!$D$220,IF(D35=451,'A.0_Tablas salariales SC'!$D$221,'A.0_Tablas salariales SC'!$D$215)))))))</f>
        <v>0.34329999999999999</v>
      </c>
      <c r="R35" s="183">
        <f t="shared" si="1"/>
        <v>796.02344200000005</v>
      </c>
      <c r="S35" s="183">
        <f t="shared" si="2"/>
        <v>0</v>
      </c>
      <c r="T35" s="179"/>
    </row>
    <row r="36" spans="1:20">
      <c r="A36" s="508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2">
        <f>'A.1. Plantilla_Subrogacion'!F36</f>
        <v>0</v>
      </c>
      <c r="H36" s="181">
        <f>'A.1.0_TablaAntigüedad_Sub'!J36</f>
        <v>127</v>
      </c>
      <c r="I36" s="183">
        <f>'A.1.0_TablaAntigüedad_Sub'!X36</f>
        <v>462.44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6936.6</v>
      </c>
      <c r="O36" s="183">
        <f>'A.0_Tablas salariales SC'!$K$37</f>
        <v>21953.889999999996</v>
      </c>
      <c r="P36" s="183">
        <f>(O36+N36)*G36+'A.0_Tablas salariales SC'!$R$55*(100%-G36)</f>
        <v>2318.7400000000002</v>
      </c>
      <c r="Q36" s="184">
        <f>IF(D36=100,'A.0_Tablas salariales SC'!$D$215,IF(D36=150,'A.0_Tablas salariales SC'!$D$216,IF(D36=189,'A.0_Tablas salariales SC'!$D$217,IF(D36=400,'A.0_Tablas salariales SC'!$D$218,IF(D36=450,'A.0_Tablas salariales SC'!$D$219,IF(D36=401,'A.0_Tablas salariales SC'!$D$220,IF(D36=451,'A.0_Tablas salariales SC'!$D$221,'A.0_Tablas salariales SC'!$D$215)))))))</f>
        <v>0.34329999999999999</v>
      </c>
      <c r="R36" s="183">
        <f t="shared" si="1"/>
        <v>796.02344200000005</v>
      </c>
      <c r="S36" s="183">
        <f t="shared" si="2"/>
        <v>0</v>
      </c>
      <c r="T36" s="179"/>
    </row>
    <row r="37" spans="1:20">
      <c r="A37" s="508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2">
        <f>'A.1. Plantilla_Subrogacion'!F37</f>
        <v>0</v>
      </c>
      <c r="H37" s="181">
        <f>'A.1.0_TablaAntigüedad_Sub'!J37</f>
        <v>127</v>
      </c>
      <c r="I37" s="183">
        <f>'A.1.0_TablaAntigüedad_Sub'!X37</f>
        <v>462.44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6936.6</v>
      </c>
      <c r="O37" s="183">
        <f>'A.0_Tablas salariales SC'!$K$37</f>
        <v>21953.889999999996</v>
      </c>
      <c r="P37" s="183">
        <f>(O37+N37)*G37+'A.0_Tablas salariales SC'!$R$55*(100%-G37)</f>
        <v>2318.7400000000002</v>
      </c>
      <c r="Q37" s="184">
        <f>IF(D37=100,'A.0_Tablas salariales SC'!$D$215,IF(D37=150,'A.0_Tablas salariales SC'!$D$216,IF(D37=189,'A.0_Tablas salariales SC'!$D$217,IF(D37=400,'A.0_Tablas salariales SC'!$D$218,IF(D37=450,'A.0_Tablas salariales SC'!$D$219,IF(D37=401,'A.0_Tablas salariales SC'!$D$220,IF(D37=451,'A.0_Tablas salariales SC'!$D$221,'A.0_Tablas salariales SC'!$D$215)))))))</f>
        <v>0.34329999999999999</v>
      </c>
      <c r="R37" s="183">
        <f t="shared" si="1"/>
        <v>796.02344200000005</v>
      </c>
      <c r="S37" s="183">
        <f t="shared" si="2"/>
        <v>0</v>
      </c>
      <c r="T37" s="179"/>
    </row>
    <row r="38" spans="1:20">
      <c r="A38" s="508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2">
        <f>'A.1. Plantilla_Subrogacion'!F38</f>
        <v>0</v>
      </c>
      <c r="H38" s="181">
        <f>'A.1.0_TablaAntigüedad_Sub'!J38</f>
        <v>127</v>
      </c>
      <c r="I38" s="183">
        <f>'A.1.0_TablaAntigüedad_Sub'!X38</f>
        <v>462.44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6936.6</v>
      </c>
      <c r="O38" s="183">
        <f>'A.0_Tablas salariales SC'!$K$37</f>
        <v>21953.889999999996</v>
      </c>
      <c r="P38" s="183">
        <f>(O38+N38)*G38+'A.0_Tablas salariales SC'!$R$55*(100%-G38)</f>
        <v>2318.7400000000002</v>
      </c>
      <c r="Q38" s="184">
        <f>IF(D38=100,'A.0_Tablas salariales SC'!$D$215,IF(D38=150,'A.0_Tablas salariales SC'!$D$216,IF(D38=189,'A.0_Tablas salariales SC'!$D$217,IF(D38=400,'A.0_Tablas salariales SC'!$D$218,IF(D38=450,'A.0_Tablas salariales SC'!$D$219,IF(D38=401,'A.0_Tablas salariales SC'!$D$220,IF(D38=451,'A.0_Tablas salariales SC'!$D$221,'A.0_Tablas salariales SC'!$D$215)))))))</f>
        <v>0.34329999999999999</v>
      </c>
      <c r="R38" s="183">
        <f t="shared" si="1"/>
        <v>796.02344200000005</v>
      </c>
      <c r="S38" s="183">
        <f t="shared" si="2"/>
        <v>0</v>
      </c>
      <c r="T38" s="179"/>
    </row>
    <row r="39" spans="1:20">
      <c r="A39" s="508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2">
        <f>'A.1. Plantilla_Subrogacion'!F39</f>
        <v>0</v>
      </c>
      <c r="H39" s="181">
        <f>'A.1.0_TablaAntigüedad_Sub'!J39</f>
        <v>127</v>
      </c>
      <c r="I39" s="183">
        <f>'A.1.0_TablaAntigüedad_Sub'!X39</f>
        <v>462.44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6936.6</v>
      </c>
      <c r="O39" s="183">
        <f>'A.0_Tablas salariales SC'!$K$37</f>
        <v>21953.889999999996</v>
      </c>
      <c r="P39" s="183">
        <f>(O39+N39)*G39+'A.0_Tablas salariales SC'!$R$55*(100%-G39)</f>
        <v>2318.7400000000002</v>
      </c>
      <c r="Q39" s="184">
        <f>IF(D39=100,'A.0_Tablas salariales SC'!$D$215,IF(D39=150,'A.0_Tablas salariales SC'!$D$216,IF(D39=189,'A.0_Tablas salariales SC'!$D$217,IF(D39=400,'A.0_Tablas salariales SC'!$D$218,IF(D39=450,'A.0_Tablas salariales SC'!$D$219,IF(D39=401,'A.0_Tablas salariales SC'!$D$220,IF(D39=451,'A.0_Tablas salariales SC'!$D$221,'A.0_Tablas salariales SC'!$D$215)))))))</f>
        <v>0.34329999999999999</v>
      </c>
      <c r="R39" s="183">
        <f t="shared" si="1"/>
        <v>796.02344200000005</v>
      </c>
      <c r="S39" s="183">
        <f t="shared" si="2"/>
        <v>0</v>
      </c>
      <c r="T39" s="179"/>
    </row>
    <row r="40" spans="1:20">
      <c r="A40" s="508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2">
        <f>'A.1. Plantilla_Subrogacion'!F40</f>
        <v>0</v>
      </c>
      <c r="H40" s="181">
        <f>'A.1.0_TablaAntigüedad_Sub'!J40</f>
        <v>127</v>
      </c>
      <c r="I40" s="183">
        <f>'A.1.0_TablaAntigüedad_Sub'!X40</f>
        <v>462.44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6936.6</v>
      </c>
      <c r="O40" s="183">
        <f>'A.0_Tablas salariales SC'!$K$37</f>
        <v>21953.889999999996</v>
      </c>
      <c r="P40" s="183">
        <f>(O40+N40)*G40+'A.0_Tablas salariales SC'!$R$55*(100%-G40)</f>
        <v>2318.7400000000002</v>
      </c>
      <c r="Q40" s="184">
        <f>IF(D40=100,'A.0_Tablas salariales SC'!$D$215,IF(D40=150,'A.0_Tablas salariales SC'!$D$216,IF(D40=189,'A.0_Tablas salariales SC'!$D$217,IF(D40=400,'A.0_Tablas salariales SC'!$D$218,IF(D40=450,'A.0_Tablas salariales SC'!$D$219,IF(D40=401,'A.0_Tablas salariales SC'!$D$220,IF(D40=451,'A.0_Tablas salariales SC'!$D$221,'A.0_Tablas salariales SC'!$D$215)))))))</f>
        <v>0.34329999999999999</v>
      </c>
      <c r="R40" s="183">
        <f t="shared" si="1"/>
        <v>796.02344200000005</v>
      </c>
      <c r="S40" s="183">
        <f t="shared" si="2"/>
        <v>0</v>
      </c>
      <c r="T40" s="179"/>
    </row>
    <row r="41" spans="1:20">
      <c r="A41" s="508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2">
        <f>'A.1. Plantilla_Subrogacion'!F41</f>
        <v>0</v>
      </c>
      <c r="H41" s="181">
        <f>'A.1.0_TablaAntigüedad_Sub'!J41</f>
        <v>127</v>
      </c>
      <c r="I41" s="183">
        <f>'A.1.0_TablaAntigüedad_Sub'!X41</f>
        <v>462.44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6936.6</v>
      </c>
      <c r="O41" s="183">
        <f>'A.0_Tablas salariales SC'!$K$37</f>
        <v>21953.889999999996</v>
      </c>
      <c r="P41" s="183">
        <f>(O41+N41)*G41+'A.0_Tablas salariales SC'!$R$55*(100%-G41)</f>
        <v>2318.7400000000002</v>
      </c>
      <c r="Q41" s="184">
        <f>IF(D41=100,'A.0_Tablas salariales SC'!$D$215,IF(D41=150,'A.0_Tablas salariales SC'!$D$216,IF(D41=189,'A.0_Tablas salariales SC'!$D$217,IF(D41=400,'A.0_Tablas salariales SC'!$D$218,IF(D41=450,'A.0_Tablas salariales SC'!$D$219,IF(D41=401,'A.0_Tablas salariales SC'!$D$220,IF(D41=451,'A.0_Tablas salariales SC'!$D$221,'A.0_Tablas salariales SC'!$D$215)))))))</f>
        <v>0.34329999999999999</v>
      </c>
      <c r="R41" s="183">
        <f t="shared" si="1"/>
        <v>796.02344200000005</v>
      </c>
      <c r="S41" s="183">
        <f t="shared" si="2"/>
        <v>0</v>
      </c>
      <c r="T41" s="179"/>
    </row>
    <row r="42" spans="1:20">
      <c r="A42" s="508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2">
        <f>'A.1. Plantilla_Subrogacion'!F42</f>
        <v>0</v>
      </c>
      <c r="H42" s="181">
        <f>'A.1.0_TablaAntigüedad_Sub'!J42</f>
        <v>127</v>
      </c>
      <c r="I42" s="183">
        <f>'A.1.0_TablaAntigüedad_Sub'!X42</f>
        <v>462.44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6936.6</v>
      </c>
      <c r="O42" s="183">
        <f>'A.0_Tablas salariales SC'!$K$37</f>
        <v>21953.889999999996</v>
      </c>
      <c r="P42" s="183">
        <f>(O42+N42)*G42+'A.0_Tablas salariales SC'!$R$55*(100%-G42)</f>
        <v>2318.7400000000002</v>
      </c>
      <c r="Q42" s="184">
        <f>IF(D42=100,'A.0_Tablas salariales SC'!$D$215,IF(D42=150,'A.0_Tablas salariales SC'!$D$216,IF(D42=189,'A.0_Tablas salariales SC'!$D$217,IF(D42=400,'A.0_Tablas salariales SC'!$D$218,IF(D42=450,'A.0_Tablas salariales SC'!$D$219,IF(D42=401,'A.0_Tablas salariales SC'!$D$220,IF(D42=451,'A.0_Tablas salariales SC'!$D$221,'A.0_Tablas salariales SC'!$D$215)))))))</f>
        <v>0.34329999999999999</v>
      </c>
      <c r="R42" s="183">
        <f t="shared" si="1"/>
        <v>796.02344200000005</v>
      </c>
      <c r="S42" s="183">
        <f t="shared" si="2"/>
        <v>0</v>
      </c>
      <c r="T42" s="179"/>
    </row>
    <row r="43" spans="1:20">
      <c r="A43" s="508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2">
        <f>'A.1. Plantilla_Subrogacion'!F43</f>
        <v>0</v>
      </c>
      <c r="H43" s="181">
        <f>'A.1.0_TablaAntigüedad_Sub'!J43</f>
        <v>127</v>
      </c>
      <c r="I43" s="183">
        <f>'A.1.0_TablaAntigüedad_Sub'!X43</f>
        <v>462.44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6936.6</v>
      </c>
      <c r="O43" s="183">
        <f>'A.0_Tablas salariales SC'!$K$37</f>
        <v>21953.889999999996</v>
      </c>
      <c r="P43" s="183">
        <f>(O43+N43)*G43+'A.0_Tablas salariales SC'!$R$55*(100%-G43)</f>
        <v>2318.7400000000002</v>
      </c>
      <c r="Q43" s="184">
        <f>IF(D43=100,'A.0_Tablas salariales SC'!$D$215,IF(D43=150,'A.0_Tablas salariales SC'!$D$216,IF(D43=189,'A.0_Tablas salariales SC'!$D$217,IF(D43=400,'A.0_Tablas salariales SC'!$D$218,IF(D43=450,'A.0_Tablas salariales SC'!$D$219,IF(D43=401,'A.0_Tablas salariales SC'!$D$220,IF(D43=451,'A.0_Tablas salariales SC'!$D$221,'A.0_Tablas salariales SC'!$D$215)))))))</f>
        <v>0.34329999999999999</v>
      </c>
      <c r="R43" s="183">
        <f t="shared" si="1"/>
        <v>796.02344200000005</v>
      </c>
      <c r="S43" s="183">
        <f t="shared" si="2"/>
        <v>0</v>
      </c>
      <c r="T43" s="179"/>
    </row>
    <row r="44" spans="1:20">
      <c r="A44" s="508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2">
        <f>'A.1. Plantilla_Subrogacion'!F44</f>
        <v>0</v>
      </c>
      <c r="H44" s="181">
        <f>'A.1.0_TablaAntigüedad_Sub'!J44</f>
        <v>127</v>
      </c>
      <c r="I44" s="183">
        <f>'A.1.0_TablaAntigüedad_Sub'!X44</f>
        <v>462.44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6936.6</v>
      </c>
      <c r="O44" s="183">
        <f>'A.0_Tablas salariales SC'!$K$37</f>
        <v>21953.889999999996</v>
      </c>
      <c r="P44" s="183">
        <f>(O44+N44)*G44+'A.0_Tablas salariales SC'!$R$55*(100%-G44)</f>
        <v>2318.7400000000002</v>
      </c>
      <c r="Q44" s="184">
        <f>IF(D44=100,'A.0_Tablas salariales SC'!$D$215,IF(D44=150,'A.0_Tablas salariales SC'!$D$216,IF(D44=189,'A.0_Tablas salariales SC'!$D$217,IF(D44=400,'A.0_Tablas salariales SC'!$D$218,IF(D44=450,'A.0_Tablas salariales SC'!$D$219,IF(D44=401,'A.0_Tablas salariales SC'!$D$220,IF(D44=451,'A.0_Tablas salariales SC'!$D$221,'A.0_Tablas salariales SC'!$D$215)))))))</f>
        <v>0.34329999999999999</v>
      </c>
      <c r="R44" s="183">
        <f t="shared" si="1"/>
        <v>796.02344200000005</v>
      </c>
      <c r="S44" s="183">
        <f t="shared" si="2"/>
        <v>0</v>
      </c>
      <c r="T44" s="179"/>
    </row>
    <row r="45" spans="1:20">
      <c r="A45" s="508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2">
        <f>'A.1. Plantilla_Subrogacion'!F45</f>
        <v>0</v>
      </c>
      <c r="H45" s="181">
        <f>'A.1.0_TablaAntigüedad_Sub'!J45</f>
        <v>127</v>
      </c>
      <c r="I45" s="183">
        <f>'A.1.0_TablaAntigüedad_Sub'!X45</f>
        <v>462.44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6936.6</v>
      </c>
      <c r="O45" s="183">
        <f>'A.0_Tablas salariales SC'!$K$37</f>
        <v>21953.889999999996</v>
      </c>
      <c r="P45" s="183">
        <f>(O45+N45)*G45+'A.0_Tablas salariales SC'!$R$55*(100%-G45)</f>
        <v>2318.7400000000002</v>
      </c>
      <c r="Q45" s="184">
        <f>IF(D45=100,'A.0_Tablas salariales SC'!$D$215,IF(D45=150,'A.0_Tablas salariales SC'!$D$216,IF(D45=189,'A.0_Tablas salariales SC'!$D$217,IF(D45=400,'A.0_Tablas salariales SC'!$D$218,IF(D45=450,'A.0_Tablas salariales SC'!$D$219,IF(D45=401,'A.0_Tablas salariales SC'!$D$220,IF(D45=451,'A.0_Tablas salariales SC'!$D$221,'A.0_Tablas salariales SC'!$D$215)))))))</f>
        <v>0.34329999999999999</v>
      </c>
      <c r="R45" s="183">
        <f t="shared" si="1"/>
        <v>796.02344200000005</v>
      </c>
      <c r="S45" s="183">
        <f t="shared" si="2"/>
        <v>0</v>
      </c>
      <c r="T45" s="179"/>
    </row>
    <row r="46" spans="1:20">
      <c r="A46" s="508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2">
        <f>'A.1. Plantilla_Subrogacion'!F46</f>
        <v>0</v>
      </c>
      <c r="H46" s="181">
        <f>'A.1.0_TablaAntigüedad_Sub'!J46</f>
        <v>127</v>
      </c>
      <c r="I46" s="183">
        <f>'A.1.0_TablaAntigüedad_Sub'!X46</f>
        <v>462.44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6936.6</v>
      </c>
      <c r="O46" s="183">
        <f>'A.0_Tablas salariales SC'!$K$37</f>
        <v>21953.889999999996</v>
      </c>
      <c r="P46" s="183">
        <f>(O46+N46)*G46+'A.0_Tablas salariales SC'!$R$55*(100%-G46)</f>
        <v>2318.7400000000002</v>
      </c>
      <c r="Q46" s="184">
        <f>IF(D46=100,'A.0_Tablas salariales SC'!$D$215,IF(D46=150,'A.0_Tablas salariales SC'!$D$216,IF(D46=189,'A.0_Tablas salariales SC'!$D$217,IF(D46=400,'A.0_Tablas salariales SC'!$D$218,IF(D46=450,'A.0_Tablas salariales SC'!$D$219,IF(D46=401,'A.0_Tablas salariales SC'!$D$220,IF(D46=451,'A.0_Tablas salariales SC'!$D$221,'A.0_Tablas salariales SC'!$D$215)))))))</f>
        <v>0.34329999999999999</v>
      </c>
      <c r="R46" s="183">
        <f t="shared" si="1"/>
        <v>796.02344200000005</v>
      </c>
      <c r="S46" s="183">
        <f t="shared" si="2"/>
        <v>0</v>
      </c>
      <c r="T46" s="179"/>
    </row>
    <row r="47" spans="1:20">
      <c r="A47" s="508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2">
        <f>'A.1. Plantilla_Subrogacion'!F47</f>
        <v>0</v>
      </c>
      <c r="H47" s="181">
        <f>'A.1.0_TablaAntigüedad_Sub'!J47</f>
        <v>127</v>
      </c>
      <c r="I47" s="183">
        <f>'A.1.0_TablaAntigüedad_Sub'!X47</f>
        <v>462.44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6936.6</v>
      </c>
      <c r="O47" s="183">
        <f>'A.0_Tablas salariales SC'!$K$37</f>
        <v>21953.889999999996</v>
      </c>
      <c r="P47" s="183">
        <f>(O47+N47)*G47+'A.0_Tablas salariales SC'!$R$55*(100%-G47)</f>
        <v>2318.7400000000002</v>
      </c>
      <c r="Q47" s="184">
        <f>IF(D47=100,'A.0_Tablas salariales SC'!$D$215,IF(D47=150,'A.0_Tablas salariales SC'!$D$216,IF(D47=189,'A.0_Tablas salariales SC'!$D$217,IF(D47=400,'A.0_Tablas salariales SC'!$D$218,IF(D47=450,'A.0_Tablas salariales SC'!$D$219,IF(D47=401,'A.0_Tablas salariales SC'!$D$220,IF(D47=451,'A.0_Tablas salariales SC'!$D$221,'A.0_Tablas salariales SC'!$D$215)))))))</f>
        <v>0.34329999999999999</v>
      </c>
      <c r="R47" s="183">
        <f t="shared" si="1"/>
        <v>796.02344200000005</v>
      </c>
      <c r="S47" s="183">
        <f t="shared" si="2"/>
        <v>0</v>
      </c>
      <c r="T47" s="179"/>
    </row>
    <row r="48" spans="1:20">
      <c r="A48" s="508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2">
        <f>'A.1. Plantilla_Subrogacion'!F48</f>
        <v>0</v>
      </c>
      <c r="H48" s="181">
        <f>'A.1.0_TablaAntigüedad_Sub'!J48</f>
        <v>127</v>
      </c>
      <c r="I48" s="183">
        <f>'A.1.0_TablaAntigüedad_Sub'!X48</f>
        <v>462.44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6936.6</v>
      </c>
      <c r="O48" s="183">
        <f>'A.0_Tablas salariales SC'!$K$37</f>
        <v>21953.889999999996</v>
      </c>
      <c r="P48" s="183">
        <f>(O48+N48)*G48+'A.0_Tablas salariales SC'!$R$55*(100%-G48)</f>
        <v>2318.7400000000002</v>
      </c>
      <c r="Q48" s="184">
        <f>IF(D48=100,'A.0_Tablas salariales SC'!$D$215,IF(D48=150,'A.0_Tablas salariales SC'!$D$216,IF(D48=189,'A.0_Tablas salariales SC'!$D$217,IF(D48=400,'A.0_Tablas salariales SC'!$D$218,IF(D48=450,'A.0_Tablas salariales SC'!$D$219,IF(D48=401,'A.0_Tablas salariales SC'!$D$220,IF(D48=451,'A.0_Tablas salariales SC'!$D$221,'A.0_Tablas salariales SC'!$D$215)))))))</f>
        <v>0.34329999999999999</v>
      </c>
      <c r="R48" s="183">
        <f t="shared" si="1"/>
        <v>796.02344200000005</v>
      </c>
      <c r="S48" s="183">
        <f t="shared" si="2"/>
        <v>0</v>
      </c>
      <c r="T48" s="179"/>
    </row>
    <row r="49" spans="1:20">
      <c r="A49" s="508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2">
        <f>'A.1. Plantilla_Subrogacion'!F49</f>
        <v>0</v>
      </c>
      <c r="H49" s="181">
        <f>'A.1.0_TablaAntigüedad_Sub'!J49</f>
        <v>127</v>
      </c>
      <c r="I49" s="183">
        <f>'A.1.0_TablaAntigüedad_Sub'!X49</f>
        <v>462.44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6936.6</v>
      </c>
      <c r="O49" s="183">
        <f>'A.0_Tablas salariales SC'!$K$37</f>
        <v>21953.889999999996</v>
      </c>
      <c r="P49" s="183">
        <f>(O49+N49)*G49+'A.0_Tablas salariales SC'!$R$55*(100%-G49)</f>
        <v>2318.7400000000002</v>
      </c>
      <c r="Q49" s="184">
        <f>IF(D49=100,'A.0_Tablas salariales SC'!$D$215,IF(D49=150,'A.0_Tablas salariales SC'!$D$216,IF(D49=189,'A.0_Tablas salariales SC'!$D$217,IF(D49=400,'A.0_Tablas salariales SC'!$D$218,IF(D49=450,'A.0_Tablas salariales SC'!$D$219,IF(D49=401,'A.0_Tablas salariales SC'!$D$220,IF(D49=451,'A.0_Tablas salariales SC'!$D$221,'A.0_Tablas salariales SC'!$D$215)))))))</f>
        <v>0.34329999999999999</v>
      </c>
      <c r="R49" s="183">
        <f t="shared" si="1"/>
        <v>796.02344200000005</v>
      </c>
      <c r="S49" s="183">
        <f t="shared" si="2"/>
        <v>0</v>
      </c>
      <c r="T49" s="179"/>
    </row>
    <row r="50" spans="1:20">
      <c r="A50" s="508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2">
        <f>'A.1. Plantilla_Subrogacion'!F50</f>
        <v>0</v>
      </c>
      <c r="H50" s="181">
        <f>'A.1.0_TablaAntigüedad_Sub'!J50</f>
        <v>127</v>
      </c>
      <c r="I50" s="183">
        <f>'A.1.0_TablaAntigüedad_Sub'!X50</f>
        <v>462.44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6936.6</v>
      </c>
      <c r="O50" s="183">
        <f>'A.0_Tablas salariales SC'!$K$37</f>
        <v>21953.889999999996</v>
      </c>
      <c r="P50" s="183">
        <f>(O50+N50)*G50+'A.0_Tablas salariales SC'!$R$55*(100%-G50)</f>
        <v>2318.7400000000002</v>
      </c>
      <c r="Q50" s="184">
        <f>IF(D50=100,'A.0_Tablas salariales SC'!$D$215,IF(D50=150,'A.0_Tablas salariales SC'!$D$216,IF(D50=189,'A.0_Tablas salariales SC'!$D$217,IF(D50=400,'A.0_Tablas salariales SC'!$D$218,IF(D50=450,'A.0_Tablas salariales SC'!$D$219,IF(D50=401,'A.0_Tablas salariales SC'!$D$220,IF(D50=451,'A.0_Tablas salariales SC'!$D$221,'A.0_Tablas salariales SC'!$D$215)))))))</f>
        <v>0.34329999999999999</v>
      </c>
      <c r="R50" s="183">
        <f t="shared" si="1"/>
        <v>796.02344200000005</v>
      </c>
      <c r="S50" s="183">
        <f t="shared" si="2"/>
        <v>0</v>
      </c>
      <c r="T50" s="179"/>
    </row>
    <row r="51" spans="1:20">
      <c r="A51" s="508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2">
        <f>'A.1. Plantilla_Subrogacion'!F51</f>
        <v>0</v>
      </c>
      <c r="H51" s="181">
        <f>'A.1.0_TablaAntigüedad_Sub'!J51</f>
        <v>127</v>
      </c>
      <c r="I51" s="183">
        <f>'A.1.0_TablaAntigüedad_Sub'!X51</f>
        <v>462.44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6936.6</v>
      </c>
      <c r="O51" s="183">
        <f>'A.0_Tablas salariales SC'!$K$37</f>
        <v>21953.889999999996</v>
      </c>
      <c r="P51" s="183">
        <f>(O51+N51)*G51+'A.0_Tablas salariales SC'!$R$55*(100%-G51)</f>
        <v>2318.7400000000002</v>
      </c>
      <c r="Q51" s="184">
        <f>IF(D51=100,'A.0_Tablas salariales SC'!$D$215,IF(D51=150,'A.0_Tablas salariales SC'!$D$216,IF(D51=189,'A.0_Tablas salariales SC'!$D$217,IF(D51=400,'A.0_Tablas salariales SC'!$D$218,IF(D51=450,'A.0_Tablas salariales SC'!$D$219,IF(D51=401,'A.0_Tablas salariales SC'!$D$220,IF(D51=451,'A.0_Tablas salariales SC'!$D$221,'A.0_Tablas salariales SC'!$D$215)))))))</f>
        <v>0.34329999999999999</v>
      </c>
      <c r="R51" s="183">
        <f t="shared" si="1"/>
        <v>796.02344200000005</v>
      </c>
      <c r="S51" s="183">
        <f t="shared" si="2"/>
        <v>0</v>
      </c>
      <c r="T51" s="179"/>
    </row>
    <row r="52" spans="1:20">
      <c r="A52" s="508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2">
        <f>'A.1. Plantilla_Subrogacion'!F52</f>
        <v>0</v>
      </c>
      <c r="H52" s="181">
        <f>'A.1.0_TablaAntigüedad_Sub'!J52</f>
        <v>127</v>
      </c>
      <c r="I52" s="183">
        <f>'A.1.0_TablaAntigüedad_Sub'!X52</f>
        <v>462.44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6936.6</v>
      </c>
      <c r="O52" s="183">
        <f>'A.0_Tablas salariales SC'!$K$37</f>
        <v>21953.889999999996</v>
      </c>
      <c r="P52" s="183">
        <f>(O52+N52)*G52+'A.0_Tablas salariales SC'!$R$55*(100%-G52)</f>
        <v>2318.7400000000002</v>
      </c>
      <c r="Q52" s="184">
        <f>IF(D52=100,'A.0_Tablas salariales SC'!$D$215,IF(D52=150,'A.0_Tablas salariales SC'!$D$216,IF(D52=189,'A.0_Tablas salariales SC'!$D$217,IF(D52=400,'A.0_Tablas salariales SC'!$D$218,IF(D52=450,'A.0_Tablas salariales SC'!$D$219,IF(D52=401,'A.0_Tablas salariales SC'!$D$220,IF(D52=451,'A.0_Tablas salariales SC'!$D$221,'A.0_Tablas salariales SC'!$D$215)))))))</f>
        <v>0.34329999999999999</v>
      </c>
      <c r="R52" s="183">
        <f t="shared" si="1"/>
        <v>796.02344200000005</v>
      </c>
      <c r="S52" s="183">
        <f t="shared" si="2"/>
        <v>0</v>
      </c>
      <c r="T52" s="179"/>
    </row>
    <row r="53" spans="1:20">
      <c r="A53" s="508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2">
        <f>'A.1. Plantilla_Subrogacion'!F53</f>
        <v>0</v>
      </c>
      <c r="H53" s="181">
        <f>'A.1.0_TablaAntigüedad_Sub'!J53</f>
        <v>127</v>
      </c>
      <c r="I53" s="183">
        <f>'A.1.0_TablaAntigüedad_Sub'!X53</f>
        <v>462.44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6936.6</v>
      </c>
      <c r="O53" s="183">
        <f>'A.0_Tablas salariales SC'!$K$37</f>
        <v>21953.889999999996</v>
      </c>
      <c r="P53" s="183">
        <f>(O53+N53)*G53+'A.0_Tablas salariales SC'!$R$55*(100%-G53)</f>
        <v>2318.7400000000002</v>
      </c>
      <c r="Q53" s="184">
        <f>IF(D53=100,'A.0_Tablas salariales SC'!$D$215,IF(D53=150,'A.0_Tablas salariales SC'!$D$216,IF(D53=189,'A.0_Tablas salariales SC'!$D$217,IF(D53=400,'A.0_Tablas salariales SC'!$D$218,IF(D53=450,'A.0_Tablas salariales SC'!$D$219,IF(D53=401,'A.0_Tablas salariales SC'!$D$220,IF(D53=451,'A.0_Tablas salariales SC'!$D$221,'A.0_Tablas salariales SC'!$D$215)))))))</f>
        <v>0.34329999999999999</v>
      </c>
      <c r="R53" s="183">
        <f t="shared" si="1"/>
        <v>796.02344200000005</v>
      </c>
      <c r="S53" s="183">
        <f t="shared" si="2"/>
        <v>0</v>
      </c>
      <c r="T53" s="179"/>
    </row>
    <row r="54" spans="1:20">
      <c r="A54" s="508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2">
        <f>'A.1. Plantilla_Subrogacion'!F54</f>
        <v>0</v>
      </c>
      <c r="H54" s="181">
        <f>'A.1.0_TablaAntigüedad_Sub'!J54</f>
        <v>127</v>
      </c>
      <c r="I54" s="183">
        <f>'A.1.0_TablaAntigüedad_Sub'!X54</f>
        <v>462.44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6936.6</v>
      </c>
      <c r="O54" s="183">
        <f>'A.0_Tablas salariales SC'!$K$37</f>
        <v>21953.889999999996</v>
      </c>
      <c r="P54" s="183">
        <f>(O54+N54)*G54+'A.0_Tablas salariales SC'!$R$55*(100%-G54)</f>
        <v>2318.7400000000002</v>
      </c>
      <c r="Q54" s="184">
        <f>IF(D54=100,'A.0_Tablas salariales SC'!$D$215,IF(D54=150,'A.0_Tablas salariales SC'!$D$216,IF(D54=189,'A.0_Tablas salariales SC'!$D$217,IF(D54=400,'A.0_Tablas salariales SC'!$D$218,IF(D54=450,'A.0_Tablas salariales SC'!$D$219,IF(D54=401,'A.0_Tablas salariales SC'!$D$220,IF(D54=451,'A.0_Tablas salariales SC'!$D$221,'A.0_Tablas salariales SC'!$D$215)))))))</f>
        <v>0.34329999999999999</v>
      </c>
      <c r="R54" s="183">
        <f t="shared" si="1"/>
        <v>796.02344200000005</v>
      </c>
      <c r="S54" s="183">
        <f t="shared" si="2"/>
        <v>0</v>
      </c>
      <c r="T54" s="179"/>
    </row>
    <row r="55" spans="1:20">
      <c r="A55" s="508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2">
        <f>'A.1. Plantilla_Subrogacion'!F55</f>
        <v>0</v>
      </c>
      <c r="H55" s="181">
        <f>'A.1.0_TablaAntigüedad_Sub'!J55</f>
        <v>127</v>
      </c>
      <c r="I55" s="183">
        <f>'A.1.0_TablaAntigüedad_Sub'!X55</f>
        <v>462.44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6936.6</v>
      </c>
      <c r="O55" s="183">
        <f>'A.0_Tablas salariales SC'!$K$37</f>
        <v>21953.889999999996</v>
      </c>
      <c r="P55" s="183">
        <f>(O55+N55)*G55+'A.0_Tablas salariales SC'!$R$55*(100%-G55)</f>
        <v>2318.7400000000002</v>
      </c>
      <c r="Q55" s="184">
        <f>IF(D55=100,'A.0_Tablas salariales SC'!$D$215,IF(D55=150,'A.0_Tablas salariales SC'!$D$216,IF(D55=189,'A.0_Tablas salariales SC'!$D$217,IF(D55=400,'A.0_Tablas salariales SC'!$D$218,IF(D55=450,'A.0_Tablas salariales SC'!$D$219,IF(D55=401,'A.0_Tablas salariales SC'!$D$220,IF(D55=451,'A.0_Tablas salariales SC'!$D$221,'A.0_Tablas salariales SC'!$D$215)))))))</f>
        <v>0.34329999999999999</v>
      </c>
      <c r="R55" s="183">
        <f t="shared" si="1"/>
        <v>796.02344200000005</v>
      </c>
      <c r="S55" s="183">
        <f t="shared" si="2"/>
        <v>0</v>
      </c>
      <c r="T55" s="179"/>
    </row>
    <row r="56" spans="1:20">
      <c r="A56" s="508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2">
        <f>'A.1. Plantilla_Subrogacion'!F56</f>
        <v>0</v>
      </c>
      <c r="H56" s="181">
        <f>'A.1.0_TablaAntigüedad_Sub'!J56</f>
        <v>127</v>
      </c>
      <c r="I56" s="183">
        <f>'A.1.0_TablaAntigüedad_Sub'!X56</f>
        <v>462.44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6936.6</v>
      </c>
      <c r="O56" s="183">
        <f>'A.0_Tablas salariales SC'!$K$37</f>
        <v>21953.889999999996</v>
      </c>
      <c r="P56" s="183">
        <f>(O56+N56)*G56+'A.0_Tablas salariales SC'!$R$55*(100%-G56)</f>
        <v>2318.7400000000002</v>
      </c>
      <c r="Q56" s="184">
        <f>IF(D56=100,'A.0_Tablas salariales SC'!$D$215,IF(D56=150,'A.0_Tablas salariales SC'!$D$216,IF(D56=189,'A.0_Tablas salariales SC'!$D$217,IF(D56=400,'A.0_Tablas salariales SC'!$D$218,IF(D56=450,'A.0_Tablas salariales SC'!$D$219,IF(D56=401,'A.0_Tablas salariales SC'!$D$220,IF(D56=451,'A.0_Tablas salariales SC'!$D$221,'A.0_Tablas salariales SC'!$D$215)))))))</f>
        <v>0.34329999999999999</v>
      </c>
      <c r="R56" s="183">
        <f t="shared" si="1"/>
        <v>796.02344200000005</v>
      </c>
      <c r="S56" s="183">
        <f t="shared" si="2"/>
        <v>0</v>
      </c>
      <c r="T56" s="179"/>
    </row>
    <row r="57" spans="1:20">
      <c r="A57" s="508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2">
        <f>'A.1. Plantilla_Subrogacion'!F57</f>
        <v>0</v>
      </c>
      <c r="H57" s="181">
        <f>'A.1.0_TablaAntigüedad_Sub'!J57</f>
        <v>127</v>
      </c>
      <c r="I57" s="183">
        <f>'A.1.0_TablaAntigüedad_Sub'!X57</f>
        <v>462.44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6936.6</v>
      </c>
      <c r="O57" s="183">
        <f>'A.0_Tablas salariales SC'!$K$37</f>
        <v>21953.889999999996</v>
      </c>
      <c r="P57" s="183">
        <f>(O57+N57)*G57+'A.0_Tablas salariales SC'!$R$55*(100%-G57)</f>
        <v>2318.7400000000002</v>
      </c>
      <c r="Q57" s="184">
        <f>IF(D57=100,'A.0_Tablas salariales SC'!$D$215,IF(D57=150,'A.0_Tablas salariales SC'!$D$216,IF(D57=189,'A.0_Tablas salariales SC'!$D$217,IF(D57=400,'A.0_Tablas salariales SC'!$D$218,IF(D57=450,'A.0_Tablas salariales SC'!$D$219,IF(D57=401,'A.0_Tablas salariales SC'!$D$220,IF(D57=451,'A.0_Tablas salariales SC'!$D$221,'A.0_Tablas salariales SC'!$D$215)))))))</f>
        <v>0.34329999999999999</v>
      </c>
      <c r="R57" s="183">
        <f t="shared" si="1"/>
        <v>796.02344200000005</v>
      </c>
      <c r="S57" s="183">
        <f t="shared" si="2"/>
        <v>0</v>
      </c>
      <c r="T57" s="179"/>
    </row>
    <row r="58" spans="1:20">
      <c r="A58" s="508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2">
        <f>'A.1. Plantilla_Subrogacion'!F58</f>
        <v>0</v>
      </c>
      <c r="H58" s="181">
        <f>'A.1.0_TablaAntigüedad_Sub'!J58</f>
        <v>127</v>
      </c>
      <c r="I58" s="183">
        <f>'A.1.0_TablaAntigüedad_Sub'!X58</f>
        <v>462.44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6936.6</v>
      </c>
      <c r="O58" s="183">
        <f>'A.0_Tablas salariales SC'!$K$37</f>
        <v>21953.889999999996</v>
      </c>
      <c r="P58" s="183">
        <f>(O58+N58)*G58+'A.0_Tablas salariales SC'!$R$55*(100%-G58)</f>
        <v>2318.7400000000002</v>
      </c>
      <c r="Q58" s="184">
        <f>IF(D58=100,'A.0_Tablas salariales SC'!$D$215,IF(D58=150,'A.0_Tablas salariales SC'!$D$216,IF(D58=189,'A.0_Tablas salariales SC'!$D$217,IF(D58=400,'A.0_Tablas salariales SC'!$D$218,IF(D58=450,'A.0_Tablas salariales SC'!$D$219,IF(D58=401,'A.0_Tablas salariales SC'!$D$220,IF(D58=451,'A.0_Tablas salariales SC'!$D$221,'A.0_Tablas salariales SC'!$D$215)))))))</f>
        <v>0.34329999999999999</v>
      </c>
      <c r="R58" s="183">
        <f t="shared" si="1"/>
        <v>796.02344200000005</v>
      </c>
      <c r="S58" s="183">
        <f t="shared" si="2"/>
        <v>0</v>
      </c>
      <c r="T58" s="179"/>
    </row>
    <row r="59" spans="1:20">
      <c r="A59" s="508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2">
        <f>'A.1. Plantilla_Subrogacion'!F59</f>
        <v>0</v>
      </c>
      <c r="H59" s="181">
        <f>'A.1.0_TablaAntigüedad_Sub'!J59</f>
        <v>127</v>
      </c>
      <c r="I59" s="183">
        <f>'A.1.0_TablaAntigüedad_Sub'!X59</f>
        <v>462.44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6936.6</v>
      </c>
      <c r="O59" s="183">
        <f>'A.0_Tablas salariales SC'!$K$37</f>
        <v>21953.889999999996</v>
      </c>
      <c r="P59" s="183">
        <f>(O59+N59)*G59+'A.0_Tablas salariales SC'!$R$55*(100%-G59)</f>
        <v>2318.7400000000002</v>
      </c>
      <c r="Q59" s="184">
        <f>IF(D59=100,'A.0_Tablas salariales SC'!$D$215,IF(D59=150,'A.0_Tablas salariales SC'!$D$216,IF(D59=189,'A.0_Tablas salariales SC'!$D$217,IF(D59=400,'A.0_Tablas salariales SC'!$D$218,IF(D59=450,'A.0_Tablas salariales SC'!$D$219,IF(D59=401,'A.0_Tablas salariales SC'!$D$220,IF(D59=451,'A.0_Tablas salariales SC'!$D$221,'A.0_Tablas salariales SC'!$D$215)))))))</f>
        <v>0.34329999999999999</v>
      </c>
      <c r="R59" s="183">
        <f t="shared" si="1"/>
        <v>796.02344200000005</v>
      </c>
      <c r="S59" s="183">
        <f t="shared" si="2"/>
        <v>0</v>
      </c>
      <c r="T59" s="179"/>
    </row>
    <row r="60" spans="1:20">
      <c r="A60" s="508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2">
        <f>'A.1. Plantilla_Subrogacion'!F60</f>
        <v>0</v>
      </c>
      <c r="H60" s="181">
        <f>'A.1.0_TablaAntigüedad_Sub'!J60</f>
        <v>127</v>
      </c>
      <c r="I60" s="183">
        <f>'A.1.0_TablaAntigüedad_Sub'!X60</f>
        <v>462.44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6936.6</v>
      </c>
      <c r="O60" s="183">
        <f>'A.0_Tablas salariales SC'!$K$37</f>
        <v>21953.889999999996</v>
      </c>
      <c r="P60" s="183">
        <f>(O60+N60)*G60+'A.0_Tablas salariales SC'!$R$55*(100%-G60)</f>
        <v>2318.7400000000002</v>
      </c>
      <c r="Q60" s="184">
        <f>IF(D60=100,'A.0_Tablas salariales SC'!$D$215,IF(D60=150,'A.0_Tablas salariales SC'!$D$216,IF(D60=189,'A.0_Tablas salariales SC'!$D$217,IF(D60=400,'A.0_Tablas salariales SC'!$D$218,IF(D60=450,'A.0_Tablas salariales SC'!$D$219,IF(D60=401,'A.0_Tablas salariales SC'!$D$220,IF(D60=451,'A.0_Tablas salariales SC'!$D$221,'A.0_Tablas salariales SC'!$D$215)))))))</f>
        <v>0.34329999999999999</v>
      </c>
      <c r="R60" s="183">
        <f t="shared" si="1"/>
        <v>796.02344200000005</v>
      </c>
      <c r="S60" s="183">
        <f t="shared" si="2"/>
        <v>0</v>
      </c>
      <c r="T60" s="179"/>
    </row>
    <row r="61" spans="1:20">
      <c r="A61" s="508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2">
        <f>'A.1. Plantilla_Subrogacion'!F61</f>
        <v>0</v>
      </c>
      <c r="H61" s="181">
        <f>'A.1.0_TablaAntigüedad_Sub'!J61</f>
        <v>127</v>
      </c>
      <c r="I61" s="183">
        <f>'A.1.0_TablaAntigüedad_Sub'!X61</f>
        <v>462.44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6936.6</v>
      </c>
      <c r="O61" s="183">
        <f>'A.0_Tablas salariales SC'!$K$37</f>
        <v>21953.889999999996</v>
      </c>
      <c r="P61" s="183">
        <f>(O61+N61)*G61+'A.0_Tablas salariales SC'!$R$55*(100%-G61)</f>
        <v>2318.7400000000002</v>
      </c>
      <c r="Q61" s="184">
        <f>IF(D61=100,'A.0_Tablas salariales SC'!$D$215,IF(D61=150,'A.0_Tablas salariales SC'!$D$216,IF(D61=189,'A.0_Tablas salariales SC'!$D$217,IF(D61=400,'A.0_Tablas salariales SC'!$D$218,IF(D61=450,'A.0_Tablas salariales SC'!$D$219,IF(D61=401,'A.0_Tablas salariales SC'!$D$220,IF(D61=451,'A.0_Tablas salariales SC'!$D$221,'A.0_Tablas salariales SC'!$D$215)))))))</f>
        <v>0.34329999999999999</v>
      </c>
      <c r="R61" s="183">
        <f t="shared" si="1"/>
        <v>796.02344200000005</v>
      </c>
      <c r="S61" s="183">
        <f t="shared" si="2"/>
        <v>0</v>
      </c>
      <c r="T61" s="179"/>
    </row>
    <row r="62" spans="1:20">
      <c r="A62" s="508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2">
        <f>'A.1. Plantilla_Subrogacion'!F62</f>
        <v>0</v>
      </c>
      <c r="H62" s="181">
        <f>'A.1.0_TablaAntigüedad_Sub'!J62</f>
        <v>127</v>
      </c>
      <c r="I62" s="183">
        <f>'A.1.0_TablaAntigüedad_Sub'!X62</f>
        <v>462.44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6936.6</v>
      </c>
      <c r="O62" s="183">
        <f>'A.0_Tablas salariales SC'!$K$37</f>
        <v>21953.889999999996</v>
      </c>
      <c r="P62" s="183">
        <f>(O62+N62)*G62+'A.0_Tablas salariales SC'!$R$55*(100%-G62)</f>
        <v>2318.7400000000002</v>
      </c>
      <c r="Q62" s="184">
        <f>IF(D62=100,'A.0_Tablas salariales SC'!$D$215,IF(D62=150,'A.0_Tablas salariales SC'!$D$216,IF(D62=189,'A.0_Tablas salariales SC'!$D$217,IF(D62=400,'A.0_Tablas salariales SC'!$D$218,IF(D62=450,'A.0_Tablas salariales SC'!$D$219,IF(D62=401,'A.0_Tablas salariales SC'!$D$220,IF(D62=451,'A.0_Tablas salariales SC'!$D$221,'A.0_Tablas salariales SC'!$D$215)))))))</f>
        <v>0.34329999999999999</v>
      </c>
      <c r="R62" s="183">
        <f t="shared" si="1"/>
        <v>796.02344200000005</v>
      </c>
      <c r="S62" s="183">
        <f t="shared" si="2"/>
        <v>0</v>
      </c>
      <c r="T62" s="179"/>
    </row>
    <row r="63" spans="1:20">
      <c r="A63" s="508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2">
        <f>'A.1. Plantilla_Subrogacion'!F63</f>
        <v>0</v>
      </c>
      <c r="H63" s="181">
        <f>'A.1.0_TablaAntigüedad_Sub'!J63</f>
        <v>127</v>
      </c>
      <c r="I63" s="183">
        <f>'A.1.0_TablaAntigüedad_Sub'!X63</f>
        <v>462.44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6936.6</v>
      </c>
      <c r="O63" s="183">
        <f>'A.0_Tablas salariales SC'!$K$37</f>
        <v>21953.889999999996</v>
      </c>
      <c r="P63" s="183">
        <f>(O63+N63)*G63+'A.0_Tablas salariales SC'!$R$55*(100%-G63)</f>
        <v>2318.7400000000002</v>
      </c>
      <c r="Q63" s="184">
        <f>IF(D63=100,'A.0_Tablas salariales SC'!$D$215,IF(D63=150,'A.0_Tablas salariales SC'!$D$216,IF(D63=189,'A.0_Tablas salariales SC'!$D$217,IF(D63=400,'A.0_Tablas salariales SC'!$D$218,IF(D63=450,'A.0_Tablas salariales SC'!$D$219,IF(D63=401,'A.0_Tablas salariales SC'!$D$220,IF(D63=451,'A.0_Tablas salariales SC'!$D$221,'A.0_Tablas salariales SC'!$D$215)))))))</f>
        <v>0.34329999999999999</v>
      </c>
      <c r="R63" s="183">
        <f t="shared" si="1"/>
        <v>796.02344200000005</v>
      </c>
      <c r="S63" s="183">
        <f t="shared" si="2"/>
        <v>0</v>
      </c>
      <c r="T63" s="179"/>
    </row>
    <row r="64" spans="1:20">
      <c r="A64" s="508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2">
        <f>'A.1. Plantilla_Subrogacion'!F64</f>
        <v>0</v>
      </c>
      <c r="H64" s="181">
        <f>'A.1.0_TablaAntigüedad_Sub'!J64</f>
        <v>127</v>
      </c>
      <c r="I64" s="183">
        <f>'A.1.0_TablaAntigüedad_Sub'!X64</f>
        <v>462.44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6936.6</v>
      </c>
      <c r="O64" s="183">
        <f>'A.0_Tablas salariales SC'!$K$37</f>
        <v>21953.889999999996</v>
      </c>
      <c r="P64" s="183">
        <f>(O64+N64)*G64+'A.0_Tablas salariales SC'!$R$55*(100%-G64)</f>
        <v>2318.7400000000002</v>
      </c>
      <c r="Q64" s="184">
        <f>IF(D64=100,'A.0_Tablas salariales SC'!$D$215,IF(D64=150,'A.0_Tablas salariales SC'!$D$216,IF(D64=189,'A.0_Tablas salariales SC'!$D$217,IF(D64=400,'A.0_Tablas salariales SC'!$D$218,IF(D64=450,'A.0_Tablas salariales SC'!$D$219,IF(D64=401,'A.0_Tablas salariales SC'!$D$220,IF(D64=451,'A.0_Tablas salariales SC'!$D$221,'A.0_Tablas salariales SC'!$D$215)))))))</f>
        <v>0.34329999999999999</v>
      </c>
      <c r="R64" s="183">
        <f t="shared" si="1"/>
        <v>796.02344200000005</v>
      </c>
      <c r="S64" s="183">
        <f t="shared" si="2"/>
        <v>0</v>
      </c>
      <c r="T64" s="179"/>
    </row>
    <row r="65" spans="1:20">
      <c r="A65" s="508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2">
        <f>'A.1. Plantilla_Subrogacion'!F65</f>
        <v>0</v>
      </c>
      <c r="H65" s="181">
        <f>'A.1.0_TablaAntigüedad_Sub'!J65</f>
        <v>127</v>
      </c>
      <c r="I65" s="183">
        <f>'A.1.0_TablaAntigüedad_Sub'!X65</f>
        <v>462.44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6936.6</v>
      </c>
      <c r="O65" s="183">
        <f>'A.0_Tablas salariales SC'!$K$37</f>
        <v>21953.889999999996</v>
      </c>
      <c r="P65" s="183">
        <f>(O65+N65)*G65+'A.0_Tablas salariales SC'!$R$55*(100%-G65)</f>
        <v>2318.7400000000002</v>
      </c>
      <c r="Q65" s="184">
        <f>IF(D65=100,'A.0_Tablas salariales SC'!$D$215,IF(D65=150,'A.0_Tablas salariales SC'!$D$216,IF(D65=189,'A.0_Tablas salariales SC'!$D$217,IF(D65=400,'A.0_Tablas salariales SC'!$D$218,IF(D65=450,'A.0_Tablas salariales SC'!$D$219,IF(D65=401,'A.0_Tablas salariales SC'!$D$220,IF(D65=451,'A.0_Tablas salariales SC'!$D$221,'A.0_Tablas salariales SC'!$D$215)))))))</f>
        <v>0.34329999999999999</v>
      </c>
      <c r="R65" s="183">
        <f t="shared" si="1"/>
        <v>796.02344200000005</v>
      </c>
      <c r="S65" s="183">
        <f t="shared" si="2"/>
        <v>0</v>
      </c>
      <c r="T65" s="179"/>
    </row>
    <row r="66" spans="1:20">
      <c r="A66" s="508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2">
        <f>'A.1. Plantilla_Subrogacion'!F66</f>
        <v>0</v>
      </c>
      <c r="H66" s="181">
        <f>'A.1.0_TablaAntigüedad_Sub'!J66</f>
        <v>127</v>
      </c>
      <c r="I66" s="183">
        <f>'A.1.0_TablaAntigüedad_Sub'!X66</f>
        <v>462.44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6936.6</v>
      </c>
      <c r="O66" s="183">
        <f>'A.0_Tablas salariales SC'!$K$37</f>
        <v>21953.889999999996</v>
      </c>
      <c r="P66" s="183">
        <f>(O66+N66)*G66+'A.0_Tablas salariales SC'!$R$55*(100%-G66)</f>
        <v>2318.7400000000002</v>
      </c>
      <c r="Q66" s="184">
        <f>IF(D66=100,'A.0_Tablas salariales SC'!$D$215,IF(D66=150,'A.0_Tablas salariales SC'!$D$216,IF(D66=189,'A.0_Tablas salariales SC'!$D$217,IF(D66=400,'A.0_Tablas salariales SC'!$D$218,IF(D66=450,'A.0_Tablas salariales SC'!$D$219,IF(D66=401,'A.0_Tablas salariales SC'!$D$220,IF(D66=451,'A.0_Tablas salariales SC'!$D$221,'A.0_Tablas salariales SC'!$D$215)))))))</f>
        <v>0.34329999999999999</v>
      </c>
      <c r="R66" s="183">
        <f t="shared" si="1"/>
        <v>796.02344200000005</v>
      </c>
      <c r="S66" s="183">
        <f t="shared" si="2"/>
        <v>0</v>
      </c>
      <c r="T66" s="179"/>
    </row>
    <row r="67" spans="1:20">
      <c r="A67" s="508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2">
        <f>'A.1. Plantilla_Subrogacion'!F67</f>
        <v>0</v>
      </c>
      <c r="H67" s="181">
        <f>'A.1.0_TablaAntigüedad_Sub'!J67</f>
        <v>127</v>
      </c>
      <c r="I67" s="183">
        <f>'A.1.0_TablaAntigüedad_Sub'!X67</f>
        <v>462.44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6936.6</v>
      </c>
      <c r="O67" s="183">
        <f>'A.0_Tablas salariales SC'!$K$37</f>
        <v>21953.889999999996</v>
      </c>
      <c r="P67" s="183">
        <f>(O67+N67)*G67+'A.0_Tablas salariales SC'!$R$55*(100%-G67)</f>
        <v>2318.7400000000002</v>
      </c>
      <c r="Q67" s="184">
        <f>IF(D67=100,'A.0_Tablas salariales SC'!$D$215,IF(D67=150,'A.0_Tablas salariales SC'!$D$216,IF(D67=189,'A.0_Tablas salariales SC'!$D$217,IF(D67=400,'A.0_Tablas salariales SC'!$D$218,IF(D67=450,'A.0_Tablas salariales SC'!$D$219,IF(D67=401,'A.0_Tablas salariales SC'!$D$220,IF(D67=451,'A.0_Tablas salariales SC'!$D$221,'A.0_Tablas salariales SC'!$D$215)))))))</f>
        <v>0.34329999999999999</v>
      </c>
      <c r="R67" s="183">
        <f t="shared" si="1"/>
        <v>796.02344200000005</v>
      </c>
      <c r="S67" s="183">
        <f t="shared" si="2"/>
        <v>0</v>
      </c>
      <c r="T67" s="179"/>
    </row>
    <row r="68" spans="1:20">
      <c r="A68" s="508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2">
        <f>'A.1. Plantilla_Subrogacion'!F68</f>
        <v>0</v>
      </c>
      <c r="H68" s="181">
        <f>'A.1.0_TablaAntigüedad_Sub'!J68</f>
        <v>127</v>
      </c>
      <c r="I68" s="183">
        <f>'A.1.0_TablaAntigüedad_Sub'!X68</f>
        <v>462.44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6936.6</v>
      </c>
      <c r="O68" s="183">
        <f>'A.0_Tablas salariales SC'!$K$37</f>
        <v>21953.889999999996</v>
      </c>
      <c r="P68" s="183">
        <f>(O68+N68)*G68+'A.0_Tablas salariales SC'!$R$55*(100%-G68)</f>
        <v>2318.7400000000002</v>
      </c>
      <c r="Q68" s="184">
        <f>IF(D68=100,'A.0_Tablas salariales SC'!$D$215,IF(D68=150,'A.0_Tablas salariales SC'!$D$216,IF(D68=189,'A.0_Tablas salariales SC'!$D$217,IF(D68=400,'A.0_Tablas salariales SC'!$D$218,IF(D68=450,'A.0_Tablas salariales SC'!$D$219,IF(D68=401,'A.0_Tablas salariales SC'!$D$220,IF(D68=451,'A.0_Tablas salariales SC'!$D$221,'A.0_Tablas salariales SC'!$D$215)))))))</f>
        <v>0.34329999999999999</v>
      </c>
      <c r="R68" s="183">
        <f t="shared" si="1"/>
        <v>796.02344200000005</v>
      </c>
      <c r="S68" s="183">
        <f t="shared" si="2"/>
        <v>0</v>
      </c>
      <c r="T68" s="179"/>
    </row>
    <row r="69" spans="1:20">
      <c r="A69" s="508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2">
        <f>'A.1. Plantilla_Subrogacion'!F69</f>
        <v>0</v>
      </c>
      <c r="H69" s="181">
        <f>'A.1.0_TablaAntigüedad_Sub'!J69</f>
        <v>127</v>
      </c>
      <c r="I69" s="183">
        <f>'A.1.0_TablaAntigüedad_Sub'!X69</f>
        <v>462.44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6936.6</v>
      </c>
      <c r="O69" s="183">
        <f>'A.0_Tablas salariales SC'!$K$37</f>
        <v>21953.889999999996</v>
      </c>
      <c r="P69" s="183">
        <f>(O69+N69)*G69+'A.0_Tablas salariales SC'!$R$55*(100%-G69)</f>
        <v>2318.7400000000002</v>
      </c>
      <c r="Q69" s="184">
        <f>IF(D69=100,'A.0_Tablas salariales SC'!$D$215,IF(D69=150,'A.0_Tablas salariales SC'!$D$216,IF(D69=189,'A.0_Tablas salariales SC'!$D$217,IF(D69=400,'A.0_Tablas salariales SC'!$D$218,IF(D69=450,'A.0_Tablas salariales SC'!$D$219,IF(D69=401,'A.0_Tablas salariales SC'!$D$220,IF(D69=451,'A.0_Tablas salariales SC'!$D$221,'A.0_Tablas salariales SC'!$D$215)))))))</f>
        <v>0.34329999999999999</v>
      </c>
      <c r="R69" s="183">
        <f t="shared" ref="R69:R84" si="5">Q69*P69</f>
        <v>796.02344200000005</v>
      </c>
      <c r="S69" s="183">
        <f t="shared" ref="S69:S84" si="6">(R69+P69)*A69</f>
        <v>0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'A.1.0_TablaAntigüedad_Sub'!J70</f>
        <v>127</v>
      </c>
      <c r="I70" s="183">
        <f>'A.1.0_TablaAntigüedad_Sub'!X70</f>
        <v>462.44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6936.6</v>
      </c>
      <c r="O70" s="183">
        <f>'A.0_Tablas salariales SC'!$K$37</f>
        <v>21953.889999999996</v>
      </c>
      <c r="P70" s="183">
        <f>(O70+N70)*G70+'A.0_Tablas salariales SC'!$R$55*(100%-G70)</f>
        <v>2318.7400000000002</v>
      </c>
      <c r="Q70" s="184">
        <f>IF(D70=100,'A.0_Tablas salariales SC'!$D$215,IF(D70=150,'A.0_Tablas salariales SC'!$D$216,IF(D70=189,'A.0_Tablas salariales SC'!$D$217,IF(D70=400,'A.0_Tablas salariales SC'!$D$218,IF(D70=450,'A.0_Tablas salariales SC'!$D$219,IF(D70=401,'A.0_Tablas salariales SC'!$D$220,IF(D70=451,'A.0_Tablas salariales SC'!$D$221,'A.0_Tablas salariales SC'!$D$215)))))))</f>
        <v>0.34329999999999999</v>
      </c>
      <c r="R70" s="183">
        <f t="shared" si="5"/>
        <v>796.02344200000005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'A.1.0_TablaAntigüedad_Sub'!J71</f>
        <v>127</v>
      </c>
      <c r="I71" s="183">
        <f>'A.1.0_TablaAntigüedad_Sub'!X71</f>
        <v>462.44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6936.6</v>
      </c>
      <c r="O71" s="183">
        <f>'A.0_Tablas salariales SC'!$K$37</f>
        <v>21953.889999999996</v>
      </c>
      <c r="P71" s="183">
        <f>(O71+N71)*G71+'A.0_Tablas salariales SC'!$R$55*(100%-G71)</f>
        <v>2318.7400000000002</v>
      </c>
      <c r="Q71" s="184">
        <f>IF(D71=100,'A.0_Tablas salariales SC'!$D$215,IF(D71=150,'A.0_Tablas salariales SC'!$D$216,IF(D71=189,'A.0_Tablas salariales SC'!$D$217,IF(D71=400,'A.0_Tablas salariales SC'!$D$218,IF(D71=450,'A.0_Tablas salariales SC'!$D$219,IF(D71=401,'A.0_Tablas salariales SC'!$D$220,IF(D71=451,'A.0_Tablas salariales SC'!$D$221,'A.0_Tablas salariales SC'!$D$215)))))))</f>
        <v>0.34329999999999999</v>
      </c>
      <c r="R71" s="183">
        <f t="shared" si="5"/>
        <v>796.02344200000005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'A.1.0_TablaAntigüedad_Sub'!J72</f>
        <v>127</v>
      </c>
      <c r="I72" s="183">
        <f>'A.1.0_TablaAntigüedad_Sub'!X72</f>
        <v>462.44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6936.6</v>
      </c>
      <c r="O72" s="183">
        <f>'A.0_Tablas salariales SC'!$K$37</f>
        <v>21953.889999999996</v>
      </c>
      <c r="P72" s="183">
        <f>(O72+N72)*G72+'A.0_Tablas salariales SC'!$R$55*(100%-G72)</f>
        <v>2318.7400000000002</v>
      </c>
      <c r="Q72" s="184">
        <f>IF(D72=100,'A.0_Tablas salariales SC'!$D$215,IF(D72=150,'A.0_Tablas salariales SC'!$D$216,IF(D72=189,'A.0_Tablas salariales SC'!$D$217,IF(D72=400,'A.0_Tablas salariales SC'!$D$218,IF(D72=450,'A.0_Tablas salariales SC'!$D$219,IF(D72=401,'A.0_Tablas salariales SC'!$D$220,IF(D72=451,'A.0_Tablas salariales SC'!$D$221,'A.0_Tablas salariales SC'!$D$215)))))))</f>
        <v>0.34329999999999999</v>
      </c>
      <c r="R72" s="183">
        <f t="shared" si="5"/>
        <v>796.02344200000005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'A.1.0_TablaAntigüedad_Sub'!J73</f>
        <v>127</v>
      </c>
      <c r="I73" s="183">
        <f>'A.1.0_TablaAntigüedad_Sub'!X73</f>
        <v>462.44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6936.6</v>
      </c>
      <c r="O73" s="183">
        <f>'A.0_Tablas salariales SC'!$K$37</f>
        <v>21953.889999999996</v>
      </c>
      <c r="P73" s="183">
        <f>(O73+N73)*G73+'A.0_Tablas salariales SC'!$R$55*(100%-G73)</f>
        <v>2318.7400000000002</v>
      </c>
      <c r="Q73" s="184">
        <f>IF(D73=100,'A.0_Tablas salariales SC'!$D$215,IF(D73=150,'A.0_Tablas salariales SC'!$D$216,IF(D73=189,'A.0_Tablas salariales SC'!$D$217,IF(D73=400,'A.0_Tablas salariales SC'!$D$218,IF(D73=450,'A.0_Tablas salariales SC'!$D$219,IF(D73=401,'A.0_Tablas salariales SC'!$D$220,IF(D73=451,'A.0_Tablas salariales SC'!$D$221,'A.0_Tablas salariales SC'!$D$215)))))))</f>
        <v>0.34329999999999999</v>
      </c>
      <c r="R73" s="183">
        <f t="shared" si="5"/>
        <v>796.02344200000005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'A.1.0_TablaAntigüedad_Sub'!J74</f>
        <v>127</v>
      </c>
      <c r="I74" s="183">
        <f>'A.1.0_TablaAntigüedad_Sub'!X74</f>
        <v>462.44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6936.6</v>
      </c>
      <c r="O74" s="183">
        <f>'A.0_Tablas salariales SC'!$K$37</f>
        <v>21953.889999999996</v>
      </c>
      <c r="P74" s="183">
        <f>(O74+N74)*G74+'A.0_Tablas salariales SC'!$R$55*(100%-G74)</f>
        <v>2318.7400000000002</v>
      </c>
      <c r="Q74" s="184">
        <f>IF(D74=100,'A.0_Tablas salariales SC'!$D$215,IF(D74=150,'A.0_Tablas salariales SC'!$D$216,IF(D74=189,'A.0_Tablas salariales SC'!$D$217,IF(D74=400,'A.0_Tablas salariales SC'!$D$218,IF(D74=450,'A.0_Tablas salariales SC'!$D$219,IF(D74=401,'A.0_Tablas salariales SC'!$D$220,IF(D74=451,'A.0_Tablas salariales SC'!$D$221,'A.0_Tablas salariales SC'!$D$215)))))))</f>
        <v>0.34329999999999999</v>
      </c>
      <c r="R74" s="183">
        <f t="shared" si="5"/>
        <v>796.02344200000005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'A.1.0_TablaAntigüedad_Sub'!J75</f>
        <v>127</v>
      </c>
      <c r="I75" s="183">
        <f>'A.1.0_TablaAntigüedad_Sub'!X75</f>
        <v>462.44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6936.6</v>
      </c>
      <c r="O75" s="183">
        <f>'A.0_Tablas salariales SC'!$K$37</f>
        <v>21953.889999999996</v>
      </c>
      <c r="P75" s="183">
        <f>(O75+N75)*G75+'A.0_Tablas salariales SC'!$R$55*(100%-G75)</f>
        <v>2318.7400000000002</v>
      </c>
      <c r="Q75" s="184">
        <f>IF(D75=100,'A.0_Tablas salariales SC'!$D$215,IF(D75=150,'A.0_Tablas salariales SC'!$D$216,IF(D75=189,'A.0_Tablas salariales SC'!$D$217,IF(D75=400,'A.0_Tablas salariales SC'!$D$218,IF(D75=450,'A.0_Tablas salariales SC'!$D$219,IF(D75=401,'A.0_Tablas salariales SC'!$D$220,IF(D75=451,'A.0_Tablas salariales SC'!$D$221,'A.0_Tablas salariales SC'!$D$215)))))))</f>
        <v>0.34329999999999999</v>
      </c>
      <c r="R75" s="183">
        <f t="shared" si="5"/>
        <v>796.02344200000005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'A.1.0_TablaAntigüedad_Sub'!J76</f>
        <v>127</v>
      </c>
      <c r="I76" s="183">
        <f>'A.1.0_TablaAntigüedad_Sub'!X76</f>
        <v>462.44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6936.6</v>
      </c>
      <c r="O76" s="183">
        <f>'A.0_Tablas salariales SC'!$K$37</f>
        <v>21953.889999999996</v>
      </c>
      <c r="P76" s="183">
        <f>(O76+N76)*G76+'A.0_Tablas salariales SC'!$R$55*(100%-G76)</f>
        <v>2318.7400000000002</v>
      </c>
      <c r="Q76" s="184">
        <f>IF(D76=100,'A.0_Tablas salariales SC'!$D$215,IF(D76=150,'A.0_Tablas salariales SC'!$D$216,IF(D76=189,'A.0_Tablas salariales SC'!$D$217,IF(D76=400,'A.0_Tablas salariales SC'!$D$218,IF(D76=450,'A.0_Tablas salariales SC'!$D$219,IF(D76=401,'A.0_Tablas salariales SC'!$D$220,IF(D76=451,'A.0_Tablas salariales SC'!$D$221,'A.0_Tablas salariales SC'!$D$215)))))))</f>
        <v>0.34329999999999999</v>
      </c>
      <c r="R76" s="183">
        <f t="shared" si="5"/>
        <v>796.02344200000005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'A.1.0_TablaAntigüedad_Sub'!J77</f>
        <v>127</v>
      </c>
      <c r="I77" s="183">
        <f>'A.1.0_TablaAntigüedad_Sub'!X77</f>
        <v>462.44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6936.6</v>
      </c>
      <c r="O77" s="183">
        <f>'A.0_Tablas salariales SC'!$K$37</f>
        <v>21953.889999999996</v>
      </c>
      <c r="P77" s="183">
        <f>(O77+N77)*G77+'A.0_Tablas salariales SC'!$R$55*(100%-G77)</f>
        <v>2318.7400000000002</v>
      </c>
      <c r="Q77" s="184">
        <f>IF(D77=100,'A.0_Tablas salariales SC'!$D$215,IF(D77=150,'A.0_Tablas salariales SC'!$D$216,IF(D77=189,'A.0_Tablas salariales SC'!$D$217,IF(D77=400,'A.0_Tablas salariales SC'!$D$218,IF(D77=450,'A.0_Tablas salariales SC'!$D$219,IF(D77=401,'A.0_Tablas salariales SC'!$D$220,IF(D77=451,'A.0_Tablas salariales SC'!$D$221,'A.0_Tablas salariales SC'!$D$215)))))))</f>
        <v>0.34329999999999999</v>
      </c>
      <c r="R77" s="183">
        <f t="shared" si="5"/>
        <v>796.02344200000005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'A.1.0_TablaAntigüedad_Sub'!J78</f>
        <v>127</v>
      </c>
      <c r="I78" s="183">
        <f>'A.1.0_TablaAntigüedad_Sub'!X78</f>
        <v>462.44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6936.6</v>
      </c>
      <c r="O78" s="183">
        <f>'A.0_Tablas salariales SC'!$K$37</f>
        <v>21953.889999999996</v>
      </c>
      <c r="P78" s="183">
        <f>(O78+N78)*G78+'A.0_Tablas salariales SC'!$R$55*(100%-G78)</f>
        <v>2318.7400000000002</v>
      </c>
      <c r="Q78" s="184">
        <f>IF(D78=100,'A.0_Tablas salariales SC'!$D$215,IF(D78=150,'A.0_Tablas salariales SC'!$D$216,IF(D78=189,'A.0_Tablas salariales SC'!$D$217,IF(D78=400,'A.0_Tablas salariales SC'!$D$218,IF(D78=450,'A.0_Tablas salariales SC'!$D$219,IF(D78=401,'A.0_Tablas salariales SC'!$D$220,IF(D78=451,'A.0_Tablas salariales SC'!$D$221,'A.0_Tablas salariales SC'!$D$215)))))))</f>
        <v>0.34329999999999999</v>
      </c>
      <c r="R78" s="183">
        <f t="shared" si="5"/>
        <v>796.02344200000005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'A.1.0_TablaAntigüedad_Sub'!J79</f>
        <v>127</v>
      </c>
      <c r="I79" s="183">
        <f>'A.1.0_TablaAntigüedad_Sub'!X79</f>
        <v>462.44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6936.6</v>
      </c>
      <c r="O79" s="183">
        <f>'A.0_Tablas salariales SC'!$K$37</f>
        <v>21953.889999999996</v>
      </c>
      <c r="P79" s="183">
        <f>(O79+N79)*G79+'A.0_Tablas salariales SC'!$R$55*(100%-G79)</f>
        <v>2318.7400000000002</v>
      </c>
      <c r="Q79" s="184">
        <f>IF(D79=100,'A.0_Tablas salariales SC'!$D$215,IF(D79=150,'A.0_Tablas salariales SC'!$D$216,IF(D79=189,'A.0_Tablas salariales SC'!$D$217,IF(D79=400,'A.0_Tablas salariales SC'!$D$218,IF(D79=450,'A.0_Tablas salariales SC'!$D$219,IF(D79=401,'A.0_Tablas salariales SC'!$D$220,IF(D79=451,'A.0_Tablas salariales SC'!$D$221,'A.0_Tablas salariales SC'!$D$215)))))))</f>
        <v>0.34329999999999999</v>
      </c>
      <c r="R79" s="183">
        <f t="shared" si="5"/>
        <v>796.02344200000005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'A.1.0_TablaAntigüedad_Sub'!J80</f>
        <v>127</v>
      </c>
      <c r="I80" s="183">
        <f>'A.1.0_TablaAntigüedad_Sub'!X80</f>
        <v>462.44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6936.6</v>
      </c>
      <c r="O80" s="183">
        <f>'A.0_Tablas salariales SC'!$K$37</f>
        <v>21953.889999999996</v>
      </c>
      <c r="P80" s="183">
        <f>(O80+N80)*G80+'A.0_Tablas salariales SC'!$R$55*(100%-G80)</f>
        <v>2318.7400000000002</v>
      </c>
      <c r="Q80" s="184">
        <f>IF(D80=100,'A.0_Tablas salariales SC'!$D$215,IF(D80=150,'A.0_Tablas salariales SC'!$D$216,IF(D80=189,'A.0_Tablas salariales SC'!$D$217,IF(D80=400,'A.0_Tablas salariales SC'!$D$218,IF(D80=450,'A.0_Tablas salariales SC'!$D$219,IF(D80=401,'A.0_Tablas salariales SC'!$D$220,IF(D80=451,'A.0_Tablas salariales SC'!$D$221,'A.0_Tablas salariales SC'!$D$215)))))))</f>
        <v>0.34329999999999999</v>
      </c>
      <c r="R80" s="183">
        <f t="shared" si="5"/>
        <v>796.02344200000005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'A.1.0_TablaAntigüedad_Sub'!J81</f>
        <v>127</v>
      </c>
      <c r="I81" s="183">
        <f>'A.1.0_TablaAntigüedad_Sub'!X81</f>
        <v>462.44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6936.6</v>
      </c>
      <c r="O81" s="183">
        <f>'A.0_Tablas salariales SC'!$K$37</f>
        <v>21953.889999999996</v>
      </c>
      <c r="P81" s="183">
        <f>(O81+N81)*G81+'A.0_Tablas salariales SC'!$R$55*(100%-G81)</f>
        <v>2318.7400000000002</v>
      </c>
      <c r="Q81" s="184">
        <f>IF(D81=100,'A.0_Tablas salariales SC'!$D$215,IF(D81=150,'A.0_Tablas salariales SC'!$D$216,IF(D81=189,'A.0_Tablas salariales SC'!$D$217,IF(D81=400,'A.0_Tablas salariales SC'!$D$218,IF(D81=450,'A.0_Tablas salariales SC'!$D$219,IF(D81=401,'A.0_Tablas salariales SC'!$D$220,IF(D81=451,'A.0_Tablas salariales SC'!$D$221,'A.0_Tablas salariales SC'!$D$215)))))))</f>
        <v>0.34329999999999999</v>
      </c>
      <c r="R81" s="183">
        <f t="shared" si="5"/>
        <v>796.02344200000005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'A.1.0_TablaAntigüedad_Sub'!J82</f>
        <v>127</v>
      </c>
      <c r="I82" s="183">
        <f>'A.1.0_TablaAntigüedad_Sub'!X82</f>
        <v>462.44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6936.6</v>
      </c>
      <c r="O82" s="183">
        <f>'A.0_Tablas salariales SC'!$K$37</f>
        <v>21953.889999999996</v>
      </c>
      <c r="P82" s="183">
        <f>(O82+N82)*G82+'A.0_Tablas salariales SC'!$R$55*(100%-G82)</f>
        <v>2318.7400000000002</v>
      </c>
      <c r="Q82" s="184">
        <f>IF(D82=100,'A.0_Tablas salariales SC'!$D$215,IF(D82=150,'A.0_Tablas salariales SC'!$D$216,IF(D82=189,'A.0_Tablas salariales SC'!$D$217,IF(D82=400,'A.0_Tablas salariales SC'!$D$218,IF(D82=450,'A.0_Tablas salariales SC'!$D$219,IF(D82=401,'A.0_Tablas salariales SC'!$D$220,IF(D82=451,'A.0_Tablas salariales SC'!$D$221,'A.0_Tablas salariales SC'!$D$215)))))))</f>
        <v>0.34329999999999999</v>
      </c>
      <c r="R82" s="183">
        <f t="shared" si="5"/>
        <v>796.02344200000005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'A.1.0_TablaAntigüedad_Sub'!J83</f>
        <v>127</v>
      </c>
      <c r="I83" s="183">
        <f>'A.1.0_TablaAntigüedad_Sub'!X83</f>
        <v>462.44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6936.6</v>
      </c>
      <c r="O83" s="183">
        <f>'A.0_Tablas salariales SC'!$K$37</f>
        <v>21953.889999999996</v>
      </c>
      <c r="P83" s="183">
        <f>(O83+N83)*G83+'A.0_Tablas salariales SC'!$R$55*(100%-G83)</f>
        <v>2318.7400000000002</v>
      </c>
      <c r="Q83" s="184">
        <f>IF(D83=100,'A.0_Tablas salariales SC'!$D$215,IF(D83=150,'A.0_Tablas salariales SC'!$D$216,IF(D83=189,'A.0_Tablas salariales SC'!$D$217,IF(D83=400,'A.0_Tablas salariales SC'!$D$218,IF(D83=450,'A.0_Tablas salariales SC'!$D$219,IF(D83=401,'A.0_Tablas salariales SC'!$D$220,IF(D83=451,'A.0_Tablas salariales SC'!$D$221,'A.0_Tablas salariales SC'!$D$215)))))))</f>
        <v>0.34329999999999999</v>
      </c>
      <c r="R83" s="183">
        <f t="shared" si="5"/>
        <v>796.02344200000005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'A.1.0_TablaAntigüedad_Sub'!J84</f>
        <v>127</v>
      </c>
      <c r="I84" s="183">
        <f>'A.1.0_TablaAntigüedad_Sub'!X84</f>
        <v>462.44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6936.6</v>
      </c>
      <c r="O84" s="183">
        <f>'A.0_Tablas salariales SC'!$K$37</f>
        <v>21953.889999999996</v>
      </c>
      <c r="P84" s="183">
        <f>(O84+N84)*G84+'A.0_Tablas salariales SC'!$R$55*(100%-G84)</f>
        <v>2318.7400000000002</v>
      </c>
      <c r="Q84" s="184">
        <f>IF(D84=100,'A.0_Tablas salariales SC'!$D$215,IF(D84=150,'A.0_Tablas salariales SC'!$D$216,IF(D84=189,'A.0_Tablas salariales SC'!$D$217,IF(D84=400,'A.0_Tablas salariales SC'!$D$218,IF(D84=450,'A.0_Tablas salariales SC'!$D$219,IF(D84=401,'A.0_Tablas salariales SC'!$D$220,IF(D84=451,'A.0_Tablas salariales SC'!$D$221,'A.0_Tablas salariales SC'!$D$215)))))))</f>
        <v>0.34329999999999999</v>
      </c>
      <c r="R84" s="183">
        <f t="shared" si="5"/>
        <v>796.02344200000005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'A.1.0_TablaAntigüedad_Sub'!J85</f>
        <v>127</v>
      </c>
      <c r="I85" s="183">
        <f>'A.1.0_TablaAntigüedad_Sub'!X85</f>
        <v>462.44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6936.6</v>
      </c>
      <c r="O85" s="183">
        <f>'A.0_Tablas salariales SC'!$K$37</f>
        <v>21953.889999999996</v>
      </c>
      <c r="P85" s="183">
        <f>(O85+N85)*G85+'A.0_Tablas salariales SC'!$R$55*(100%-G85)</f>
        <v>2318.7400000000002</v>
      </c>
      <c r="Q85" s="184">
        <f>IF(D85=100,'A.0_Tablas salariales SC'!$D$215,IF(D85=150,'A.0_Tablas salariales SC'!$D$216,IF(D85=189,'A.0_Tablas salariales SC'!$D$217,IF(D85=400,'A.0_Tablas salariales SC'!$D$218,IF(D85=450,'A.0_Tablas salariales SC'!$D$219,IF(D85=401,'A.0_Tablas salariales SC'!$D$220,IF(D85=451,'A.0_Tablas salariales SC'!$D$221,'A.0_Tablas salariales SC'!$D$215)))))))</f>
        <v>0.34329999999999999</v>
      </c>
      <c r="R85" s="183">
        <f t="shared" si="1"/>
        <v>796.02344200000005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0</v>
      </c>
    </row>
    <row r="87" spans="1:20">
      <c r="A87" s="508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2">
        <f>'A.1. Plantilla_Subrogacion'!F87</f>
        <v>0</v>
      </c>
      <c r="H87" s="181">
        <f>'A.1.0_TablaAntigüedad_Sub'!J87</f>
        <v>127</v>
      </c>
      <c r="I87" s="183">
        <f>'A.1.0_TablaAntigüedad_Sub'!X87</f>
        <v>462.44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6936.6</v>
      </c>
      <c r="O87" s="183">
        <f>'A.0_Tablas salariales SC'!$K$40</f>
        <v>22781.140000000003</v>
      </c>
      <c r="P87" s="183">
        <f>(O87+N87)*G87+'A.0_Tablas salariales SC'!$R$55*(100%-G87)</f>
        <v>2318.7400000000002</v>
      </c>
      <c r="Q87" s="184">
        <f>IF(D87=100,'A.0_Tablas salariales SC'!$D$215,IF(D87=150,'A.0_Tablas salariales SC'!$D$216,IF(D87=189,'A.0_Tablas salariales SC'!$D$217,IF(D87=400,'A.0_Tablas salariales SC'!$D$218,IF(D87=450,'A.0_Tablas salariales SC'!$D$219,IF(D87=401,'A.0_Tablas salariales SC'!$D$220,IF(D87=451,'A.0_Tablas salariales SC'!$D$221,'A.0_Tablas salariales SC'!$D$215)))))))</f>
        <v>0.34329999999999999</v>
      </c>
      <c r="R87" s="183">
        <f t="shared" si="1"/>
        <v>796.02344200000005</v>
      </c>
      <c r="S87" s="183">
        <f t="shared" si="2"/>
        <v>0</v>
      </c>
      <c r="T87" s="179"/>
    </row>
    <row r="88" spans="1:20">
      <c r="A88" s="508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2">
        <f>'A.1. Plantilla_Subrogacion'!F88</f>
        <v>0</v>
      </c>
      <c r="H88" s="181">
        <f>'A.1.0_TablaAntigüedad_Sub'!J88</f>
        <v>127</v>
      </c>
      <c r="I88" s="183">
        <f>'A.1.0_TablaAntigüedad_Sub'!X88</f>
        <v>462.44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6936.6</v>
      </c>
      <c r="O88" s="183">
        <f>'A.0_Tablas salariales SC'!$K$40</f>
        <v>22781.140000000003</v>
      </c>
      <c r="P88" s="183">
        <f>(O88+N88)*G88+'A.0_Tablas salariales SC'!$R$55*(100%-G88)</f>
        <v>2318.7400000000002</v>
      </c>
      <c r="Q88" s="184">
        <f>IF(D88=100,'A.0_Tablas salariales SC'!$D$215,IF(D88=150,'A.0_Tablas salariales SC'!$D$216,IF(D88=189,'A.0_Tablas salariales SC'!$D$217,IF(D88=400,'A.0_Tablas salariales SC'!$D$218,IF(D88=450,'A.0_Tablas salariales SC'!$D$219,IF(D88=401,'A.0_Tablas salariales SC'!$D$220,IF(D88=451,'A.0_Tablas salariales SC'!$D$221,'A.0_Tablas salariales SC'!$D$215)))))))</f>
        <v>0.34329999999999999</v>
      </c>
      <c r="R88" s="183">
        <f t="shared" si="1"/>
        <v>796.02344200000005</v>
      </c>
      <c r="S88" s="183">
        <f t="shared" si="2"/>
        <v>0</v>
      </c>
      <c r="T88" s="179"/>
    </row>
    <row r="89" spans="1:20">
      <c r="A89" s="508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2">
        <f>'A.1. Plantilla_Subrogacion'!F89</f>
        <v>0</v>
      </c>
      <c r="H89" s="181">
        <f>'A.1.0_TablaAntigüedad_Sub'!J89</f>
        <v>127</v>
      </c>
      <c r="I89" s="183">
        <f>'A.1.0_TablaAntigüedad_Sub'!X89</f>
        <v>462.44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6936.6</v>
      </c>
      <c r="O89" s="183">
        <f>'A.0_Tablas salariales SC'!$K$40</f>
        <v>22781.140000000003</v>
      </c>
      <c r="P89" s="183">
        <f>(O89+N89)*G89+'A.0_Tablas salariales SC'!$R$55*(100%-G89)</f>
        <v>2318.7400000000002</v>
      </c>
      <c r="Q89" s="184">
        <f>IF(D89=100,'A.0_Tablas salariales SC'!$D$215,IF(D89=150,'A.0_Tablas salariales SC'!$D$216,IF(D89=189,'A.0_Tablas salariales SC'!$D$217,IF(D89=400,'A.0_Tablas salariales SC'!$D$218,IF(D89=450,'A.0_Tablas salariales SC'!$D$219,IF(D89=401,'A.0_Tablas salariales SC'!$D$220,IF(D89=451,'A.0_Tablas salariales SC'!$D$221,'A.0_Tablas salariales SC'!$D$215)))))))</f>
        <v>0.34329999999999999</v>
      </c>
      <c r="R89" s="183">
        <f t="shared" si="1"/>
        <v>796.02344200000005</v>
      </c>
      <c r="S89" s="183">
        <f t="shared" si="2"/>
        <v>0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'A.1.0_TablaAntigüedad_Sub'!J90</f>
        <v>127</v>
      </c>
      <c r="I90" s="183">
        <f>'A.1.0_TablaAntigüedad_Sub'!X90</f>
        <v>462.44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6936.6</v>
      </c>
      <c r="O90" s="183">
        <f>'A.0_Tablas salariales SC'!$K$40</f>
        <v>22781.140000000003</v>
      </c>
      <c r="P90" s="183">
        <f>(O90+N90)*G90+'A.0_Tablas salariales SC'!$R$55*(100%-G90)</f>
        <v>2318.7400000000002</v>
      </c>
      <c r="Q90" s="184">
        <f>IF(D90=100,'A.0_Tablas salariales SC'!$D$215,IF(D90=150,'A.0_Tablas salariales SC'!$D$216,IF(D90=189,'A.0_Tablas salariales SC'!$D$217,IF(D90=400,'A.0_Tablas salariales SC'!$D$218,IF(D90=450,'A.0_Tablas salariales SC'!$D$219,IF(D90=401,'A.0_Tablas salariales SC'!$D$220,IF(D90=451,'A.0_Tablas salariales SC'!$D$221,'A.0_Tablas salariales SC'!$D$215)))))))</f>
        <v>0.34329999999999999</v>
      </c>
      <c r="R90" s="183">
        <f t="shared" ref="R90:R112" si="8">Q90*P90</f>
        <v>796.02344200000005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'A.1.0_TablaAntigüedad_Sub'!J91</f>
        <v>127</v>
      </c>
      <c r="I91" s="183">
        <f>'A.1.0_TablaAntigüedad_Sub'!X91</f>
        <v>462.44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6936.6</v>
      </c>
      <c r="O91" s="183">
        <f>'A.0_Tablas salariales SC'!$K$40</f>
        <v>22781.140000000003</v>
      </c>
      <c r="P91" s="183">
        <f>(O91+N91)*G91+'A.0_Tablas salariales SC'!$R$55*(100%-G91)</f>
        <v>2318.7400000000002</v>
      </c>
      <c r="Q91" s="184">
        <f>IF(D91=100,'A.0_Tablas salariales SC'!$D$215,IF(D91=150,'A.0_Tablas salariales SC'!$D$216,IF(D91=189,'A.0_Tablas salariales SC'!$D$217,IF(D91=400,'A.0_Tablas salariales SC'!$D$218,IF(D91=450,'A.0_Tablas salariales SC'!$D$219,IF(D91=401,'A.0_Tablas salariales SC'!$D$220,IF(D91=451,'A.0_Tablas salariales SC'!$D$221,'A.0_Tablas salariales SC'!$D$215)))))))</f>
        <v>0.34329999999999999</v>
      </c>
      <c r="R91" s="183">
        <f t="shared" si="8"/>
        <v>796.02344200000005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'A.1.0_TablaAntigüedad_Sub'!J92</f>
        <v>127</v>
      </c>
      <c r="I92" s="183">
        <f>'A.1.0_TablaAntigüedad_Sub'!X92</f>
        <v>462.44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6936.6</v>
      </c>
      <c r="O92" s="183">
        <f>'A.0_Tablas salariales SC'!$K$40</f>
        <v>22781.140000000003</v>
      </c>
      <c r="P92" s="183">
        <f>(O92+N92)*G92+'A.0_Tablas salariales SC'!$R$55*(100%-G92)</f>
        <v>2318.7400000000002</v>
      </c>
      <c r="Q92" s="184">
        <f>IF(D92=100,'A.0_Tablas salariales SC'!$D$215,IF(D92=150,'A.0_Tablas salariales SC'!$D$216,IF(D92=189,'A.0_Tablas salariales SC'!$D$217,IF(D92=400,'A.0_Tablas salariales SC'!$D$218,IF(D92=450,'A.0_Tablas salariales SC'!$D$219,IF(D92=401,'A.0_Tablas salariales SC'!$D$220,IF(D92=451,'A.0_Tablas salariales SC'!$D$221,'A.0_Tablas salariales SC'!$D$215)))))))</f>
        <v>0.34329999999999999</v>
      </c>
      <c r="R92" s="183">
        <f t="shared" si="8"/>
        <v>796.02344200000005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'A.1.0_TablaAntigüedad_Sub'!J93</f>
        <v>127</v>
      </c>
      <c r="I93" s="183">
        <f>'A.1.0_TablaAntigüedad_Sub'!X93</f>
        <v>462.44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6936.6</v>
      </c>
      <c r="O93" s="183">
        <f>'A.0_Tablas salariales SC'!$K$40</f>
        <v>22781.140000000003</v>
      </c>
      <c r="P93" s="183">
        <f>(O93+N93)*G93+'A.0_Tablas salariales SC'!$R$55*(100%-G93)</f>
        <v>2318.7400000000002</v>
      </c>
      <c r="Q93" s="184">
        <f>IF(D93=100,'A.0_Tablas salariales SC'!$D$215,IF(D93=150,'A.0_Tablas salariales SC'!$D$216,IF(D93=189,'A.0_Tablas salariales SC'!$D$217,IF(D93=400,'A.0_Tablas salariales SC'!$D$218,IF(D93=450,'A.0_Tablas salariales SC'!$D$219,IF(D93=401,'A.0_Tablas salariales SC'!$D$220,IF(D93=451,'A.0_Tablas salariales SC'!$D$221,'A.0_Tablas salariales SC'!$D$215)))))))</f>
        <v>0.34329999999999999</v>
      </c>
      <c r="R93" s="183">
        <f t="shared" si="8"/>
        <v>796.02344200000005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'A.1.0_TablaAntigüedad_Sub'!J94</f>
        <v>127</v>
      </c>
      <c r="I94" s="183">
        <f>'A.1.0_TablaAntigüedad_Sub'!X94</f>
        <v>462.44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6936.6</v>
      </c>
      <c r="O94" s="183">
        <f>'A.0_Tablas salariales SC'!$K$40</f>
        <v>22781.140000000003</v>
      </c>
      <c r="P94" s="183">
        <f>(O94+N94)*G94+'A.0_Tablas salariales SC'!$R$55*(100%-G94)</f>
        <v>2318.7400000000002</v>
      </c>
      <c r="Q94" s="184">
        <f>IF(D94=100,'A.0_Tablas salariales SC'!$D$215,IF(D94=150,'A.0_Tablas salariales SC'!$D$216,IF(D94=189,'A.0_Tablas salariales SC'!$D$217,IF(D94=400,'A.0_Tablas salariales SC'!$D$218,IF(D94=450,'A.0_Tablas salariales SC'!$D$219,IF(D94=401,'A.0_Tablas salariales SC'!$D$220,IF(D94=451,'A.0_Tablas salariales SC'!$D$221,'A.0_Tablas salariales SC'!$D$215)))))))</f>
        <v>0.34329999999999999</v>
      </c>
      <c r="R94" s="183">
        <f t="shared" si="8"/>
        <v>796.02344200000005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'A.1.0_TablaAntigüedad_Sub'!J95</f>
        <v>127</v>
      </c>
      <c r="I95" s="183">
        <f>'A.1.0_TablaAntigüedad_Sub'!X95</f>
        <v>462.44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6936.6</v>
      </c>
      <c r="O95" s="183">
        <f>'A.0_Tablas salariales SC'!$K$40</f>
        <v>22781.140000000003</v>
      </c>
      <c r="P95" s="183">
        <f>(O95+N95)*G95+'A.0_Tablas salariales SC'!$R$55*(100%-G95)</f>
        <v>2318.7400000000002</v>
      </c>
      <c r="Q95" s="184">
        <f>IF(D95=100,'A.0_Tablas salariales SC'!$D$215,IF(D95=150,'A.0_Tablas salariales SC'!$D$216,IF(D95=189,'A.0_Tablas salariales SC'!$D$217,IF(D95=400,'A.0_Tablas salariales SC'!$D$218,IF(D95=450,'A.0_Tablas salariales SC'!$D$219,IF(D95=401,'A.0_Tablas salariales SC'!$D$220,IF(D95=451,'A.0_Tablas salariales SC'!$D$221,'A.0_Tablas salariales SC'!$D$215)))))))</f>
        <v>0.34329999999999999</v>
      </c>
      <c r="R95" s="183">
        <f t="shared" si="8"/>
        <v>796.02344200000005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'A.1.0_TablaAntigüedad_Sub'!J96</f>
        <v>127</v>
      </c>
      <c r="I96" s="183">
        <f>'A.1.0_TablaAntigüedad_Sub'!X96</f>
        <v>462.44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6936.6</v>
      </c>
      <c r="O96" s="183">
        <f>'A.0_Tablas salariales SC'!$K$40</f>
        <v>22781.140000000003</v>
      </c>
      <c r="P96" s="183">
        <f>(O96+N96)*G96+'A.0_Tablas salariales SC'!$R$55*(100%-G96)</f>
        <v>2318.7400000000002</v>
      </c>
      <c r="Q96" s="184">
        <f>IF(D96=100,'A.0_Tablas salariales SC'!$D$215,IF(D96=150,'A.0_Tablas salariales SC'!$D$216,IF(D96=189,'A.0_Tablas salariales SC'!$D$217,IF(D96=400,'A.0_Tablas salariales SC'!$D$218,IF(D96=450,'A.0_Tablas salariales SC'!$D$219,IF(D96=401,'A.0_Tablas salariales SC'!$D$220,IF(D96=451,'A.0_Tablas salariales SC'!$D$221,'A.0_Tablas salariales SC'!$D$215)))))))</f>
        <v>0.34329999999999999</v>
      </c>
      <c r="R96" s="183">
        <f t="shared" si="8"/>
        <v>796.02344200000005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'A.1.0_TablaAntigüedad_Sub'!J97</f>
        <v>127</v>
      </c>
      <c r="I97" s="183">
        <f>'A.1.0_TablaAntigüedad_Sub'!X97</f>
        <v>462.44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6936.6</v>
      </c>
      <c r="O97" s="183">
        <f>'A.0_Tablas salariales SC'!$K$40</f>
        <v>22781.140000000003</v>
      </c>
      <c r="P97" s="183">
        <f>(O97+N97)*G97+'A.0_Tablas salariales SC'!$R$55*(100%-G97)</f>
        <v>2318.7400000000002</v>
      </c>
      <c r="Q97" s="184">
        <f>IF(D97=100,'A.0_Tablas salariales SC'!$D$215,IF(D97=150,'A.0_Tablas salariales SC'!$D$216,IF(D97=189,'A.0_Tablas salariales SC'!$D$217,IF(D97=400,'A.0_Tablas salariales SC'!$D$218,IF(D97=450,'A.0_Tablas salariales SC'!$D$219,IF(D97=401,'A.0_Tablas salariales SC'!$D$220,IF(D97=451,'A.0_Tablas salariales SC'!$D$221,'A.0_Tablas salariales SC'!$D$215)))))))</f>
        <v>0.34329999999999999</v>
      </c>
      <c r="R97" s="183">
        <f t="shared" si="8"/>
        <v>796.02344200000005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'A.1.0_TablaAntigüedad_Sub'!J98</f>
        <v>127</v>
      </c>
      <c r="I98" s="183">
        <f>'A.1.0_TablaAntigüedad_Sub'!X98</f>
        <v>462.44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6936.6</v>
      </c>
      <c r="O98" s="183">
        <f>'A.0_Tablas salariales SC'!$K$40</f>
        <v>22781.140000000003</v>
      </c>
      <c r="P98" s="183">
        <f>(O98+N98)*G98+'A.0_Tablas salariales SC'!$R$55*(100%-G98)</f>
        <v>2318.7400000000002</v>
      </c>
      <c r="Q98" s="184">
        <f>IF(D98=100,'A.0_Tablas salariales SC'!$D$215,IF(D98=150,'A.0_Tablas salariales SC'!$D$216,IF(D98=189,'A.0_Tablas salariales SC'!$D$217,IF(D98=400,'A.0_Tablas salariales SC'!$D$218,IF(D98=450,'A.0_Tablas salariales SC'!$D$219,IF(D98=401,'A.0_Tablas salariales SC'!$D$220,IF(D98=451,'A.0_Tablas salariales SC'!$D$221,'A.0_Tablas salariales SC'!$D$215)))))))</f>
        <v>0.34329999999999999</v>
      </c>
      <c r="R98" s="183">
        <f t="shared" si="8"/>
        <v>796.02344200000005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'A.1.0_TablaAntigüedad_Sub'!J99</f>
        <v>127</v>
      </c>
      <c r="I99" s="183">
        <f>'A.1.0_TablaAntigüedad_Sub'!X99</f>
        <v>462.44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6936.6</v>
      </c>
      <c r="O99" s="183">
        <f>'A.0_Tablas salariales SC'!$K$40</f>
        <v>22781.140000000003</v>
      </c>
      <c r="P99" s="183">
        <f>(O99+N99)*G99+'A.0_Tablas salariales SC'!$R$55*(100%-G99)</f>
        <v>2318.7400000000002</v>
      </c>
      <c r="Q99" s="184">
        <f>IF(D99=100,'A.0_Tablas salariales SC'!$D$215,IF(D99=150,'A.0_Tablas salariales SC'!$D$216,IF(D99=189,'A.0_Tablas salariales SC'!$D$217,IF(D99=400,'A.0_Tablas salariales SC'!$D$218,IF(D99=450,'A.0_Tablas salariales SC'!$D$219,IF(D99=401,'A.0_Tablas salariales SC'!$D$220,IF(D99=451,'A.0_Tablas salariales SC'!$D$221,'A.0_Tablas salariales SC'!$D$215)))))))</f>
        <v>0.34329999999999999</v>
      </c>
      <c r="R99" s="183">
        <f t="shared" si="8"/>
        <v>796.02344200000005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'A.1.0_TablaAntigüedad_Sub'!J100</f>
        <v>127</v>
      </c>
      <c r="I100" s="183">
        <f>'A.1.0_TablaAntigüedad_Sub'!X100</f>
        <v>462.44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6936.6</v>
      </c>
      <c r="O100" s="183">
        <f>'A.0_Tablas salariales SC'!$K$40</f>
        <v>22781.140000000003</v>
      </c>
      <c r="P100" s="183">
        <f>(O100+N100)*G100+'A.0_Tablas salariales SC'!$R$55*(100%-G100)</f>
        <v>2318.7400000000002</v>
      </c>
      <c r="Q100" s="184">
        <f>IF(D100=100,'A.0_Tablas salariales SC'!$D$215,IF(D100=150,'A.0_Tablas salariales SC'!$D$216,IF(D100=189,'A.0_Tablas salariales SC'!$D$217,IF(D100=400,'A.0_Tablas salariales SC'!$D$218,IF(D100=450,'A.0_Tablas salariales SC'!$D$219,IF(D100=401,'A.0_Tablas salariales SC'!$D$220,IF(D100=451,'A.0_Tablas salariales SC'!$D$221,'A.0_Tablas salariales SC'!$D$215)))))))</f>
        <v>0.34329999999999999</v>
      </c>
      <c r="R100" s="183">
        <f t="shared" si="8"/>
        <v>796.02344200000005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'A.1.0_TablaAntigüedad_Sub'!J101</f>
        <v>127</v>
      </c>
      <c r="I101" s="183">
        <f>'A.1.0_TablaAntigüedad_Sub'!X101</f>
        <v>462.44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6936.6</v>
      </c>
      <c r="O101" s="183">
        <f>'A.0_Tablas salariales SC'!$K$40</f>
        <v>22781.140000000003</v>
      </c>
      <c r="P101" s="183">
        <f>(O101+N101)*G101+'A.0_Tablas salariales SC'!$R$55*(100%-G101)</f>
        <v>2318.7400000000002</v>
      </c>
      <c r="Q101" s="184">
        <f>IF(D101=100,'A.0_Tablas salariales SC'!$D$215,IF(D101=150,'A.0_Tablas salariales SC'!$D$216,IF(D101=189,'A.0_Tablas salariales SC'!$D$217,IF(D101=400,'A.0_Tablas salariales SC'!$D$218,IF(D101=450,'A.0_Tablas salariales SC'!$D$219,IF(D101=401,'A.0_Tablas salariales SC'!$D$220,IF(D101=451,'A.0_Tablas salariales SC'!$D$221,'A.0_Tablas salariales SC'!$D$215)))))))</f>
        <v>0.34329999999999999</v>
      </c>
      <c r="R101" s="183">
        <f t="shared" si="8"/>
        <v>796.02344200000005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'A.1.0_TablaAntigüedad_Sub'!J102</f>
        <v>127</v>
      </c>
      <c r="I102" s="183">
        <f>'A.1.0_TablaAntigüedad_Sub'!X102</f>
        <v>462.44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6936.6</v>
      </c>
      <c r="O102" s="183">
        <f>'A.0_Tablas salariales SC'!$K$40</f>
        <v>22781.140000000003</v>
      </c>
      <c r="P102" s="183">
        <f>(O102+N102)*G102+'A.0_Tablas salariales SC'!$R$55*(100%-G102)</f>
        <v>2318.7400000000002</v>
      </c>
      <c r="Q102" s="184">
        <f>IF(D102=100,'A.0_Tablas salariales SC'!$D$215,IF(D102=150,'A.0_Tablas salariales SC'!$D$216,IF(D102=189,'A.0_Tablas salariales SC'!$D$217,IF(D102=400,'A.0_Tablas salariales SC'!$D$218,IF(D102=450,'A.0_Tablas salariales SC'!$D$219,IF(D102=401,'A.0_Tablas salariales SC'!$D$220,IF(D102=451,'A.0_Tablas salariales SC'!$D$221,'A.0_Tablas salariales SC'!$D$215)))))))</f>
        <v>0.34329999999999999</v>
      </c>
      <c r="R102" s="183">
        <f t="shared" si="8"/>
        <v>796.02344200000005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'A.1.0_TablaAntigüedad_Sub'!J103</f>
        <v>127</v>
      </c>
      <c r="I103" s="183">
        <f>'A.1.0_TablaAntigüedad_Sub'!X103</f>
        <v>462.44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6936.6</v>
      </c>
      <c r="O103" s="183">
        <f>'A.0_Tablas salariales SC'!$K$40</f>
        <v>22781.140000000003</v>
      </c>
      <c r="P103" s="183">
        <f>(O103+N103)*G103+'A.0_Tablas salariales SC'!$R$55*(100%-G103)</f>
        <v>2318.7400000000002</v>
      </c>
      <c r="Q103" s="184">
        <f>IF(D103=100,'A.0_Tablas salariales SC'!$D$215,IF(D103=150,'A.0_Tablas salariales SC'!$D$216,IF(D103=189,'A.0_Tablas salariales SC'!$D$217,IF(D103=400,'A.0_Tablas salariales SC'!$D$218,IF(D103=450,'A.0_Tablas salariales SC'!$D$219,IF(D103=401,'A.0_Tablas salariales SC'!$D$220,IF(D103=451,'A.0_Tablas salariales SC'!$D$221,'A.0_Tablas salariales SC'!$D$215)))))))</f>
        <v>0.34329999999999999</v>
      </c>
      <c r="R103" s="183">
        <f t="shared" si="8"/>
        <v>796.02344200000005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'A.1.0_TablaAntigüedad_Sub'!J104</f>
        <v>127</v>
      </c>
      <c r="I104" s="183">
        <f>'A.1.0_TablaAntigüedad_Sub'!X104</f>
        <v>462.44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6936.6</v>
      </c>
      <c r="O104" s="183">
        <f>'A.0_Tablas salariales SC'!$K$40</f>
        <v>22781.140000000003</v>
      </c>
      <c r="P104" s="183">
        <f>(O104+N104)*G104+'A.0_Tablas salariales SC'!$R$55*(100%-G104)</f>
        <v>2318.7400000000002</v>
      </c>
      <c r="Q104" s="184">
        <f>IF(D104=100,'A.0_Tablas salariales SC'!$D$215,IF(D104=150,'A.0_Tablas salariales SC'!$D$216,IF(D104=189,'A.0_Tablas salariales SC'!$D$217,IF(D104=400,'A.0_Tablas salariales SC'!$D$218,IF(D104=450,'A.0_Tablas salariales SC'!$D$219,IF(D104=401,'A.0_Tablas salariales SC'!$D$220,IF(D104=451,'A.0_Tablas salariales SC'!$D$221,'A.0_Tablas salariales SC'!$D$215)))))))</f>
        <v>0.34329999999999999</v>
      </c>
      <c r="R104" s="183">
        <f t="shared" si="8"/>
        <v>796.02344200000005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'A.1.0_TablaAntigüedad_Sub'!J105</f>
        <v>127</v>
      </c>
      <c r="I105" s="183">
        <f>'A.1.0_TablaAntigüedad_Sub'!X105</f>
        <v>462.44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6936.6</v>
      </c>
      <c r="O105" s="183">
        <f>'A.0_Tablas salariales SC'!$K$40</f>
        <v>22781.140000000003</v>
      </c>
      <c r="P105" s="183">
        <f>(O105+N105)*G105+'A.0_Tablas salariales SC'!$R$55*(100%-G105)</f>
        <v>2318.7400000000002</v>
      </c>
      <c r="Q105" s="184">
        <f>IF(D105=100,'A.0_Tablas salariales SC'!$D$215,IF(D105=150,'A.0_Tablas salariales SC'!$D$216,IF(D105=189,'A.0_Tablas salariales SC'!$D$217,IF(D105=400,'A.0_Tablas salariales SC'!$D$218,IF(D105=450,'A.0_Tablas salariales SC'!$D$219,IF(D105=401,'A.0_Tablas salariales SC'!$D$220,IF(D105=451,'A.0_Tablas salariales SC'!$D$221,'A.0_Tablas salariales SC'!$D$215)))))))</f>
        <v>0.34329999999999999</v>
      </c>
      <c r="R105" s="183">
        <f t="shared" si="8"/>
        <v>796.02344200000005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'A.1.0_TablaAntigüedad_Sub'!J106</f>
        <v>127</v>
      </c>
      <c r="I106" s="183">
        <f>'A.1.0_TablaAntigüedad_Sub'!X106</f>
        <v>462.44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6936.6</v>
      </c>
      <c r="O106" s="183">
        <f>'A.0_Tablas salariales SC'!$K$40</f>
        <v>22781.140000000003</v>
      </c>
      <c r="P106" s="183">
        <f>(O106+N106)*G106+'A.0_Tablas salariales SC'!$R$55*(100%-G106)</f>
        <v>2318.7400000000002</v>
      </c>
      <c r="Q106" s="184">
        <f>IF(D106=100,'A.0_Tablas salariales SC'!$D$215,IF(D106=150,'A.0_Tablas salariales SC'!$D$216,IF(D106=189,'A.0_Tablas salariales SC'!$D$217,IF(D106=400,'A.0_Tablas salariales SC'!$D$218,IF(D106=450,'A.0_Tablas salariales SC'!$D$219,IF(D106=401,'A.0_Tablas salariales SC'!$D$220,IF(D106=451,'A.0_Tablas salariales SC'!$D$221,'A.0_Tablas salariales SC'!$D$215)))))))</f>
        <v>0.34329999999999999</v>
      </c>
      <c r="R106" s="183">
        <f t="shared" si="8"/>
        <v>796.02344200000005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'A.1.0_TablaAntigüedad_Sub'!J107</f>
        <v>127</v>
      </c>
      <c r="I107" s="183">
        <f>'A.1.0_TablaAntigüedad_Sub'!X107</f>
        <v>462.44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6936.6</v>
      </c>
      <c r="O107" s="183">
        <f>'A.0_Tablas salariales SC'!$K$40</f>
        <v>22781.140000000003</v>
      </c>
      <c r="P107" s="183">
        <f>(O107+N107)*G107+'A.0_Tablas salariales SC'!$R$55*(100%-G107)</f>
        <v>2318.7400000000002</v>
      </c>
      <c r="Q107" s="184">
        <f>IF(D107=100,'A.0_Tablas salariales SC'!$D$215,IF(D107=150,'A.0_Tablas salariales SC'!$D$216,IF(D107=189,'A.0_Tablas salariales SC'!$D$217,IF(D107=400,'A.0_Tablas salariales SC'!$D$218,IF(D107=450,'A.0_Tablas salariales SC'!$D$219,IF(D107=401,'A.0_Tablas salariales SC'!$D$220,IF(D107=451,'A.0_Tablas salariales SC'!$D$221,'A.0_Tablas salariales SC'!$D$215)))))))</f>
        <v>0.34329999999999999</v>
      </c>
      <c r="R107" s="183">
        <f t="shared" si="8"/>
        <v>796.02344200000005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'A.1.0_TablaAntigüedad_Sub'!J108</f>
        <v>127</v>
      </c>
      <c r="I108" s="183">
        <f>'A.1.0_TablaAntigüedad_Sub'!X108</f>
        <v>462.44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6936.6</v>
      </c>
      <c r="O108" s="183">
        <f>'A.0_Tablas salariales SC'!$K$40</f>
        <v>22781.140000000003</v>
      </c>
      <c r="P108" s="183">
        <f>(O108+N108)*G108+'A.0_Tablas salariales SC'!$R$55*(100%-G108)</f>
        <v>2318.7400000000002</v>
      </c>
      <c r="Q108" s="184">
        <f>IF(D108=100,'A.0_Tablas salariales SC'!$D$215,IF(D108=150,'A.0_Tablas salariales SC'!$D$216,IF(D108=189,'A.0_Tablas salariales SC'!$D$217,IF(D108=400,'A.0_Tablas salariales SC'!$D$218,IF(D108=450,'A.0_Tablas salariales SC'!$D$219,IF(D108=401,'A.0_Tablas salariales SC'!$D$220,IF(D108=451,'A.0_Tablas salariales SC'!$D$221,'A.0_Tablas salariales SC'!$D$215)))))))</f>
        <v>0.34329999999999999</v>
      </c>
      <c r="R108" s="183">
        <f t="shared" si="8"/>
        <v>796.02344200000005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'A.1.0_TablaAntigüedad_Sub'!J109</f>
        <v>127</v>
      </c>
      <c r="I109" s="183">
        <f>'A.1.0_TablaAntigüedad_Sub'!X109</f>
        <v>462.44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6936.6</v>
      </c>
      <c r="O109" s="183">
        <f>'A.0_Tablas salariales SC'!$K$40</f>
        <v>22781.140000000003</v>
      </c>
      <c r="P109" s="183">
        <f>(O109+N109)*G109+'A.0_Tablas salariales SC'!$R$55*(100%-G109)</f>
        <v>2318.7400000000002</v>
      </c>
      <c r="Q109" s="184">
        <f>IF(D109=100,'A.0_Tablas salariales SC'!$D$215,IF(D109=150,'A.0_Tablas salariales SC'!$D$216,IF(D109=189,'A.0_Tablas salariales SC'!$D$217,IF(D109=400,'A.0_Tablas salariales SC'!$D$218,IF(D109=450,'A.0_Tablas salariales SC'!$D$219,IF(D109=401,'A.0_Tablas salariales SC'!$D$220,IF(D109=451,'A.0_Tablas salariales SC'!$D$221,'A.0_Tablas salariales SC'!$D$215)))))))</f>
        <v>0.34329999999999999</v>
      </c>
      <c r="R109" s="183">
        <f t="shared" si="8"/>
        <v>796.02344200000005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'A.1.0_TablaAntigüedad_Sub'!J110</f>
        <v>127</v>
      </c>
      <c r="I110" s="183">
        <f>'A.1.0_TablaAntigüedad_Sub'!X110</f>
        <v>462.44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6936.6</v>
      </c>
      <c r="O110" s="183">
        <f>'A.0_Tablas salariales SC'!$K$40</f>
        <v>22781.140000000003</v>
      </c>
      <c r="P110" s="183">
        <f>(O110+N110)*G110+'A.0_Tablas salariales SC'!$R$55*(100%-G110)</f>
        <v>2318.7400000000002</v>
      </c>
      <c r="Q110" s="184">
        <f>IF(D110=100,'A.0_Tablas salariales SC'!$D$215,IF(D110=150,'A.0_Tablas salariales SC'!$D$216,IF(D110=189,'A.0_Tablas salariales SC'!$D$217,IF(D110=400,'A.0_Tablas salariales SC'!$D$218,IF(D110=450,'A.0_Tablas salariales SC'!$D$219,IF(D110=401,'A.0_Tablas salariales SC'!$D$220,IF(D110=451,'A.0_Tablas salariales SC'!$D$221,'A.0_Tablas salariales SC'!$D$215)))))))</f>
        <v>0.34329999999999999</v>
      </c>
      <c r="R110" s="183">
        <f t="shared" si="8"/>
        <v>796.02344200000005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'A.1.0_TablaAntigüedad_Sub'!J111</f>
        <v>127</v>
      </c>
      <c r="I111" s="183">
        <f>'A.1.0_TablaAntigüedad_Sub'!X111</f>
        <v>462.44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6936.6</v>
      </c>
      <c r="O111" s="183">
        <f>'A.0_Tablas salariales SC'!$K$40</f>
        <v>22781.140000000003</v>
      </c>
      <c r="P111" s="183">
        <f>(O111+N111)*G111+'A.0_Tablas salariales SC'!$R$55*(100%-G111)</f>
        <v>2318.7400000000002</v>
      </c>
      <c r="Q111" s="184">
        <f>IF(D111=100,'A.0_Tablas salariales SC'!$D$215,IF(D111=150,'A.0_Tablas salariales SC'!$D$216,IF(D111=189,'A.0_Tablas salariales SC'!$D$217,IF(D111=400,'A.0_Tablas salariales SC'!$D$218,IF(D111=450,'A.0_Tablas salariales SC'!$D$219,IF(D111=401,'A.0_Tablas salariales SC'!$D$220,IF(D111=451,'A.0_Tablas salariales SC'!$D$221,'A.0_Tablas salariales SC'!$D$215)))))))</f>
        <v>0.34329999999999999</v>
      </c>
      <c r="R111" s="183">
        <f t="shared" si="8"/>
        <v>796.02344200000005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'A.1.0_TablaAntigüedad_Sub'!J112</f>
        <v>127</v>
      </c>
      <c r="I112" s="183">
        <f>'A.1.0_TablaAntigüedad_Sub'!X112</f>
        <v>462.44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6936.6</v>
      </c>
      <c r="O112" s="183">
        <f>'A.0_Tablas salariales SC'!$K$40</f>
        <v>22781.140000000003</v>
      </c>
      <c r="P112" s="183">
        <f>(O112+N112)*G112+'A.0_Tablas salariales SC'!$R$55*(100%-G112)</f>
        <v>2318.7400000000002</v>
      </c>
      <c r="Q112" s="184">
        <f>IF(D112=100,'A.0_Tablas salariales SC'!$D$215,IF(D112=150,'A.0_Tablas salariales SC'!$D$216,IF(D112=189,'A.0_Tablas salariales SC'!$D$217,IF(D112=400,'A.0_Tablas salariales SC'!$D$218,IF(D112=450,'A.0_Tablas salariales SC'!$D$219,IF(D112=401,'A.0_Tablas salariales SC'!$D$220,IF(D112=451,'A.0_Tablas salariales SC'!$D$221,'A.0_Tablas salariales SC'!$D$215)))))))</f>
        <v>0.34329999999999999</v>
      </c>
      <c r="R112" s="183">
        <f t="shared" si="8"/>
        <v>796.02344200000005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'A.1.0_TablaAntigüedad_Sub'!J113</f>
        <v>127</v>
      </c>
      <c r="I113" s="183">
        <f>'A.1.0_TablaAntigüedad_Sub'!X113</f>
        <v>462.44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6936.6</v>
      </c>
      <c r="O113" s="183">
        <f>'A.0_Tablas salariales SC'!$K$40</f>
        <v>22781.140000000003</v>
      </c>
      <c r="P113" s="183">
        <f>(O113+N113)*G113+'A.0_Tablas salariales SC'!$R$55*(100%-G113)</f>
        <v>2318.7400000000002</v>
      </c>
      <c r="Q113" s="184">
        <f>IF(D113=100,'A.0_Tablas salariales SC'!$D$215,IF(D113=150,'A.0_Tablas salariales SC'!$D$216,IF(D113=189,'A.0_Tablas salariales SC'!$D$217,IF(D113=400,'A.0_Tablas salariales SC'!$D$218,IF(D113=450,'A.0_Tablas salariales SC'!$D$219,IF(D113=401,'A.0_Tablas salariales SC'!$D$220,IF(D113=451,'A.0_Tablas salariales SC'!$D$221,'A.0_Tablas salariales SC'!$D$215)))))))</f>
        <v>0.34329999999999999</v>
      </c>
      <c r="R113" s="183">
        <f t="shared" si="1"/>
        <v>796.02344200000005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4"/>
      <c r="Q114" s="174"/>
      <c r="R114" s="174"/>
      <c r="S114" s="174"/>
      <c r="T114" s="180">
        <f>SUM(S87:S113)</f>
        <v>0</v>
      </c>
    </row>
    <row r="115" spans="1:20">
      <c r="A115" s="508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2">
        <f>'A.1. Plantilla_Subrogacion'!F115</f>
        <v>0</v>
      </c>
      <c r="H115" s="181">
        <f>'A.1.0_TablaAntigüedad_Sub'!J115</f>
        <v>127</v>
      </c>
      <c r="I115" s="183">
        <f>'A.1.0_TablaAntigüedad_Sub'!X115</f>
        <v>462.44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6936.6</v>
      </c>
      <c r="O115" s="183">
        <f>'A.0_Tablas salariales SC'!$K$41</f>
        <v>23842.390000000003</v>
      </c>
      <c r="P115" s="183">
        <f>(O115+N115)*G115+'A.0_Tablas salariales SC'!$R$55*(100%-G115)</f>
        <v>2318.7400000000002</v>
      </c>
      <c r="Q115" s="184">
        <f>IF(D115=100,'A.0_Tablas salariales SC'!$D$215,IF(D115=150,'A.0_Tablas salariales SC'!$D$216,IF(D115=189,'A.0_Tablas salariales SC'!$D$217,IF(D115=400,'A.0_Tablas salariales SC'!$D$218,IF(D115=450,'A.0_Tablas salariales SC'!$D$219,IF(D115=401,'A.0_Tablas salariales SC'!$D$220,IF(D115=451,'A.0_Tablas salariales SC'!$D$221,'A.0_Tablas salariales SC'!$D$215)))))))</f>
        <v>0.34329999999999999</v>
      </c>
      <c r="R115" s="183">
        <f t="shared" ref="R115:R175" si="10">Q115*P115</f>
        <v>796.02344200000005</v>
      </c>
      <c r="S115" s="183">
        <f t="shared" ref="S115:S175" si="11">(R115+P115)*A115</f>
        <v>0</v>
      </c>
      <c r="T115" s="179"/>
    </row>
    <row r="116" spans="1:20">
      <c r="A116" s="508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2">
        <f>'A.1. Plantilla_Subrogacion'!F116</f>
        <v>0</v>
      </c>
      <c r="H116" s="181">
        <f>'A.1.0_TablaAntigüedad_Sub'!J116</f>
        <v>127</v>
      </c>
      <c r="I116" s="183">
        <f>'A.1.0_TablaAntigüedad_Sub'!X116</f>
        <v>462.44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6936.6</v>
      </c>
      <c r="O116" s="183">
        <f>'A.0_Tablas salariales SC'!$K$41</f>
        <v>23842.390000000003</v>
      </c>
      <c r="P116" s="183">
        <f>(O116+N116)*G116+'A.0_Tablas salariales SC'!$R$55*(100%-G116)</f>
        <v>2318.7400000000002</v>
      </c>
      <c r="Q116" s="184">
        <f>IF(D116=100,'A.0_Tablas salariales SC'!$D$215,IF(D116=150,'A.0_Tablas salariales SC'!$D$216,IF(D116=189,'A.0_Tablas salariales SC'!$D$217,IF(D116=400,'A.0_Tablas salariales SC'!$D$218,IF(D116=450,'A.0_Tablas salariales SC'!$D$219,IF(D116=401,'A.0_Tablas salariales SC'!$D$220,IF(D116=451,'A.0_Tablas salariales SC'!$D$221,'A.0_Tablas salariales SC'!$D$215)))))))</f>
        <v>0.34329999999999999</v>
      </c>
      <c r="R116" s="183">
        <f t="shared" si="10"/>
        <v>796.02344200000005</v>
      </c>
      <c r="S116" s="183">
        <f t="shared" si="11"/>
        <v>0</v>
      </c>
      <c r="T116" s="179"/>
    </row>
    <row r="117" spans="1:20">
      <c r="A117" s="508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2">
        <f>'A.1. Plantilla_Subrogacion'!F117</f>
        <v>0</v>
      </c>
      <c r="H117" s="181">
        <f>'A.1.0_TablaAntigüedad_Sub'!J117</f>
        <v>127</v>
      </c>
      <c r="I117" s="183">
        <f>'A.1.0_TablaAntigüedad_Sub'!X117</f>
        <v>462.44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6936.6</v>
      </c>
      <c r="O117" s="183">
        <f>'A.0_Tablas salariales SC'!$K$41</f>
        <v>23842.390000000003</v>
      </c>
      <c r="P117" s="183">
        <f>(O117+N117)*G117+'A.0_Tablas salariales SC'!$R$55*(100%-G117)</f>
        <v>2318.7400000000002</v>
      </c>
      <c r="Q117" s="184">
        <f>IF(D117=100,'A.0_Tablas salariales SC'!$D$215,IF(D117=150,'A.0_Tablas salariales SC'!$D$216,IF(D117=189,'A.0_Tablas salariales SC'!$D$217,IF(D117=400,'A.0_Tablas salariales SC'!$D$218,IF(D117=450,'A.0_Tablas salariales SC'!$D$219,IF(D117=401,'A.0_Tablas salariales SC'!$D$220,IF(D117=451,'A.0_Tablas salariales SC'!$D$221,'A.0_Tablas salariales SC'!$D$215)))))))</f>
        <v>0.34329999999999999</v>
      </c>
      <c r="R117" s="183">
        <f t="shared" si="10"/>
        <v>796.02344200000005</v>
      </c>
      <c r="S117" s="183">
        <f t="shared" si="11"/>
        <v>0</v>
      </c>
      <c r="T117" s="179"/>
    </row>
    <row r="118" spans="1:20">
      <c r="A118" s="508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2">
        <f>'A.1. Plantilla_Subrogacion'!F118</f>
        <v>0</v>
      </c>
      <c r="H118" s="181">
        <f>'A.1.0_TablaAntigüedad_Sub'!J118</f>
        <v>127</v>
      </c>
      <c r="I118" s="183">
        <f>'A.1.0_TablaAntigüedad_Sub'!X118</f>
        <v>462.44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6936.6</v>
      </c>
      <c r="O118" s="183">
        <f>'A.0_Tablas salariales SC'!$K$41</f>
        <v>23842.390000000003</v>
      </c>
      <c r="P118" s="183">
        <f>(O118+N118)*G118+'A.0_Tablas salariales SC'!$R$55*(100%-G118)</f>
        <v>2318.7400000000002</v>
      </c>
      <c r="Q118" s="184">
        <f>IF(D118=100,'A.0_Tablas salariales SC'!$D$215,IF(D118=150,'A.0_Tablas salariales SC'!$D$216,IF(D118=189,'A.0_Tablas salariales SC'!$D$217,IF(D118=400,'A.0_Tablas salariales SC'!$D$218,IF(D118=450,'A.0_Tablas salariales SC'!$D$219,IF(D118=401,'A.0_Tablas salariales SC'!$D$220,IF(D118=451,'A.0_Tablas salariales SC'!$D$221,'A.0_Tablas salariales SC'!$D$215)))))))</f>
        <v>0.34329999999999999</v>
      </c>
      <c r="R118" s="183">
        <f t="shared" si="10"/>
        <v>796.02344200000005</v>
      </c>
      <c r="S118" s="183">
        <f t="shared" si="11"/>
        <v>0</v>
      </c>
      <c r="T118" s="179"/>
    </row>
    <row r="119" spans="1:20">
      <c r="A119" s="508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2">
        <f>'A.1. Plantilla_Subrogacion'!F119</f>
        <v>0</v>
      </c>
      <c r="H119" s="181">
        <f>'A.1.0_TablaAntigüedad_Sub'!J119</f>
        <v>127</v>
      </c>
      <c r="I119" s="183">
        <f>'A.1.0_TablaAntigüedad_Sub'!X119</f>
        <v>462.44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6936.6</v>
      </c>
      <c r="O119" s="183">
        <f>'A.0_Tablas salariales SC'!$K$41</f>
        <v>23842.390000000003</v>
      </c>
      <c r="P119" s="183">
        <f>(O119+N119)*G119+'A.0_Tablas salariales SC'!$R$55*(100%-G119)</f>
        <v>2318.7400000000002</v>
      </c>
      <c r="Q119" s="184">
        <f>IF(D119=100,'A.0_Tablas salariales SC'!$D$215,IF(D119=150,'A.0_Tablas salariales SC'!$D$216,IF(D119=189,'A.0_Tablas salariales SC'!$D$217,IF(D119=400,'A.0_Tablas salariales SC'!$D$218,IF(D119=450,'A.0_Tablas salariales SC'!$D$219,IF(D119=401,'A.0_Tablas salariales SC'!$D$220,IF(D119=451,'A.0_Tablas salariales SC'!$D$221,'A.0_Tablas salariales SC'!$D$215)))))))</f>
        <v>0.34329999999999999</v>
      </c>
      <c r="R119" s="183">
        <f t="shared" si="10"/>
        <v>796.02344200000005</v>
      </c>
      <c r="S119" s="183">
        <f t="shared" si="11"/>
        <v>0</v>
      </c>
      <c r="T119" s="179"/>
    </row>
    <row r="120" spans="1:20">
      <c r="A120" s="508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2">
        <f>'A.1. Plantilla_Subrogacion'!F120</f>
        <v>0</v>
      </c>
      <c r="H120" s="181">
        <f>'A.1.0_TablaAntigüedad_Sub'!J120</f>
        <v>127</v>
      </c>
      <c r="I120" s="183">
        <f>'A.1.0_TablaAntigüedad_Sub'!X120</f>
        <v>462.44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6936.6</v>
      </c>
      <c r="O120" s="183">
        <f>'A.0_Tablas salariales SC'!$K$41</f>
        <v>23842.390000000003</v>
      </c>
      <c r="P120" s="183">
        <f>(O120+N120)*G120+'A.0_Tablas salariales SC'!$R$55*(100%-G120)</f>
        <v>2318.7400000000002</v>
      </c>
      <c r="Q120" s="184">
        <f>IF(D120=100,'A.0_Tablas salariales SC'!$D$215,IF(D120=150,'A.0_Tablas salariales SC'!$D$216,IF(D120=189,'A.0_Tablas salariales SC'!$D$217,IF(D120=400,'A.0_Tablas salariales SC'!$D$218,IF(D120=450,'A.0_Tablas salariales SC'!$D$219,IF(D120=401,'A.0_Tablas salariales SC'!$D$220,IF(D120=451,'A.0_Tablas salariales SC'!$D$221,'A.0_Tablas salariales SC'!$D$215)))))))</f>
        <v>0.34329999999999999</v>
      </c>
      <c r="R120" s="183">
        <f t="shared" si="10"/>
        <v>796.02344200000005</v>
      </c>
      <c r="S120" s="183">
        <f t="shared" si="11"/>
        <v>0</v>
      </c>
      <c r="T120" s="179"/>
    </row>
    <row r="121" spans="1:20">
      <c r="A121" s="508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2">
        <f>'A.1. Plantilla_Subrogacion'!F121</f>
        <v>0</v>
      </c>
      <c r="H121" s="181">
        <f>'A.1.0_TablaAntigüedad_Sub'!J121</f>
        <v>127</v>
      </c>
      <c r="I121" s="183">
        <f>'A.1.0_TablaAntigüedad_Sub'!X121</f>
        <v>462.44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6936.6</v>
      </c>
      <c r="O121" s="183">
        <f>'A.0_Tablas salariales SC'!$K$41</f>
        <v>23842.390000000003</v>
      </c>
      <c r="P121" s="183">
        <f>(O121+N121)*G121+'A.0_Tablas salariales SC'!$R$55*(100%-G121)</f>
        <v>2318.7400000000002</v>
      </c>
      <c r="Q121" s="184">
        <f>IF(D121=100,'A.0_Tablas salariales SC'!$D$215,IF(D121=150,'A.0_Tablas salariales SC'!$D$216,IF(D121=189,'A.0_Tablas salariales SC'!$D$217,IF(D121=400,'A.0_Tablas salariales SC'!$D$218,IF(D121=450,'A.0_Tablas salariales SC'!$D$219,IF(D121=401,'A.0_Tablas salariales SC'!$D$220,IF(D121=451,'A.0_Tablas salariales SC'!$D$221,'A.0_Tablas salariales SC'!$D$215)))))))</f>
        <v>0.34329999999999999</v>
      </c>
      <c r="R121" s="183">
        <f t="shared" si="10"/>
        <v>796.02344200000005</v>
      </c>
      <c r="S121" s="183">
        <f t="shared" si="11"/>
        <v>0</v>
      </c>
      <c r="T121" s="179"/>
    </row>
    <row r="122" spans="1:20">
      <c r="A122" s="508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2">
        <f>'A.1. Plantilla_Subrogacion'!F122</f>
        <v>0</v>
      </c>
      <c r="H122" s="181">
        <f>'A.1.0_TablaAntigüedad_Sub'!J122</f>
        <v>127</v>
      </c>
      <c r="I122" s="183">
        <f>'A.1.0_TablaAntigüedad_Sub'!X122</f>
        <v>462.44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6936.6</v>
      </c>
      <c r="O122" s="183">
        <f>'A.0_Tablas salariales SC'!$K$41</f>
        <v>23842.390000000003</v>
      </c>
      <c r="P122" s="183">
        <f>(O122+N122)*G122+'A.0_Tablas salariales SC'!$R$55*(100%-G122)</f>
        <v>2318.7400000000002</v>
      </c>
      <c r="Q122" s="184">
        <f>IF(D122=100,'A.0_Tablas salariales SC'!$D$215,IF(D122=150,'A.0_Tablas salariales SC'!$D$216,IF(D122=189,'A.0_Tablas salariales SC'!$D$217,IF(D122=400,'A.0_Tablas salariales SC'!$D$218,IF(D122=450,'A.0_Tablas salariales SC'!$D$219,IF(D122=401,'A.0_Tablas salariales SC'!$D$220,IF(D122=451,'A.0_Tablas salariales SC'!$D$221,'A.0_Tablas salariales SC'!$D$215)))))))</f>
        <v>0.34329999999999999</v>
      </c>
      <c r="R122" s="183">
        <f t="shared" si="10"/>
        <v>796.02344200000005</v>
      </c>
      <c r="S122" s="183">
        <f t="shared" si="11"/>
        <v>0</v>
      </c>
      <c r="T122" s="179"/>
    </row>
    <row r="123" spans="1:20">
      <c r="A123" s="508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2">
        <f>'A.1. Plantilla_Subrogacion'!F123</f>
        <v>0</v>
      </c>
      <c r="H123" s="181">
        <f>'A.1.0_TablaAntigüedad_Sub'!J123</f>
        <v>127</v>
      </c>
      <c r="I123" s="183">
        <f>'A.1.0_TablaAntigüedad_Sub'!X123</f>
        <v>462.44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6936.6</v>
      </c>
      <c r="O123" s="183">
        <f>'A.0_Tablas salariales SC'!$K$41</f>
        <v>23842.390000000003</v>
      </c>
      <c r="P123" s="183">
        <f>(O123+N123)*G123+'A.0_Tablas salariales SC'!$R$55*(100%-G123)</f>
        <v>2318.7400000000002</v>
      </c>
      <c r="Q123" s="184">
        <f>IF(D123=100,'A.0_Tablas salariales SC'!$D$215,IF(D123=150,'A.0_Tablas salariales SC'!$D$216,IF(D123=189,'A.0_Tablas salariales SC'!$D$217,IF(D123=400,'A.0_Tablas salariales SC'!$D$218,IF(D123=450,'A.0_Tablas salariales SC'!$D$219,IF(D123=401,'A.0_Tablas salariales SC'!$D$220,IF(D123=451,'A.0_Tablas salariales SC'!$D$221,'A.0_Tablas salariales SC'!$D$215)))))))</f>
        <v>0.34329999999999999</v>
      </c>
      <c r="R123" s="183">
        <f t="shared" ref="R123:R137" si="12">Q123*P123</f>
        <v>796.02344200000005</v>
      </c>
      <c r="S123" s="183">
        <f t="shared" ref="S123:S137" si="13">(R123+P123)*A123</f>
        <v>0</v>
      </c>
      <c r="T123" s="179"/>
    </row>
    <row r="124" spans="1:20">
      <c r="A124" s="508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2">
        <f>'A.1. Plantilla_Subrogacion'!F124</f>
        <v>0</v>
      </c>
      <c r="H124" s="181">
        <f>'A.1.0_TablaAntigüedad_Sub'!J124</f>
        <v>127</v>
      </c>
      <c r="I124" s="183">
        <f>'A.1.0_TablaAntigüedad_Sub'!X124</f>
        <v>462.44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6936.6</v>
      </c>
      <c r="O124" s="183">
        <f>'A.0_Tablas salariales SC'!$K$41</f>
        <v>23842.390000000003</v>
      </c>
      <c r="P124" s="183">
        <f>(O124+N124)*G124+'A.0_Tablas salariales SC'!$R$55*(100%-G124)</f>
        <v>2318.7400000000002</v>
      </c>
      <c r="Q124" s="184">
        <f>IF(D124=100,'A.0_Tablas salariales SC'!$D$215,IF(D124=150,'A.0_Tablas salariales SC'!$D$216,IF(D124=189,'A.0_Tablas salariales SC'!$D$217,IF(D124=400,'A.0_Tablas salariales SC'!$D$218,IF(D124=450,'A.0_Tablas salariales SC'!$D$219,IF(D124=401,'A.0_Tablas salariales SC'!$D$220,IF(D124=451,'A.0_Tablas salariales SC'!$D$221,'A.0_Tablas salariales SC'!$D$215)))))))</f>
        <v>0.34329999999999999</v>
      </c>
      <c r="R124" s="183">
        <f t="shared" si="12"/>
        <v>796.02344200000005</v>
      </c>
      <c r="S124" s="183">
        <f t="shared" si="13"/>
        <v>0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'A.1.0_TablaAntigüedad_Sub'!J125</f>
        <v>127</v>
      </c>
      <c r="I125" s="183">
        <f>'A.1.0_TablaAntigüedad_Sub'!X125</f>
        <v>462.44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6936.6</v>
      </c>
      <c r="O125" s="183">
        <f>'A.0_Tablas salariales SC'!$K$41</f>
        <v>23842.390000000003</v>
      </c>
      <c r="P125" s="183">
        <f>(O125+N125)*G125+'A.0_Tablas salariales SC'!$R$55*(100%-G125)</f>
        <v>2318.7400000000002</v>
      </c>
      <c r="Q125" s="184">
        <f>IF(D125=100,'A.0_Tablas salariales SC'!$D$215,IF(D125=150,'A.0_Tablas salariales SC'!$D$216,IF(D125=189,'A.0_Tablas salariales SC'!$D$217,IF(D125=400,'A.0_Tablas salariales SC'!$D$218,IF(D125=450,'A.0_Tablas salariales SC'!$D$219,IF(D125=401,'A.0_Tablas salariales SC'!$D$220,IF(D125=451,'A.0_Tablas salariales SC'!$D$221,'A.0_Tablas salariales SC'!$D$215)))))))</f>
        <v>0.34329999999999999</v>
      </c>
      <c r="R125" s="183">
        <f t="shared" si="12"/>
        <v>796.02344200000005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'A.1.0_TablaAntigüedad_Sub'!J126</f>
        <v>127</v>
      </c>
      <c r="I126" s="183">
        <f>'A.1.0_TablaAntigüedad_Sub'!X126</f>
        <v>462.44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6936.6</v>
      </c>
      <c r="O126" s="183">
        <f>'A.0_Tablas salariales SC'!$K$41</f>
        <v>23842.390000000003</v>
      </c>
      <c r="P126" s="183">
        <f>(O126+N126)*G126+'A.0_Tablas salariales SC'!$R$55*(100%-G126)</f>
        <v>2318.7400000000002</v>
      </c>
      <c r="Q126" s="184">
        <f>IF(D126=100,'A.0_Tablas salariales SC'!$D$215,IF(D126=150,'A.0_Tablas salariales SC'!$D$216,IF(D126=189,'A.0_Tablas salariales SC'!$D$217,IF(D126=400,'A.0_Tablas salariales SC'!$D$218,IF(D126=450,'A.0_Tablas salariales SC'!$D$219,IF(D126=401,'A.0_Tablas salariales SC'!$D$220,IF(D126=451,'A.0_Tablas salariales SC'!$D$221,'A.0_Tablas salariales SC'!$D$215)))))))</f>
        <v>0.34329999999999999</v>
      </c>
      <c r="R126" s="183">
        <f t="shared" si="12"/>
        <v>796.02344200000005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'A.1.0_TablaAntigüedad_Sub'!J127</f>
        <v>127</v>
      </c>
      <c r="I127" s="183">
        <f>'A.1.0_TablaAntigüedad_Sub'!X127</f>
        <v>462.44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6936.6</v>
      </c>
      <c r="O127" s="183">
        <f>'A.0_Tablas salariales SC'!$K$41</f>
        <v>23842.390000000003</v>
      </c>
      <c r="P127" s="183">
        <f>(O127+N127)*G127+'A.0_Tablas salariales SC'!$R$55*(100%-G127)</f>
        <v>2318.7400000000002</v>
      </c>
      <c r="Q127" s="184">
        <f>IF(D127=100,'A.0_Tablas salariales SC'!$D$215,IF(D127=150,'A.0_Tablas salariales SC'!$D$216,IF(D127=189,'A.0_Tablas salariales SC'!$D$217,IF(D127=400,'A.0_Tablas salariales SC'!$D$218,IF(D127=450,'A.0_Tablas salariales SC'!$D$219,IF(D127=401,'A.0_Tablas salariales SC'!$D$220,IF(D127=451,'A.0_Tablas salariales SC'!$D$221,'A.0_Tablas salariales SC'!$D$215)))))))</f>
        <v>0.34329999999999999</v>
      </c>
      <c r="R127" s="183">
        <f t="shared" si="12"/>
        <v>796.02344200000005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'A.1.0_TablaAntigüedad_Sub'!J128</f>
        <v>127</v>
      </c>
      <c r="I128" s="183">
        <f>'A.1.0_TablaAntigüedad_Sub'!X128</f>
        <v>462.44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6936.6</v>
      </c>
      <c r="O128" s="183">
        <f>'A.0_Tablas salariales SC'!$K$41</f>
        <v>23842.390000000003</v>
      </c>
      <c r="P128" s="183">
        <f>(O128+N128)*G128+'A.0_Tablas salariales SC'!$R$55*(100%-G128)</f>
        <v>2318.7400000000002</v>
      </c>
      <c r="Q128" s="184">
        <f>IF(D128=100,'A.0_Tablas salariales SC'!$D$215,IF(D128=150,'A.0_Tablas salariales SC'!$D$216,IF(D128=189,'A.0_Tablas salariales SC'!$D$217,IF(D128=400,'A.0_Tablas salariales SC'!$D$218,IF(D128=450,'A.0_Tablas salariales SC'!$D$219,IF(D128=401,'A.0_Tablas salariales SC'!$D$220,IF(D128=451,'A.0_Tablas salariales SC'!$D$221,'A.0_Tablas salariales SC'!$D$215)))))))</f>
        <v>0.34329999999999999</v>
      </c>
      <c r="R128" s="183">
        <f t="shared" si="12"/>
        <v>796.02344200000005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'A.1.0_TablaAntigüedad_Sub'!J129</f>
        <v>127</v>
      </c>
      <c r="I129" s="183">
        <f>'A.1.0_TablaAntigüedad_Sub'!X129</f>
        <v>462.44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6936.6</v>
      </c>
      <c r="O129" s="183">
        <f>'A.0_Tablas salariales SC'!$K$41</f>
        <v>23842.390000000003</v>
      </c>
      <c r="P129" s="183">
        <f>(O129+N129)*G129+'A.0_Tablas salariales SC'!$R$55*(100%-G129)</f>
        <v>2318.7400000000002</v>
      </c>
      <c r="Q129" s="184">
        <f>IF(D129=100,'A.0_Tablas salariales SC'!$D$215,IF(D129=150,'A.0_Tablas salariales SC'!$D$216,IF(D129=189,'A.0_Tablas salariales SC'!$D$217,IF(D129=400,'A.0_Tablas salariales SC'!$D$218,IF(D129=450,'A.0_Tablas salariales SC'!$D$219,IF(D129=401,'A.0_Tablas salariales SC'!$D$220,IF(D129=451,'A.0_Tablas salariales SC'!$D$221,'A.0_Tablas salariales SC'!$D$215)))))))</f>
        <v>0.34329999999999999</v>
      </c>
      <c r="R129" s="183">
        <f t="shared" si="12"/>
        <v>796.02344200000005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'A.1.0_TablaAntigüedad_Sub'!J130</f>
        <v>127</v>
      </c>
      <c r="I130" s="183">
        <f>'A.1.0_TablaAntigüedad_Sub'!X130</f>
        <v>462.44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6936.6</v>
      </c>
      <c r="O130" s="183">
        <f>'A.0_Tablas salariales SC'!$K$41</f>
        <v>23842.390000000003</v>
      </c>
      <c r="P130" s="183">
        <f>(O130+N130)*G130+'A.0_Tablas salariales SC'!$R$55*(100%-G130)</f>
        <v>2318.7400000000002</v>
      </c>
      <c r="Q130" s="184">
        <f>IF(D130=100,'A.0_Tablas salariales SC'!$D$215,IF(D130=150,'A.0_Tablas salariales SC'!$D$216,IF(D130=189,'A.0_Tablas salariales SC'!$D$217,IF(D130=400,'A.0_Tablas salariales SC'!$D$218,IF(D130=450,'A.0_Tablas salariales SC'!$D$219,IF(D130=401,'A.0_Tablas salariales SC'!$D$220,IF(D130=451,'A.0_Tablas salariales SC'!$D$221,'A.0_Tablas salariales SC'!$D$215)))))))</f>
        <v>0.34329999999999999</v>
      </c>
      <c r="R130" s="183">
        <f t="shared" si="12"/>
        <v>796.02344200000005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'A.1.0_TablaAntigüedad_Sub'!J131</f>
        <v>127</v>
      </c>
      <c r="I131" s="183">
        <f>'A.1.0_TablaAntigüedad_Sub'!X131</f>
        <v>462.44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6936.6</v>
      </c>
      <c r="O131" s="183">
        <f>'A.0_Tablas salariales SC'!$K$41</f>
        <v>23842.390000000003</v>
      </c>
      <c r="P131" s="183">
        <f>(O131+N131)*G131+'A.0_Tablas salariales SC'!$R$55*(100%-G131)</f>
        <v>2318.7400000000002</v>
      </c>
      <c r="Q131" s="184">
        <f>IF(D131=100,'A.0_Tablas salariales SC'!$D$215,IF(D131=150,'A.0_Tablas salariales SC'!$D$216,IF(D131=189,'A.0_Tablas salariales SC'!$D$217,IF(D131=400,'A.0_Tablas salariales SC'!$D$218,IF(D131=450,'A.0_Tablas salariales SC'!$D$219,IF(D131=401,'A.0_Tablas salariales SC'!$D$220,IF(D131=451,'A.0_Tablas salariales SC'!$D$221,'A.0_Tablas salariales SC'!$D$215)))))))</f>
        <v>0.34329999999999999</v>
      </c>
      <c r="R131" s="183">
        <f t="shared" si="12"/>
        <v>796.02344200000005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'A.1.0_TablaAntigüedad_Sub'!J132</f>
        <v>127</v>
      </c>
      <c r="I132" s="183">
        <f>'A.1.0_TablaAntigüedad_Sub'!X132</f>
        <v>462.44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6936.6</v>
      </c>
      <c r="O132" s="183">
        <f>'A.0_Tablas salariales SC'!$K$41</f>
        <v>23842.390000000003</v>
      </c>
      <c r="P132" s="183">
        <f>(O132+N132)*G132+'A.0_Tablas salariales SC'!$R$55*(100%-G132)</f>
        <v>2318.7400000000002</v>
      </c>
      <c r="Q132" s="184">
        <f>IF(D132=100,'A.0_Tablas salariales SC'!$D$215,IF(D132=150,'A.0_Tablas salariales SC'!$D$216,IF(D132=189,'A.0_Tablas salariales SC'!$D$217,IF(D132=400,'A.0_Tablas salariales SC'!$D$218,IF(D132=450,'A.0_Tablas salariales SC'!$D$219,IF(D132=401,'A.0_Tablas salariales SC'!$D$220,IF(D132=451,'A.0_Tablas salariales SC'!$D$221,'A.0_Tablas salariales SC'!$D$215)))))))</f>
        <v>0.34329999999999999</v>
      </c>
      <c r="R132" s="183">
        <f t="shared" si="12"/>
        <v>796.02344200000005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'A.1.0_TablaAntigüedad_Sub'!J133</f>
        <v>127</v>
      </c>
      <c r="I133" s="183">
        <f>'A.1.0_TablaAntigüedad_Sub'!X133</f>
        <v>462.44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6936.6</v>
      </c>
      <c r="O133" s="183">
        <f>'A.0_Tablas salariales SC'!$K$41</f>
        <v>23842.390000000003</v>
      </c>
      <c r="P133" s="183">
        <f>(O133+N133)*G133+'A.0_Tablas salariales SC'!$R$55*(100%-G133)</f>
        <v>2318.7400000000002</v>
      </c>
      <c r="Q133" s="184">
        <f>IF(D133=100,'A.0_Tablas salariales SC'!$D$215,IF(D133=150,'A.0_Tablas salariales SC'!$D$216,IF(D133=189,'A.0_Tablas salariales SC'!$D$217,IF(D133=400,'A.0_Tablas salariales SC'!$D$218,IF(D133=450,'A.0_Tablas salariales SC'!$D$219,IF(D133=401,'A.0_Tablas salariales SC'!$D$220,IF(D133=451,'A.0_Tablas salariales SC'!$D$221,'A.0_Tablas salariales SC'!$D$215)))))))</f>
        <v>0.34329999999999999</v>
      </c>
      <c r="R133" s="183">
        <f t="shared" si="12"/>
        <v>796.02344200000005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'A.1.0_TablaAntigüedad_Sub'!J134</f>
        <v>127</v>
      </c>
      <c r="I134" s="183">
        <f>'A.1.0_TablaAntigüedad_Sub'!X134</f>
        <v>462.44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6936.6</v>
      </c>
      <c r="O134" s="183">
        <f>'A.0_Tablas salariales SC'!$K$41</f>
        <v>23842.390000000003</v>
      </c>
      <c r="P134" s="183">
        <f>(O134+N134)*G134+'A.0_Tablas salariales SC'!$R$55*(100%-G134)</f>
        <v>2318.7400000000002</v>
      </c>
      <c r="Q134" s="184">
        <f>IF(D134=100,'A.0_Tablas salariales SC'!$D$215,IF(D134=150,'A.0_Tablas salariales SC'!$D$216,IF(D134=189,'A.0_Tablas salariales SC'!$D$217,IF(D134=400,'A.0_Tablas salariales SC'!$D$218,IF(D134=450,'A.0_Tablas salariales SC'!$D$219,IF(D134=401,'A.0_Tablas salariales SC'!$D$220,IF(D134=451,'A.0_Tablas salariales SC'!$D$221,'A.0_Tablas salariales SC'!$D$215)))))))</f>
        <v>0.34329999999999999</v>
      </c>
      <c r="R134" s="183">
        <f t="shared" si="12"/>
        <v>796.02344200000005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'A.1.0_TablaAntigüedad_Sub'!J135</f>
        <v>127</v>
      </c>
      <c r="I135" s="183">
        <f>'A.1.0_TablaAntigüedad_Sub'!X135</f>
        <v>462.44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6936.6</v>
      </c>
      <c r="O135" s="183">
        <f>'A.0_Tablas salariales SC'!$K$41</f>
        <v>23842.390000000003</v>
      </c>
      <c r="P135" s="183">
        <f>(O135+N135)*G135+'A.0_Tablas salariales SC'!$R$55*(100%-G135)</f>
        <v>2318.7400000000002</v>
      </c>
      <c r="Q135" s="184">
        <f>IF(D135=100,'A.0_Tablas salariales SC'!$D$215,IF(D135=150,'A.0_Tablas salariales SC'!$D$216,IF(D135=189,'A.0_Tablas salariales SC'!$D$217,IF(D135=400,'A.0_Tablas salariales SC'!$D$218,IF(D135=450,'A.0_Tablas salariales SC'!$D$219,IF(D135=401,'A.0_Tablas salariales SC'!$D$220,IF(D135=451,'A.0_Tablas salariales SC'!$D$221,'A.0_Tablas salariales SC'!$D$215)))))))</f>
        <v>0.34329999999999999</v>
      </c>
      <c r="R135" s="183">
        <f t="shared" si="12"/>
        <v>796.02344200000005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'A.1.0_TablaAntigüedad_Sub'!J136</f>
        <v>127</v>
      </c>
      <c r="I136" s="183">
        <f>'A.1.0_TablaAntigüedad_Sub'!X136</f>
        <v>462.44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6936.6</v>
      </c>
      <c r="O136" s="183">
        <f>'A.0_Tablas salariales SC'!$K$41</f>
        <v>23842.390000000003</v>
      </c>
      <c r="P136" s="183">
        <f>(O136+N136)*G136+'A.0_Tablas salariales SC'!$R$55*(100%-G136)</f>
        <v>2318.7400000000002</v>
      </c>
      <c r="Q136" s="184">
        <f>IF(D136=100,'A.0_Tablas salariales SC'!$D$215,IF(D136=150,'A.0_Tablas salariales SC'!$D$216,IF(D136=189,'A.0_Tablas salariales SC'!$D$217,IF(D136=400,'A.0_Tablas salariales SC'!$D$218,IF(D136=450,'A.0_Tablas salariales SC'!$D$219,IF(D136=401,'A.0_Tablas salariales SC'!$D$220,IF(D136=451,'A.0_Tablas salariales SC'!$D$221,'A.0_Tablas salariales SC'!$D$215)))))))</f>
        <v>0.34329999999999999</v>
      </c>
      <c r="R136" s="183">
        <f t="shared" si="12"/>
        <v>796.02344200000005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'A.1.0_TablaAntigüedad_Sub'!J137</f>
        <v>127</v>
      </c>
      <c r="I137" s="183">
        <f>'A.1.0_TablaAntigüedad_Sub'!X137</f>
        <v>462.44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6936.6</v>
      </c>
      <c r="O137" s="183">
        <f>'A.0_Tablas salariales SC'!$K$41</f>
        <v>23842.390000000003</v>
      </c>
      <c r="P137" s="183">
        <f>(O137+N137)*G137+'A.0_Tablas salariales SC'!$R$55*(100%-G137)</f>
        <v>2318.7400000000002</v>
      </c>
      <c r="Q137" s="184">
        <f>IF(D137=100,'A.0_Tablas salariales SC'!$D$215,IF(D137=150,'A.0_Tablas salariales SC'!$D$216,IF(D137=189,'A.0_Tablas salariales SC'!$D$217,IF(D137=400,'A.0_Tablas salariales SC'!$D$218,IF(D137=450,'A.0_Tablas salariales SC'!$D$219,IF(D137=401,'A.0_Tablas salariales SC'!$D$220,IF(D137=451,'A.0_Tablas salariales SC'!$D$221,'A.0_Tablas salariales SC'!$D$215)))))))</f>
        <v>0.34329999999999999</v>
      </c>
      <c r="R137" s="183">
        <f t="shared" si="12"/>
        <v>796.02344200000005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'A.1.0_TablaAntigüedad_Sub'!J138</f>
        <v>127</v>
      </c>
      <c r="I138" s="183">
        <f>'A.1.0_TablaAntigüedad_Sub'!X138</f>
        <v>462.44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6936.6</v>
      </c>
      <c r="O138" s="183">
        <f>'A.0_Tablas salariales SC'!$K$41</f>
        <v>23842.390000000003</v>
      </c>
      <c r="P138" s="183">
        <f>(O138+N138)*G138+'A.0_Tablas salariales SC'!$R$55*(100%-G138)</f>
        <v>2318.7400000000002</v>
      </c>
      <c r="Q138" s="184">
        <f>IF(D138=100,'A.0_Tablas salariales SC'!$D$215,IF(D138=150,'A.0_Tablas salariales SC'!$D$216,IF(D138=189,'A.0_Tablas salariales SC'!$D$217,IF(D138=400,'A.0_Tablas salariales SC'!$D$218,IF(D138=450,'A.0_Tablas salariales SC'!$D$219,IF(D138=401,'A.0_Tablas salariales SC'!$D$220,IF(D138=451,'A.0_Tablas salariales SC'!$D$221,'A.0_Tablas salariales SC'!$D$215)))))))</f>
        <v>0.34329999999999999</v>
      </c>
      <c r="R138" s="183">
        <f t="shared" si="10"/>
        <v>796.02344200000005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0</v>
      </c>
    </row>
    <row r="140" spans="1:20">
      <c r="A140" s="508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2">
        <f>'A.1. Plantilla_Subrogacion'!F140</f>
        <v>0</v>
      </c>
      <c r="H140" s="181">
        <f>'A.1.0_TablaAntigüedad_Sub'!J140</f>
        <v>127</v>
      </c>
      <c r="I140" s="183">
        <f>'A.1.0_TablaAntigüedad_Sub'!X140</f>
        <v>462.44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6936.6</v>
      </c>
      <c r="O140" s="183">
        <f>'A.0_Tablas salariales SC'!$K$41</f>
        <v>23842.390000000003</v>
      </c>
      <c r="P140" s="183">
        <f>(O140+N140)*G140+'A.0_Tablas salariales SC'!$R$55*(100%-G140)</f>
        <v>2318.7400000000002</v>
      </c>
      <c r="Q140" s="492">
        <f>IF(D140=100,'A.0_Tablas salariales SC'!$D$227,IF(D140=150,'A.0_Tablas salariales SC'!$D$228,IF(D140=189,'A.0_Tablas salariales SC'!$D$229,IF(D140=400,'A.0_Tablas salariales SC'!$D$230,IF(D140=450,'A.0_Tablas salariales SC'!$D$231,IF(D140=401,'A.0_Tablas salariales SC'!$D$232,IF(D140=451,'A.0_Tablas salariales SC'!$D$233,'A.0_Tablas salariales SC'!$C$227)))))))</f>
        <v>0.3735</v>
      </c>
      <c r="R140" s="183">
        <f t="shared" si="10"/>
        <v>866.04939000000013</v>
      </c>
      <c r="S140" s="183">
        <f t="shared" si="11"/>
        <v>0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'A.1.0_TablaAntigüedad_Sub'!J141</f>
        <v>127</v>
      </c>
      <c r="I141" s="183">
        <f>'A.1.0_TablaAntigüedad_Sub'!X141</f>
        <v>462.44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6936.6</v>
      </c>
      <c r="O141" s="183">
        <f>'A.0_Tablas salariales SC'!$K$41</f>
        <v>23842.390000000003</v>
      </c>
      <c r="P141" s="183">
        <f>(O141+N141)*G141+'A.0_Tablas salariales SC'!$R$55*(100%-G141)</f>
        <v>2318.7400000000002</v>
      </c>
      <c r="Q141" s="492">
        <f>IF(D141=100,'A.0_Tablas salariales SC'!$D$227,IF(D141=150,'A.0_Tablas salariales SC'!$D$228,IF(D141=189,'A.0_Tablas salariales SC'!$D$229,IF(D141=400,'A.0_Tablas salariales SC'!$D$230,IF(D141=450,'A.0_Tablas salariales SC'!$D$231,IF(D141=401,'A.0_Tablas salariales SC'!$D$232,IF(D141=451,'A.0_Tablas salariales SC'!$D$233,'A.0_Tablas salariales SC'!$C$227)))))))</f>
        <v>0.3735</v>
      </c>
      <c r="R141" s="183">
        <f t="shared" si="10"/>
        <v>866.04939000000013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'A.1.0_TablaAntigüedad_Sub'!J142</f>
        <v>127</v>
      </c>
      <c r="I142" s="183">
        <f>'A.1.0_TablaAntigüedad_Sub'!X142</f>
        <v>462.44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6936.6</v>
      </c>
      <c r="O142" s="183">
        <f>'A.0_Tablas salariales SC'!$K$41</f>
        <v>23842.390000000003</v>
      </c>
      <c r="P142" s="183">
        <f>(O142+N142)*G142+'A.0_Tablas salariales SC'!$R$55*(100%-G142)</f>
        <v>2318.7400000000002</v>
      </c>
      <c r="Q142" s="492">
        <f>IF(D142=100,'A.0_Tablas salariales SC'!$D$227,IF(D142=150,'A.0_Tablas salariales SC'!$D$228,IF(D142=189,'A.0_Tablas salariales SC'!$D$229,IF(D142=400,'A.0_Tablas salariales SC'!$D$230,IF(D142=450,'A.0_Tablas salariales SC'!$D$231,IF(D142=401,'A.0_Tablas salariales SC'!$D$232,IF(D142=451,'A.0_Tablas salariales SC'!$D$233,'A.0_Tablas salariales SC'!$C$227)))))))</f>
        <v>0.3735</v>
      </c>
      <c r="R142" s="183">
        <f t="shared" si="10"/>
        <v>866.04939000000013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'A.1.0_TablaAntigüedad_Sub'!J143</f>
        <v>127</v>
      </c>
      <c r="I143" s="183">
        <f>'A.1.0_TablaAntigüedad_Sub'!X143</f>
        <v>462.44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6936.6</v>
      </c>
      <c r="O143" s="183">
        <f>'A.0_Tablas salariales SC'!$K$41</f>
        <v>23842.390000000003</v>
      </c>
      <c r="P143" s="183">
        <f>(O143+N143)*G143+'A.0_Tablas salariales SC'!$R$55*(100%-G143)</f>
        <v>2318.7400000000002</v>
      </c>
      <c r="Q143" s="492">
        <f>IF(D143=100,'A.0_Tablas salariales SC'!$D$227,IF(D143=150,'A.0_Tablas salariales SC'!$D$228,IF(D143=189,'A.0_Tablas salariales SC'!$D$229,IF(D143=400,'A.0_Tablas salariales SC'!$D$230,IF(D143=450,'A.0_Tablas salariales SC'!$D$231,IF(D143=401,'A.0_Tablas salariales SC'!$D$232,IF(D143=451,'A.0_Tablas salariales SC'!$D$233,'A.0_Tablas salariales SC'!$C$227)))))))</f>
        <v>0.3735</v>
      </c>
      <c r="R143" s="183">
        <f t="shared" ref="R143:R150" si="15">Q143*P143</f>
        <v>866.04939000000013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'A.1.0_TablaAntigüedad_Sub'!J144</f>
        <v>127</v>
      </c>
      <c r="I144" s="183">
        <f>'A.1.0_TablaAntigüedad_Sub'!X144</f>
        <v>462.44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6936.6</v>
      </c>
      <c r="O144" s="183">
        <f>'A.0_Tablas salariales SC'!$K$41</f>
        <v>23842.390000000003</v>
      </c>
      <c r="P144" s="183">
        <f>(O144+N144)*G144+'A.0_Tablas salariales SC'!$R$55*(100%-G144)</f>
        <v>2318.7400000000002</v>
      </c>
      <c r="Q144" s="492">
        <f>IF(D144=100,'A.0_Tablas salariales SC'!$D$227,IF(D144=150,'A.0_Tablas salariales SC'!$D$228,IF(D144=189,'A.0_Tablas salariales SC'!$D$229,IF(D144=400,'A.0_Tablas salariales SC'!$D$230,IF(D144=450,'A.0_Tablas salariales SC'!$D$231,IF(D144=401,'A.0_Tablas salariales SC'!$D$232,IF(D144=451,'A.0_Tablas salariales SC'!$D$233,'A.0_Tablas salariales SC'!$C$227)))))))</f>
        <v>0.3735</v>
      </c>
      <c r="R144" s="183">
        <f t="shared" si="15"/>
        <v>866.04939000000013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'A.1.0_TablaAntigüedad_Sub'!J145</f>
        <v>127</v>
      </c>
      <c r="I145" s="183">
        <f>'A.1.0_TablaAntigüedad_Sub'!X145</f>
        <v>462.44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6936.6</v>
      </c>
      <c r="O145" s="183">
        <f>'A.0_Tablas salariales SC'!$K$41</f>
        <v>23842.390000000003</v>
      </c>
      <c r="P145" s="183">
        <f>(O145+N145)*G145+'A.0_Tablas salariales SC'!$R$55*(100%-G145)</f>
        <v>2318.7400000000002</v>
      </c>
      <c r="Q145" s="492">
        <f>IF(D145=100,'A.0_Tablas salariales SC'!$D$227,IF(D145=150,'A.0_Tablas salariales SC'!$D$228,IF(D145=189,'A.0_Tablas salariales SC'!$D$229,IF(D145=400,'A.0_Tablas salariales SC'!$D$230,IF(D145=450,'A.0_Tablas salariales SC'!$D$231,IF(D145=401,'A.0_Tablas salariales SC'!$D$232,IF(D145=451,'A.0_Tablas salariales SC'!$D$233,'A.0_Tablas salariales SC'!$C$227)))))))</f>
        <v>0.3735</v>
      </c>
      <c r="R145" s="183">
        <f t="shared" si="15"/>
        <v>866.04939000000013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'A.1.0_TablaAntigüedad_Sub'!J146</f>
        <v>127</v>
      </c>
      <c r="I146" s="183">
        <f>'A.1.0_TablaAntigüedad_Sub'!X146</f>
        <v>462.44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6936.6</v>
      </c>
      <c r="O146" s="183">
        <f>'A.0_Tablas salariales SC'!$K$41</f>
        <v>23842.390000000003</v>
      </c>
      <c r="P146" s="183">
        <f>(O146+N146)*G146+'A.0_Tablas salariales SC'!$R$55*(100%-G146)</f>
        <v>2318.7400000000002</v>
      </c>
      <c r="Q146" s="492">
        <f>IF(D146=100,'A.0_Tablas salariales SC'!$D$227,IF(D146=150,'A.0_Tablas salariales SC'!$D$228,IF(D146=189,'A.0_Tablas salariales SC'!$D$229,IF(D146=400,'A.0_Tablas salariales SC'!$D$230,IF(D146=450,'A.0_Tablas salariales SC'!$D$231,IF(D146=401,'A.0_Tablas salariales SC'!$D$232,IF(D146=451,'A.0_Tablas salariales SC'!$D$233,'A.0_Tablas salariales SC'!$C$227)))))))</f>
        <v>0.3735</v>
      </c>
      <c r="R146" s="183">
        <f t="shared" si="15"/>
        <v>866.04939000000013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'A.1.0_TablaAntigüedad_Sub'!J147</f>
        <v>127</v>
      </c>
      <c r="I147" s="183">
        <f>'A.1.0_TablaAntigüedad_Sub'!X147</f>
        <v>462.44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6936.6</v>
      </c>
      <c r="O147" s="183">
        <f>'A.0_Tablas salariales SC'!$K$41</f>
        <v>23842.390000000003</v>
      </c>
      <c r="P147" s="183">
        <f>(O147+N147)*G147+'A.0_Tablas salariales SC'!$R$55*(100%-G147)</f>
        <v>2318.7400000000002</v>
      </c>
      <c r="Q147" s="492">
        <f>IF(D147=100,'A.0_Tablas salariales SC'!$D$227,IF(D147=150,'A.0_Tablas salariales SC'!$D$228,IF(D147=189,'A.0_Tablas salariales SC'!$D$229,IF(D147=400,'A.0_Tablas salariales SC'!$D$230,IF(D147=450,'A.0_Tablas salariales SC'!$D$231,IF(D147=401,'A.0_Tablas salariales SC'!$D$232,IF(D147=451,'A.0_Tablas salariales SC'!$D$233,'A.0_Tablas salariales SC'!$C$227)))))))</f>
        <v>0.3735</v>
      </c>
      <c r="R147" s="183">
        <f t="shared" si="15"/>
        <v>866.04939000000013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'A.1.0_TablaAntigüedad_Sub'!J148</f>
        <v>127</v>
      </c>
      <c r="I148" s="183">
        <f>'A.1.0_TablaAntigüedad_Sub'!X148</f>
        <v>462.44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6936.6</v>
      </c>
      <c r="O148" s="183">
        <f>'A.0_Tablas salariales SC'!$K$41</f>
        <v>23842.390000000003</v>
      </c>
      <c r="P148" s="183">
        <f>(O148+N148)*G148+'A.0_Tablas salariales SC'!$R$55*(100%-G148)</f>
        <v>2318.7400000000002</v>
      </c>
      <c r="Q148" s="492">
        <f>IF(D148=100,'A.0_Tablas salariales SC'!$D$227,IF(D148=150,'A.0_Tablas salariales SC'!$D$228,IF(D148=189,'A.0_Tablas salariales SC'!$D$229,IF(D148=400,'A.0_Tablas salariales SC'!$D$230,IF(D148=450,'A.0_Tablas salariales SC'!$D$231,IF(D148=401,'A.0_Tablas salariales SC'!$D$232,IF(D148=451,'A.0_Tablas salariales SC'!$D$233,'A.0_Tablas salariales SC'!$C$227)))))))</f>
        <v>0.3735</v>
      </c>
      <c r="R148" s="183">
        <f t="shared" si="15"/>
        <v>866.04939000000013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'A.1.0_TablaAntigüedad_Sub'!J149</f>
        <v>127</v>
      </c>
      <c r="I149" s="183">
        <f>'A.1.0_TablaAntigüedad_Sub'!X149</f>
        <v>462.44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6936.6</v>
      </c>
      <c r="O149" s="183">
        <f>'A.0_Tablas salariales SC'!$K$41</f>
        <v>23842.390000000003</v>
      </c>
      <c r="P149" s="183">
        <f>(O149+N149)*G149+'A.0_Tablas salariales SC'!$R$55*(100%-G149)</f>
        <v>2318.7400000000002</v>
      </c>
      <c r="Q149" s="492">
        <f>IF(D149=100,'A.0_Tablas salariales SC'!$D$227,IF(D149=150,'A.0_Tablas salariales SC'!$D$228,IF(D149=189,'A.0_Tablas salariales SC'!$D$229,IF(D149=400,'A.0_Tablas salariales SC'!$D$230,IF(D149=450,'A.0_Tablas salariales SC'!$D$231,IF(D149=401,'A.0_Tablas salariales SC'!$D$232,IF(D149=451,'A.0_Tablas salariales SC'!$D$233,'A.0_Tablas salariales SC'!$C$227)))))))</f>
        <v>0.3735</v>
      </c>
      <c r="R149" s="183">
        <f t="shared" si="15"/>
        <v>866.04939000000013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'A.1.0_TablaAntigüedad_Sub'!J150</f>
        <v>127</v>
      </c>
      <c r="I150" s="183">
        <f>'A.1.0_TablaAntigüedad_Sub'!X150</f>
        <v>462.44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6936.6</v>
      </c>
      <c r="O150" s="183">
        <f>'A.0_Tablas salariales SC'!$K$41</f>
        <v>23842.390000000003</v>
      </c>
      <c r="P150" s="183">
        <f>(O150+N150)*G150+'A.0_Tablas salariales SC'!$R$55*(100%-G150)</f>
        <v>2318.7400000000002</v>
      </c>
      <c r="Q150" s="492">
        <f>IF(D150=100,'A.0_Tablas salariales SC'!$D$227,IF(D150=150,'A.0_Tablas salariales SC'!$D$228,IF(D150=189,'A.0_Tablas salariales SC'!$D$229,IF(D150=400,'A.0_Tablas salariales SC'!$D$230,IF(D150=450,'A.0_Tablas salariales SC'!$D$231,IF(D150=401,'A.0_Tablas salariales SC'!$D$232,IF(D150=451,'A.0_Tablas salariales SC'!$D$233,'A.0_Tablas salariales SC'!$C$227)))))))</f>
        <v>0.3735</v>
      </c>
      <c r="R150" s="183">
        <f t="shared" si="15"/>
        <v>866.04939000000013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'A.1.0_TablaAntigüedad_Sub'!J151</f>
        <v>127</v>
      </c>
      <c r="I151" s="183">
        <f>'A.1.0_TablaAntigüedad_Sub'!X151</f>
        <v>462.44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6936.6</v>
      </c>
      <c r="O151" s="183">
        <f>'A.0_Tablas salariales SC'!$K$41</f>
        <v>23842.390000000003</v>
      </c>
      <c r="P151" s="183">
        <f>(O151+N151)*G151+'A.0_Tablas salariales SC'!$R$55*(100%-G151)</f>
        <v>2318.7400000000002</v>
      </c>
      <c r="Q151" s="492">
        <f>IF(D151=100,'A.0_Tablas salariales SC'!$D$227,IF(D151=150,'A.0_Tablas salariales SC'!$D$228,IF(D151=189,'A.0_Tablas salariales SC'!$D$229,IF(D151=400,'A.0_Tablas salariales SC'!$D$230,IF(D151=450,'A.0_Tablas salariales SC'!$D$231,IF(D151=401,'A.0_Tablas salariales SC'!$D$232,IF(D151=451,'A.0_Tablas salariales SC'!$D$233,'A.0_Tablas salariales SC'!$C$227)))))))</f>
        <v>0.3735</v>
      </c>
      <c r="R151" s="183">
        <f t="shared" si="10"/>
        <v>866.04939000000013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0</v>
      </c>
    </row>
    <row r="153" spans="1:20">
      <c r="A153" s="508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2">
        <f>'A.1. Plantilla_Subrogacion'!F153</f>
        <v>0</v>
      </c>
      <c r="H153" s="181">
        <f>'A.1.0_TablaAntigüedad_Sub'!J153</f>
        <v>127</v>
      </c>
      <c r="I153" s="183">
        <f>'A.1.0_TablaAntigüedad_Sub'!X153</f>
        <v>462.44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6936.6</v>
      </c>
      <c r="O153" s="183">
        <f>'A.0_Tablas salariales SC'!$K$44</f>
        <v>24813.940000000002</v>
      </c>
      <c r="P153" s="183">
        <f>(O153+N153)*G153+'A.0_Tablas salariales SC'!$R$55*(100%-G153)</f>
        <v>2318.7400000000002</v>
      </c>
      <c r="Q153" s="184">
        <f>IF(D153=100,'A.0_Tablas salariales SC'!$D$215,IF(D153=150,'A.0_Tablas salariales SC'!$D$216,IF(D153=189,'A.0_Tablas salariales SC'!$D$217,IF(D153=400,'A.0_Tablas salariales SC'!$D$218,IF(D153=450,'A.0_Tablas salariales SC'!$D$219,IF(D153=401,'A.0_Tablas salariales SC'!$D$220,IF(D153=451,'A.0_Tablas salariales SC'!$D$221,'A.0_Tablas salariales SC'!$D$215)))))))</f>
        <v>0.34329999999999999</v>
      </c>
      <c r="R153" s="183">
        <f t="shared" si="10"/>
        <v>796.02344200000005</v>
      </c>
      <c r="S153" s="183">
        <f t="shared" si="11"/>
        <v>0</v>
      </c>
      <c r="T153" s="179"/>
    </row>
    <row r="154" spans="1:20">
      <c r="A154" s="508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2">
        <f>'A.1. Plantilla_Subrogacion'!F154</f>
        <v>0</v>
      </c>
      <c r="H154" s="181">
        <f>'A.1.0_TablaAntigüedad_Sub'!J154</f>
        <v>127</v>
      </c>
      <c r="I154" s="183">
        <f>'A.1.0_TablaAntigüedad_Sub'!X154</f>
        <v>462.44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6936.6</v>
      </c>
      <c r="O154" s="183">
        <f>'A.0_Tablas salariales SC'!$K$44</f>
        <v>24813.940000000002</v>
      </c>
      <c r="P154" s="183">
        <f>(O154+N154)*G154+'A.0_Tablas salariales SC'!$R$55*(100%-G154)</f>
        <v>2318.7400000000002</v>
      </c>
      <c r="Q154" s="184">
        <f>IF(D154=100,'A.0_Tablas salariales SC'!$D$215,IF(D154=150,'A.0_Tablas salariales SC'!$D$216,IF(D154=189,'A.0_Tablas salariales SC'!$D$217,IF(D154=400,'A.0_Tablas salariales SC'!$D$218,IF(D154=450,'A.0_Tablas salariales SC'!$D$219,IF(D154=401,'A.0_Tablas salariales SC'!$D$220,IF(D154=451,'A.0_Tablas salariales SC'!$D$221,'A.0_Tablas salariales SC'!$D$215)))))))</f>
        <v>0.34329999999999999</v>
      </c>
      <c r="R154" s="183">
        <f t="shared" ref="R154:R161" si="17">Q154*P154</f>
        <v>796.02344200000005</v>
      </c>
      <c r="S154" s="183">
        <f t="shared" ref="S154:S161" si="18">(R154+P154)*A154</f>
        <v>0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'A.1.0_TablaAntigüedad_Sub'!J155</f>
        <v>127</v>
      </c>
      <c r="I155" s="183">
        <f>'A.1.0_TablaAntigüedad_Sub'!X155</f>
        <v>462.44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6936.6</v>
      </c>
      <c r="O155" s="183">
        <f>'A.0_Tablas salariales SC'!$K$44</f>
        <v>24813.940000000002</v>
      </c>
      <c r="P155" s="183">
        <f>(O155+N155)*G155+'A.0_Tablas salariales SC'!$R$55*(100%-G155)</f>
        <v>2318.7400000000002</v>
      </c>
      <c r="Q155" s="184">
        <f>IF(D155=100,'A.0_Tablas salariales SC'!$D$215,IF(D155=150,'A.0_Tablas salariales SC'!$D$216,IF(D155=189,'A.0_Tablas salariales SC'!$D$217,IF(D155=400,'A.0_Tablas salariales SC'!$D$218,IF(D155=450,'A.0_Tablas salariales SC'!$D$219,IF(D155=401,'A.0_Tablas salariales SC'!$D$220,IF(D155=451,'A.0_Tablas salariales SC'!$D$221,'A.0_Tablas salariales SC'!$D$215)))))))</f>
        <v>0.34329999999999999</v>
      </c>
      <c r="R155" s="183">
        <f t="shared" si="17"/>
        <v>796.02344200000005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'A.1.0_TablaAntigüedad_Sub'!J156</f>
        <v>127</v>
      </c>
      <c r="I156" s="183">
        <f>'A.1.0_TablaAntigüedad_Sub'!X156</f>
        <v>462.44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6936.6</v>
      </c>
      <c r="O156" s="183">
        <f>'A.0_Tablas salariales SC'!$K$44</f>
        <v>24813.940000000002</v>
      </c>
      <c r="P156" s="183">
        <f>(O156+N156)*G156+'A.0_Tablas salariales SC'!$R$55*(100%-G156)</f>
        <v>2318.7400000000002</v>
      </c>
      <c r="Q156" s="184">
        <f>IF(D156=100,'A.0_Tablas salariales SC'!$D$215,IF(D156=150,'A.0_Tablas salariales SC'!$D$216,IF(D156=189,'A.0_Tablas salariales SC'!$D$217,IF(D156=400,'A.0_Tablas salariales SC'!$D$218,IF(D156=450,'A.0_Tablas salariales SC'!$D$219,IF(D156=401,'A.0_Tablas salariales SC'!$D$220,IF(D156=451,'A.0_Tablas salariales SC'!$D$221,'A.0_Tablas salariales SC'!$D$215)))))))</f>
        <v>0.34329999999999999</v>
      </c>
      <c r="R156" s="183">
        <f t="shared" si="17"/>
        <v>796.02344200000005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'A.1.0_TablaAntigüedad_Sub'!J157</f>
        <v>127</v>
      </c>
      <c r="I157" s="183">
        <f>'A.1.0_TablaAntigüedad_Sub'!X157</f>
        <v>462.44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6936.6</v>
      </c>
      <c r="O157" s="183">
        <f>'A.0_Tablas salariales SC'!$K$44</f>
        <v>24813.940000000002</v>
      </c>
      <c r="P157" s="183">
        <f>(O157+N157)*G157+'A.0_Tablas salariales SC'!$R$55*(100%-G157)</f>
        <v>2318.7400000000002</v>
      </c>
      <c r="Q157" s="184">
        <f>IF(D157=100,'A.0_Tablas salariales SC'!$D$215,IF(D157=150,'A.0_Tablas salariales SC'!$D$216,IF(D157=189,'A.0_Tablas salariales SC'!$D$217,IF(D157=400,'A.0_Tablas salariales SC'!$D$218,IF(D157=450,'A.0_Tablas salariales SC'!$D$219,IF(D157=401,'A.0_Tablas salariales SC'!$D$220,IF(D157=451,'A.0_Tablas salariales SC'!$D$221,'A.0_Tablas salariales SC'!$D$215)))))))</f>
        <v>0.34329999999999999</v>
      </c>
      <c r="R157" s="183">
        <f t="shared" si="17"/>
        <v>796.02344200000005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'A.1.0_TablaAntigüedad_Sub'!J158</f>
        <v>127</v>
      </c>
      <c r="I158" s="183">
        <f>'A.1.0_TablaAntigüedad_Sub'!X158</f>
        <v>462.44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6936.6</v>
      </c>
      <c r="O158" s="183">
        <f>'A.0_Tablas salariales SC'!$K$44</f>
        <v>24813.940000000002</v>
      </c>
      <c r="P158" s="183">
        <f>(O158+N158)*G158+'A.0_Tablas salariales SC'!$R$55*(100%-G158)</f>
        <v>2318.7400000000002</v>
      </c>
      <c r="Q158" s="184">
        <f>IF(D158=100,'A.0_Tablas salariales SC'!$D$215,IF(D158=150,'A.0_Tablas salariales SC'!$D$216,IF(D158=189,'A.0_Tablas salariales SC'!$D$217,IF(D158=400,'A.0_Tablas salariales SC'!$D$218,IF(D158=450,'A.0_Tablas salariales SC'!$D$219,IF(D158=401,'A.0_Tablas salariales SC'!$D$220,IF(D158=451,'A.0_Tablas salariales SC'!$D$221,'A.0_Tablas salariales SC'!$D$215)))))))</f>
        <v>0.34329999999999999</v>
      </c>
      <c r="R158" s="183">
        <f t="shared" si="17"/>
        <v>796.02344200000005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'A.1.0_TablaAntigüedad_Sub'!J159</f>
        <v>127</v>
      </c>
      <c r="I159" s="183">
        <f>'A.1.0_TablaAntigüedad_Sub'!X159</f>
        <v>462.44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6936.6</v>
      </c>
      <c r="O159" s="183">
        <f>'A.0_Tablas salariales SC'!$K$44</f>
        <v>24813.940000000002</v>
      </c>
      <c r="P159" s="183">
        <f>(O159+N159)*G159+'A.0_Tablas salariales SC'!$R$55*(100%-G159)</f>
        <v>2318.7400000000002</v>
      </c>
      <c r="Q159" s="184">
        <f>IF(D159=100,'A.0_Tablas salariales SC'!$D$215,IF(D159=150,'A.0_Tablas salariales SC'!$D$216,IF(D159=189,'A.0_Tablas salariales SC'!$D$217,IF(D159=400,'A.0_Tablas salariales SC'!$D$218,IF(D159=450,'A.0_Tablas salariales SC'!$D$219,IF(D159=401,'A.0_Tablas salariales SC'!$D$220,IF(D159=451,'A.0_Tablas salariales SC'!$D$221,'A.0_Tablas salariales SC'!$D$215)))))))</f>
        <v>0.34329999999999999</v>
      </c>
      <c r="R159" s="183">
        <f t="shared" si="17"/>
        <v>796.02344200000005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'A.1.0_TablaAntigüedad_Sub'!J160</f>
        <v>127</v>
      </c>
      <c r="I160" s="183">
        <f>'A.1.0_TablaAntigüedad_Sub'!X160</f>
        <v>462.44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6936.6</v>
      </c>
      <c r="O160" s="183">
        <f>'A.0_Tablas salariales SC'!$K$44</f>
        <v>24813.940000000002</v>
      </c>
      <c r="P160" s="183">
        <f>(O160+N160)*G160+'A.0_Tablas salariales SC'!$R$55*(100%-G160)</f>
        <v>2318.7400000000002</v>
      </c>
      <c r="Q160" s="184">
        <f>IF(D160=100,'A.0_Tablas salariales SC'!$D$215,IF(D160=150,'A.0_Tablas salariales SC'!$D$216,IF(D160=189,'A.0_Tablas salariales SC'!$D$217,IF(D160=400,'A.0_Tablas salariales SC'!$D$218,IF(D160=450,'A.0_Tablas salariales SC'!$D$219,IF(D160=401,'A.0_Tablas salariales SC'!$D$220,IF(D160=451,'A.0_Tablas salariales SC'!$D$221,'A.0_Tablas salariales SC'!$D$215)))))))</f>
        <v>0.34329999999999999</v>
      </c>
      <c r="R160" s="183">
        <f t="shared" si="17"/>
        <v>796.02344200000005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'A.1.0_TablaAntigüedad_Sub'!J161</f>
        <v>127</v>
      </c>
      <c r="I161" s="183">
        <f>'A.1.0_TablaAntigüedad_Sub'!X161</f>
        <v>462.44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6936.6</v>
      </c>
      <c r="O161" s="183">
        <f>'A.0_Tablas salariales SC'!$K$44</f>
        <v>24813.940000000002</v>
      </c>
      <c r="P161" s="183">
        <f>(O161+N161)*G161+'A.0_Tablas salariales SC'!$R$55*(100%-G161)</f>
        <v>2318.7400000000002</v>
      </c>
      <c r="Q161" s="184">
        <f>IF(D161=100,'A.0_Tablas salariales SC'!$D$215,IF(D161=150,'A.0_Tablas salariales SC'!$D$216,IF(D161=189,'A.0_Tablas salariales SC'!$D$217,IF(D161=400,'A.0_Tablas salariales SC'!$D$218,IF(D161=450,'A.0_Tablas salariales SC'!$D$219,IF(D161=401,'A.0_Tablas salariales SC'!$D$220,IF(D161=451,'A.0_Tablas salariales SC'!$D$221,'A.0_Tablas salariales SC'!$D$215)))))))</f>
        <v>0.34329999999999999</v>
      </c>
      <c r="R161" s="183">
        <f t="shared" si="17"/>
        <v>796.02344200000005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'A.1.0_TablaAntigüedad_Sub'!J162</f>
        <v>127</v>
      </c>
      <c r="I162" s="183">
        <f>'A.1.0_TablaAntigüedad_Sub'!X162</f>
        <v>462.44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6936.6</v>
      </c>
      <c r="O162" s="183">
        <f>'A.0_Tablas salariales SC'!$K$44</f>
        <v>24813.940000000002</v>
      </c>
      <c r="P162" s="183">
        <f>(O162+N162)*G162+'A.0_Tablas salariales SC'!$R$55*(100%-G162)</f>
        <v>2318.7400000000002</v>
      </c>
      <c r="Q162" s="184">
        <f>IF(D162=100,'A.0_Tablas salariales SC'!$D$215,IF(D162=150,'A.0_Tablas salariales SC'!$D$216,IF(D162=189,'A.0_Tablas salariales SC'!$D$217,IF(D162=400,'A.0_Tablas salariales SC'!$D$218,IF(D162=450,'A.0_Tablas salariales SC'!$D$219,IF(D162=401,'A.0_Tablas salariales SC'!$D$220,IF(D162=451,'A.0_Tablas salariales SC'!$D$221,'A.0_Tablas salariales SC'!$D$215)))))))</f>
        <v>0.34329999999999999</v>
      </c>
      <c r="R162" s="183">
        <f t="shared" si="10"/>
        <v>796.02344200000005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0</v>
      </c>
    </row>
    <row r="164" spans="1:20">
      <c r="A164" s="508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2">
        <f>'A.1. Plantilla_Subrogacion'!F164</f>
        <v>0</v>
      </c>
      <c r="H164" s="181">
        <f>'A.1.0_TablaAntigüedad_Sub'!J164</f>
        <v>127</v>
      </c>
      <c r="I164" s="183">
        <f>'A.1.0_TablaAntigüedad_Sub'!X164</f>
        <v>633.38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9500.7000000000007</v>
      </c>
      <c r="O164" s="183">
        <f>'A.0_Tablas salariales SC'!$K$54</f>
        <v>31126.840000000004</v>
      </c>
      <c r="P164" s="183">
        <f>(O164+N164)*G164+'A.0_Tablas salariales SC'!$R$55*(100%-G164)</f>
        <v>2318.7400000000002</v>
      </c>
      <c r="Q164" s="184">
        <f>IF(D164=100,'A.0_Tablas salariales SC'!$D$215,IF(D164=150,'A.0_Tablas salariales SC'!$D$216,IF(D164=189,'A.0_Tablas salariales SC'!$D$217,IF(D164=400,'A.0_Tablas salariales SC'!$D$218,IF(D164=450,'A.0_Tablas salariales SC'!$D$219,IF(D164=401,'A.0_Tablas salariales SC'!$D$220,IF(D164=451,'A.0_Tablas salariales SC'!$D$221,'A.0_Tablas salariales SC'!$D$215)))))))</f>
        <v>0.34329999999999999</v>
      </c>
      <c r="R164" s="183">
        <f t="shared" si="10"/>
        <v>796.02344200000005</v>
      </c>
      <c r="S164" s="183">
        <f t="shared" si="11"/>
        <v>0</v>
      </c>
      <c r="T164" s="179"/>
    </row>
    <row r="165" spans="1:20">
      <c r="A165" s="508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2">
        <f>'A.1. Plantilla_Subrogacion'!F165</f>
        <v>0</v>
      </c>
      <c r="H165" s="181">
        <f>'A.1.0_TablaAntigüedad_Sub'!J165</f>
        <v>127</v>
      </c>
      <c r="I165" s="183">
        <f>'A.1.0_TablaAntigüedad_Sub'!X165</f>
        <v>633.38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9500.7000000000007</v>
      </c>
      <c r="O165" s="183">
        <f>'A.0_Tablas salariales SC'!$K$54</f>
        <v>31126.840000000004</v>
      </c>
      <c r="P165" s="183">
        <f>(O165+N165)*G165+'A.0_Tablas salariales SC'!$R$55*(100%-G165)</f>
        <v>2318.7400000000002</v>
      </c>
      <c r="Q165" s="184">
        <f>IF(D165=100,'A.0_Tablas salariales SC'!$D$215,IF(D165=150,'A.0_Tablas salariales SC'!$D$216,IF(D165=189,'A.0_Tablas salariales SC'!$D$217,IF(D165=400,'A.0_Tablas salariales SC'!$D$218,IF(D165=450,'A.0_Tablas salariales SC'!$D$219,IF(D165=401,'A.0_Tablas salariales SC'!$D$220,IF(D165=451,'A.0_Tablas salariales SC'!$D$221,'A.0_Tablas salariales SC'!$D$215)))))))</f>
        <v>0.34329999999999999</v>
      </c>
      <c r="R165" s="183">
        <f t="shared" ref="R165:R167" si="19">Q165*P165</f>
        <v>796.02344200000005</v>
      </c>
      <c r="S165" s="183">
        <f t="shared" ref="S165:S167" si="20">(R165+P165)*A165</f>
        <v>0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'A.1.0_TablaAntigüedad_Sub'!J166</f>
        <v>127</v>
      </c>
      <c r="I166" s="183">
        <f>'A.1.0_TablaAntigüedad_Sub'!X166</f>
        <v>633.38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9500.7000000000007</v>
      </c>
      <c r="O166" s="183">
        <f>'A.0_Tablas salariales SC'!$K$54</f>
        <v>31126.840000000004</v>
      </c>
      <c r="P166" s="183">
        <f>(O166+N166)*G166+'A.0_Tablas salariales SC'!$R$55*(100%-G166)</f>
        <v>2318.7400000000002</v>
      </c>
      <c r="Q166" s="184">
        <f>IF(D166=100,'A.0_Tablas salariales SC'!$D$215,IF(D166=150,'A.0_Tablas salariales SC'!$D$216,IF(D166=189,'A.0_Tablas salariales SC'!$D$217,IF(D166=400,'A.0_Tablas salariales SC'!$D$218,IF(D166=450,'A.0_Tablas salariales SC'!$D$219,IF(D166=401,'A.0_Tablas salariales SC'!$D$220,IF(D166=451,'A.0_Tablas salariales SC'!$D$221,'A.0_Tablas salariales SC'!$D$215)))))))</f>
        <v>0.34329999999999999</v>
      </c>
      <c r="R166" s="183">
        <f t="shared" si="19"/>
        <v>796.02344200000005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'A.1.0_TablaAntigüedad_Sub'!J167</f>
        <v>127</v>
      </c>
      <c r="I167" s="183">
        <f>'A.1.0_TablaAntigüedad_Sub'!X167</f>
        <v>633.38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9500.7000000000007</v>
      </c>
      <c r="O167" s="183">
        <f>'A.0_Tablas salariales SC'!$K$54</f>
        <v>31126.840000000004</v>
      </c>
      <c r="P167" s="183">
        <f>(O167+N167)*G167+'A.0_Tablas salariales SC'!$R$55*(100%-G167)</f>
        <v>2318.7400000000002</v>
      </c>
      <c r="Q167" s="184">
        <f>IF(D167=100,'A.0_Tablas salariales SC'!$D$215,IF(D167=150,'A.0_Tablas salariales SC'!$D$216,IF(D167=189,'A.0_Tablas salariales SC'!$D$217,IF(D167=400,'A.0_Tablas salariales SC'!$D$218,IF(D167=450,'A.0_Tablas salariales SC'!$D$219,IF(D167=401,'A.0_Tablas salariales SC'!$D$220,IF(D167=451,'A.0_Tablas salariales SC'!$D$221,'A.0_Tablas salariales SC'!$D$215)))))))</f>
        <v>0.34329999999999999</v>
      </c>
      <c r="R167" s="183">
        <f t="shared" si="19"/>
        <v>796.02344200000005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'A.1.0_TablaAntigüedad_Sub'!J168</f>
        <v>127</v>
      </c>
      <c r="I168" s="183">
        <f>'A.1.0_TablaAntigüedad_Sub'!X168</f>
        <v>633.38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9500.7000000000007</v>
      </c>
      <c r="O168" s="183">
        <f>'A.0_Tablas salariales SC'!$K$54</f>
        <v>31126.840000000004</v>
      </c>
      <c r="P168" s="183">
        <f>(O168+N168)*G168+'A.0_Tablas salariales SC'!$R$55*(100%-G168)</f>
        <v>2318.7400000000002</v>
      </c>
      <c r="Q168" s="184">
        <f>IF(D168=100,'A.0_Tablas salariales SC'!$D$215,IF(D168=150,'A.0_Tablas salariales SC'!$D$216,IF(D168=189,'A.0_Tablas salariales SC'!$D$217,IF(D168=400,'A.0_Tablas salariales SC'!$D$218,IF(D168=450,'A.0_Tablas salariales SC'!$D$219,IF(D168=401,'A.0_Tablas salariales SC'!$D$220,IF(D168=451,'A.0_Tablas salariales SC'!$D$221,'A.0_Tablas salariales SC'!$D$215)))))))</f>
        <v>0.34329999999999999</v>
      </c>
      <c r="R168" s="183">
        <f t="shared" si="10"/>
        <v>796.02344200000005</v>
      </c>
      <c r="S168" s="183">
        <f t="shared" si="11"/>
        <v>0</v>
      </c>
      <c r="T168" s="179"/>
    </row>
    <row r="169" spans="1:20">
      <c r="A169" s="508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2">
        <f>'A.1. Plantilla_Subrogacion'!F169</f>
        <v>0</v>
      </c>
      <c r="H169" s="181">
        <f>'A.1.0_TablaAntigüedad_Sub'!J169</f>
        <v>127</v>
      </c>
      <c r="I169" s="183">
        <f>'A.1.0_TablaAntigüedad_Sub'!X169</f>
        <v>633.38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9500.7000000000007</v>
      </c>
      <c r="O169" s="183">
        <f>'A.0_Tablas salariales SC'!$K$55</f>
        <v>35263.54</v>
      </c>
      <c r="P169" s="183">
        <f>(O169+N169)*G169+'A.0_Tablas salariales SC'!$R$55*(100%-G169)</f>
        <v>2318.7400000000002</v>
      </c>
      <c r="Q169" s="184">
        <f>IF(D169=100,'A.0_Tablas salariales SC'!$D$215,IF(D169=150,'A.0_Tablas salariales SC'!$D$216,IF(D169=189,'A.0_Tablas salariales SC'!$D$217,IF(D169=400,'A.0_Tablas salariales SC'!$D$218,IF(D169=450,'A.0_Tablas salariales SC'!$D$219,IF(D169=401,'A.0_Tablas salariales SC'!$D$220,IF(D169=451,'A.0_Tablas salariales SC'!$D$221,'A.0_Tablas salariales SC'!$D$215)))))))</f>
        <v>0.34329999999999999</v>
      </c>
      <c r="R169" s="183">
        <f t="shared" ref="R169:R171" si="21">Q169*P169</f>
        <v>796.02344200000005</v>
      </c>
      <c r="S169" s="183">
        <f t="shared" ref="S169:S171" si="22">(R169+P169)*A169</f>
        <v>0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'A.1.0_TablaAntigüedad_Sub'!J170</f>
        <v>127</v>
      </c>
      <c r="I170" s="183">
        <f>'A.1.0_TablaAntigüedad_Sub'!X170</f>
        <v>633.38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9500.7000000000007</v>
      </c>
      <c r="O170" s="183">
        <f>'A.0_Tablas salariales SC'!$K$55</f>
        <v>35263.54</v>
      </c>
      <c r="P170" s="183">
        <f>(O170+N170)*G170+'A.0_Tablas salariales SC'!$R$55*(100%-G170)</f>
        <v>2318.7400000000002</v>
      </c>
      <c r="Q170" s="184">
        <f>IF(D170=100,'A.0_Tablas salariales SC'!$D$215,IF(D170=150,'A.0_Tablas salariales SC'!$D$216,IF(D170=189,'A.0_Tablas salariales SC'!$D$217,IF(D170=400,'A.0_Tablas salariales SC'!$D$218,IF(D170=450,'A.0_Tablas salariales SC'!$D$219,IF(D170=401,'A.0_Tablas salariales SC'!$D$220,IF(D170=451,'A.0_Tablas salariales SC'!$D$221,'A.0_Tablas salariales SC'!$D$215)))))))</f>
        <v>0.34329999999999999</v>
      </c>
      <c r="R170" s="183">
        <f t="shared" si="21"/>
        <v>796.02344200000005</v>
      </c>
      <c r="S170" s="183">
        <f t="shared" si="22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'A.1.0_TablaAntigüedad_Sub'!J171</f>
        <v>127</v>
      </c>
      <c r="I171" s="183">
        <f>'A.1.0_TablaAntigüedad_Sub'!X171</f>
        <v>633.38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9500.7000000000007</v>
      </c>
      <c r="O171" s="183">
        <f>'A.0_Tablas salariales SC'!$K$55</f>
        <v>35263.54</v>
      </c>
      <c r="P171" s="183">
        <f>(O171+N171)*G171+'A.0_Tablas salariales SC'!$R$55*(100%-G171)</f>
        <v>2318.7400000000002</v>
      </c>
      <c r="Q171" s="184">
        <f>IF(D171=100,'A.0_Tablas salariales SC'!$D$215,IF(D171=150,'A.0_Tablas salariales SC'!$D$216,IF(D171=189,'A.0_Tablas salariales SC'!$D$217,IF(D171=400,'A.0_Tablas salariales SC'!$D$218,IF(D171=450,'A.0_Tablas salariales SC'!$D$219,IF(D171=401,'A.0_Tablas salariales SC'!$D$220,IF(D171=451,'A.0_Tablas salariales SC'!$D$221,'A.0_Tablas salariales SC'!$D$215)))))))</f>
        <v>0.34329999999999999</v>
      </c>
      <c r="R171" s="183">
        <f t="shared" si="21"/>
        <v>796.02344200000005</v>
      </c>
      <c r="S171" s="183">
        <f t="shared" si="22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'A.1.0_TablaAntigüedad_Sub'!J172</f>
        <v>127</v>
      </c>
      <c r="I172" s="183">
        <f>'A.1.0_TablaAntigüedad_Sub'!X172</f>
        <v>633.38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9500.7000000000007</v>
      </c>
      <c r="O172" s="183">
        <f>'A.0_Tablas salariales SC'!$K$55</f>
        <v>35263.54</v>
      </c>
      <c r="P172" s="183">
        <f>(O172+N172)*G172+'A.0_Tablas salariales SC'!$R$55*(100%-G172)</f>
        <v>2318.7400000000002</v>
      </c>
      <c r="Q172" s="184">
        <f>IF(D172=100,'A.0_Tablas salariales SC'!$D$215,IF(D172=150,'A.0_Tablas salariales SC'!$D$216,IF(D172=189,'A.0_Tablas salariales SC'!$D$217,IF(D172=400,'A.0_Tablas salariales SC'!$D$218,IF(D172=450,'A.0_Tablas salariales SC'!$D$219,IF(D172=401,'A.0_Tablas salariales SC'!$D$220,IF(D172=451,'A.0_Tablas salariales SC'!$D$221,'A.0_Tablas salariales SC'!$D$215)))))))</f>
        <v>0.34329999999999999</v>
      </c>
      <c r="R172" s="183">
        <f t="shared" si="10"/>
        <v>796.02344200000005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0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'A.1.0_TablaAntigüedad_Sub'!J174</f>
        <v>127</v>
      </c>
      <c r="I174" s="183">
        <f>'A.1.0_TablaAntigüedad_Sub'!X174</f>
        <v>499.06</v>
      </c>
      <c r="J174" s="183"/>
      <c r="K174" s="183"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7485.9</v>
      </c>
      <c r="O174" s="183">
        <f>'A.0_Tablas salariales SC'!K47</f>
        <v>22853.29</v>
      </c>
      <c r="P174" s="183">
        <f>(O174+N174)*G174+'A.0_Tablas salariales SC'!$R$55*(100%-G174)</f>
        <v>2318.7400000000002</v>
      </c>
      <c r="Q174" s="184">
        <f>IF(D174=100,'A.0_Tablas salariales SC'!$D$215,IF(D174=150,'A.0_Tablas salariales SC'!$D$216,IF(D174=189,'A.0_Tablas salariales SC'!$D$217,IF(D174=400,'A.0_Tablas salariales SC'!$D$218,IF(D174=450,'A.0_Tablas salariales SC'!$D$219,IF(D174=401,'A.0_Tablas salariales SC'!$D$220,IF(D174=451,'A.0_Tablas salariales SC'!$D$221,'A.0_Tablas salariales SC'!$D$215)))))))</f>
        <v>0.34329999999999999</v>
      </c>
      <c r="R174" s="183">
        <f t="shared" ref="R174" si="23">Q174*P174</f>
        <v>796.02344200000005</v>
      </c>
      <c r="S174" s="183">
        <f t="shared" ref="S174" si="24">(R174+P174)*A174</f>
        <v>0</v>
      </c>
      <c r="T174" s="179"/>
    </row>
    <row r="175" spans="1:20">
      <c r="A175" s="508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2">
        <f>'A.1. Plantilla_Subrogacion'!F175</f>
        <v>0</v>
      </c>
      <c r="H175" s="181">
        <f>'A.1.0_TablaAntigüedad_Sub'!J175</f>
        <v>127</v>
      </c>
      <c r="I175" s="183">
        <f>'A.1.0_TablaAntigüedad_Sub'!X175</f>
        <v>499.06</v>
      </c>
      <c r="J175" s="183"/>
      <c r="K175" s="183"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7485.9</v>
      </c>
      <c r="O175" s="183">
        <f>'A.0_Tablas salariales SC'!K48</f>
        <v>23757.939999999995</v>
      </c>
      <c r="P175" s="183">
        <f>(O175+N175)*G175+'A.0_Tablas salariales SC'!$R$55*(100%-G175)</f>
        <v>2318.7400000000002</v>
      </c>
      <c r="Q175" s="184">
        <f>IF(D175=100,'A.0_Tablas salariales SC'!$D$215,IF(D175=150,'A.0_Tablas salariales SC'!$D$216,IF(D175=189,'A.0_Tablas salariales SC'!$D$217,IF(D175=400,'A.0_Tablas salariales SC'!$D$218,IF(D175=450,'A.0_Tablas salariales SC'!$D$219,IF(D175=401,'A.0_Tablas salariales SC'!$D$220,IF(D175=451,'A.0_Tablas salariales SC'!$D$221,'A.0_Tablas salariales SC'!$D$215)))))))</f>
        <v>0.34329999999999999</v>
      </c>
      <c r="R175" s="183">
        <f t="shared" si="10"/>
        <v>796.02344200000005</v>
      </c>
      <c r="S175" s="183">
        <f t="shared" si="11"/>
        <v>0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'A.1.0_TablaAntigüedad_Sub'!J176</f>
        <v>127</v>
      </c>
      <c r="I176" s="183">
        <f>'A.1.0_TablaAntigüedad_Sub'!X176</f>
        <v>499.06</v>
      </c>
      <c r="J176" s="183"/>
      <c r="K176" s="183"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7485.9</v>
      </c>
      <c r="O176" s="183">
        <f>'A.0_Tablas salariales SC'!K50</f>
        <v>26846.140000000003</v>
      </c>
      <c r="P176" s="183">
        <f>(O176+N176)*G176+'A.0_Tablas salariales SC'!$R$55*(100%-G176)</f>
        <v>2318.7400000000002</v>
      </c>
      <c r="Q176" s="184">
        <f>IF(D176=100,'A.0_Tablas salariales SC'!$D$215,IF(D176=150,'A.0_Tablas salariales SC'!$D$216,IF(D176=189,'A.0_Tablas salariales SC'!$D$217,IF(D176=400,'A.0_Tablas salariales SC'!$D$218,IF(D176=450,'A.0_Tablas salariales SC'!$D$219,IF(D176=401,'A.0_Tablas salariales SC'!$D$220,IF(D176=451,'A.0_Tablas salariales SC'!$D$221,'A.0_Tablas salariales SC'!$D$215)))))))</f>
        <v>0.34329999999999999</v>
      </c>
      <c r="R176" s="183">
        <f t="shared" ref="R176" si="25">Q176*P176</f>
        <v>796.02344200000005</v>
      </c>
      <c r="S176" s="183">
        <f t="shared" ref="S176" si="26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0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'A.1.0_TablaAntigüedad_Sub'!J178</f>
        <v>127</v>
      </c>
      <c r="I178" s="183">
        <f>'A.1.0_TablaAntigüedad_Sub'!X178</f>
        <v>462.44</v>
      </c>
      <c r="J178" s="183"/>
      <c r="K178" s="183"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6936.6</v>
      </c>
      <c r="O178" s="183">
        <f>'A.0_Tablas salariales SC'!K39</f>
        <v>22673.29</v>
      </c>
      <c r="P178" s="183">
        <f>(O178+N178)*G178+'A.0_Tablas salariales SC'!$R$55*(100%-G178)</f>
        <v>2318.7400000000002</v>
      </c>
      <c r="Q178" s="184">
        <f>IF(D178=100,'A.0_Tablas salariales SC'!$D$215,IF(D178=150,'A.0_Tablas salariales SC'!$D$216,IF(D178=189,'A.0_Tablas salariales SC'!$D$217,IF(D178=400,'A.0_Tablas salariales SC'!$D$218,IF(D178=450,'A.0_Tablas salariales SC'!$D$219,IF(D178=401,'A.0_Tablas salariales SC'!$D$220,IF(D178=451,'A.0_Tablas salariales SC'!$D$221,'A.0_Tablas salariales SC'!$D$215)))))))</f>
        <v>0.34329999999999999</v>
      </c>
      <c r="R178" s="183">
        <f t="shared" ref="R178:R179" si="27">Q178*P178</f>
        <v>796.02344200000005</v>
      </c>
      <c r="S178" s="183">
        <f t="shared" ref="S178:S179" si="28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'A.1.0_TablaAntigüedad_Sub'!J179</f>
        <v>127</v>
      </c>
      <c r="I179" s="183">
        <f>'A.1.0_TablaAntigüedad_Sub'!X179</f>
        <v>462.44</v>
      </c>
      <c r="J179" s="183"/>
      <c r="K179" s="183"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6936.6</v>
      </c>
      <c r="O179" s="183">
        <f>'A.0_Tablas salariales SC'!K38</f>
        <v>21954.189999999995</v>
      </c>
      <c r="P179" s="183">
        <f>(O179+N179)*G179+'A.0_Tablas salariales SC'!$R$55*(100%-G179)</f>
        <v>2318.7400000000002</v>
      </c>
      <c r="Q179" s="184">
        <f>IF(D179=100,'A.0_Tablas salariales SC'!$D$215,IF(D179=150,'A.0_Tablas salariales SC'!$D$216,IF(D179=189,'A.0_Tablas salariales SC'!$D$217,IF(D179=400,'A.0_Tablas salariales SC'!$D$218,IF(D179=450,'A.0_Tablas salariales SC'!$D$219,IF(D179=401,'A.0_Tablas salariales SC'!$D$220,IF(D179=451,'A.0_Tablas salariales SC'!$D$221,'A.0_Tablas salariales SC'!$D$215)))))))</f>
        <v>0.34329999999999999</v>
      </c>
      <c r="R179" s="183">
        <f t="shared" si="27"/>
        <v>796.02344200000005</v>
      </c>
      <c r="S179" s="183">
        <f t="shared" si="28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0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102" priority="17" operator="equal">
      <formula>0</formula>
    </cfRule>
  </conditionalFormatting>
  <conditionalFormatting sqref="A139:K139">
    <cfRule type="cellIs" dxfId="101" priority="16" operator="equal">
      <formula>0</formula>
    </cfRule>
  </conditionalFormatting>
  <conditionalFormatting sqref="G5:K12 G14:K85 G87:K113 G115:K138 G140:K151 G153:K162 G164:K172 G174:K176">
    <cfRule type="cellIs" dxfId="100" priority="31" operator="equal">
      <formula>0</formula>
    </cfRule>
  </conditionalFormatting>
  <conditionalFormatting sqref="G178:S179">
    <cfRule type="cellIs" dxfId="99" priority="3" operator="equal">
      <formula>0</formula>
    </cfRule>
  </conditionalFormatting>
  <conditionalFormatting sqref="L5:S176">
    <cfRule type="cellIs" dxfId="98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19F2-F4D9-4595-9CAD-0561DDBC43F5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K4" sqref="K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938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939</v>
      </c>
      <c r="I3" s="241" t="s">
        <v>940</v>
      </c>
      <c r="J3" s="241" t="s">
        <v>941</v>
      </c>
      <c r="K3" s="241" t="s">
        <v>1004</v>
      </c>
      <c r="L3" s="241" t="s">
        <v>1103</v>
      </c>
      <c r="M3" s="241" t="s">
        <v>942</v>
      </c>
      <c r="N3" s="241" t="s">
        <v>943</v>
      </c>
      <c r="O3" s="241" t="s">
        <v>944</v>
      </c>
      <c r="P3" s="241" t="s">
        <v>945</v>
      </c>
      <c r="Q3" s="241" t="s">
        <v>946</v>
      </c>
      <c r="R3" s="241" t="s">
        <v>947</v>
      </c>
      <c r="S3" s="241" t="s">
        <v>948</v>
      </c>
      <c r="T3" s="241" t="s">
        <v>949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Contrato'!$E$18)^(2),IF(('A. Resumen Costes Personal Año'!$D$14=2027),(1+'Caracteristicas Contrato'!$E$18)^(1),1))</f>
        <v>1.0404</v>
      </c>
      <c r="L4" s="93">
        <f>IF(('A. Resumen Costes Personal Año'!$D$14=2026),(1+'Caracteristicas Contrato'!$E$18)^(2),IF(('A. Resumen Costes Personal Año'!$D$14=2027),(1+'Caracteristicas Contrato'!$E$18)^(1),1))</f>
        <v>1.0404</v>
      </c>
      <c r="M4" s="93">
        <f>IF(('A. Resumen Costes Personal Año'!$D$14=2026),(1+'Caracteristicas Contrato'!$E$18)^(2),IF(('A. Resumen Costes Personal Año'!$D$14=2027),(1+'Caracteristicas Contrato'!$E$18)^(1),1))</f>
        <v>1.0404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2">
        <f>'A.1. Plantilla_Subrogacion'!F5</f>
        <v>0</v>
      </c>
      <c r="H5" s="181">
        <f>'A.1.0_TablaAntigüedad_Sub'!K5</f>
        <v>128</v>
      </c>
      <c r="I5" s="183">
        <f>'A.1.0_TablaAntigüedad_Sub'!Y5</f>
        <v>480.93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7213.95</v>
      </c>
      <c r="O5" s="183">
        <f>'A.0_Tablas salariales SC'!$K$63</f>
        <v>21728.459999999995</v>
      </c>
      <c r="P5" s="183">
        <f>(O5+N5)*G5+'A.0_Tablas salariales SC'!$R$82*(100%-G5)</f>
        <v>2640.81</v>
      </c>
      <c r="Q5" s="184">
        <f>IF(D5=100,'A.0_Tablas salariales SC'!$E$215,IF(D5=150,'A.0_Tablas salariales SC'!$E$216,IF(D5=189,'A.0_Tablas salariales SC'!$E$217,IF(D5=400,'A.0_Tablas salariales SC'!$E$218,IF(D5=450,'A.0_Tablas salariales SC'!$E$219,IF(D5=401,'A.0_Tablas salariales SC'!$E$220,IF(D5=451,'A.0_Tablas salariales SC'!$E$221,'A.0_Tablas salariales SC'!$E$215)))))))</f>
        <v>0.34420000000000001</v>
      </c>
      <c r="R5" s="183">
        <f>Q5*P5</f>
        <v>908.96680200000003</v>
      </c>
      <c r="S5" s="183">
        <f>(R5+P5)*A5</f>
        <v>0</v>
      </c>
      <c r="T5" s="179"/>
    </row>
    <row r="6" spans="1:20">
      <c r="A6" s="508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2">
        <f>'A.1. Plantilla_Subrogacion'!F6</f>
        <v>0</v>
      </c>
      <c r="H6" s="181">
        <f>'A.1.0_TablaAntigüedad_Sub'!K6</f>
        <v>128</v>
      </c>
      <c r="I6" s="183">
        <f>'A.1.0_TablaAntigüedad_Sub'!Y6</f>
        <v>480.93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7213.95</v>
      </c>
      <c r="O6" s="183">
        <f>'A.0_Tablas salariales SC'!$K$63</f>
        <v>21728.459999999995</v>
      </c>
      <c r="P6" s="183">
        <f>(O6+N6)*G6+'A.0_Tablas salariales SC'!$R$82*(100%-G6)</f>
        <v>2640.81</v>
      </c>
      <c r="Q6" s="184">
        <f>IF(D6=100,'A.0_Tablas salariales SC'!$E$215,IF(D6=150,'A.0_Tablas salariales SC'!$E$216,IF(D6=189,'A.0_Tablas salariales SC'!$E$217,IF(D6=400,'A.0_Tablas salariales SC'!$E$218,IF(D6=450,'A.0_Tablas salariales SC'!$E$219,IF(D6=401,'A.0_Tablas salariales SC'!$E$220,IF(D6=451,'A.0_Tablas salariales SC'!$E$221,'A.0_Tablas salariales SC'!$E$215)))))))</f>
        <v>0.34420000000000001</v>
      </c>
      <c r="R6" s="183">
        <f t="shared" ref="R6:R113" si="1">Q6*P6</f>
        <v>908.96680200000003</v>
      </c>
      <c r="S6" s="183">
        <f t="shared" ref="S6:S113" si="2">(R6+P6)*A6</f>
        <v>0</v>
      </c>
      <c r="T6" s="179"/>
    </row>
    <row r="7" spans="1:20">
      <c r="A7" s="508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2">
        <f>'A.1. Plantilla_Subrogacion'!F7</f>
        <v>0</v>
      </c>
      <c r="H7" s="181">
        <f>'A.1.0_TablaAntigüedad_Sub'!K7</f>
        <v>128</v>
      </c>
      <c r="I7" s="183">
        <f>'A.1.0_TablaAntigüedad_Sub'!Y7</f>
        <v>480.93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7213.95</v>
      </c>
      <c r="O7" s="183">
        <f>'A.0_Tablas salariales SC'!$K$63</f>
        <v>21728.459999999995</v>
      </c>
      <c r="P7" s="183">
        <f>(O7+N7)*G7+'A.0_Tablas salariales SC'!$R$82*(100%-G7)</f>
        <v>2640.81</v>
      </c>
      <c r="Q7" s="184">
        <f>IF(D7=100,'A.0_Tablas salariales SC'!$E$215,IF(D7=150,'A.0_Tablas salariales SC'!$E$216,IF(D7=189,'A.0_Tablas salariales SC'!$E$217,IF(D7=400,'A.0_Tablas salariales SC'!$E$218,IF(D7=450,'A.0_Tablas salariales SC'!$E$219,IF(D7=401,'A.0_Tablas salariales SC'!$E$220,IF(D7=451,'A.0_Tablas salariales SC'!$E$221,'A.0_Tablas salariales SC'!$E$215)))))))</f>
        <v>0.34420000000000001</v>
      </c>
      <c r="R7" s="183">
        <f t="shared" si="1"/>
        <v>908.96680200000003</v>
      </c>
      <c r="S7" s="183">
        <f t="shared" si="2"/>
        <v>0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'A.1.0_TablaAntigüedad_Sub'!K8</f>
        <v>128</v>
      </c>
      <c r="I8" s="183">
        <f>'A.1.0_TablaAntigüedad_Sub'!Y8</f>
        <v>480.93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7213.95</v>
      </c>
      <c r="O8" s="183">
        <f>'A.0_Tablas salariales SC'!$K$63</f>
        <v>21728.459999999995</v>
      </c>
      <c r="P8" s="183">
        <f>(O8+N8)*G8+'A.0_Tablas salariales SC'!$R$82*(100%-G8)</f>
        <v>2640.81</v>
      </c>
      <c r="Q8" s="184">
        <f>IF(D8=100,'A.0_Tablas salariales SC'!$E$215,IF(D8=150,'A.0_Tablas salariales SC'!$E$216,IF(D8=189,'A.0_Tablas salariales SC'!$E$217,IF(D8=400,'A.0_Tablas salariales SC'!$E$218,IF(D8=450,'A.0_Tablas salariales SC'!$E$219,IF(D8=401,'A.0_Tablas salariales SC'!$E$220,IF(D8=451,'A.0_Tablas salariales SC'!$E$221,'A.0_Tablas salariales SC'!$E$215)))))))</f>
        <v>0.34420000000000001</v>
      </c>
      <c r="R8" s="183">
        <f t="shared" ref="R8:R12" si="3">Q8*P8</f>
        <v>908.96680200000003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'A.1.0_TablaAntigüedad_Sub'!K9</f>
        <v>128</v>
      </c>
      <c r="I9" s="183">
        <f>'A.1.0_TablaAntigüedad_Sub'!Y9</f>
        <v>480.93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7213.95</v>
      </c>
      <c r="O9" s="183">
        <f>'A.0_Tablas salariales SC'!$K$63</f>
        <v>21728.459999999995</v>
      </c>
      <c r="P9" s="183">
        <f>(O9+N9)*G9+'A.0_Tablas salariales SC'!$R$82*(100%-G9)</f>
        <v>2640.81</v>
      </c>
      <c r="Q9" s="184">
        <f>IF(D9=100,'A.0_Tablas salariales SC'!$E$215,IF(D9=150,'A.0_Tablas salariales SC'!$E$216,IF(D9=189,'A.0_Tablas salariales SC'!$E$217,IF(D9=400,'A.0_Tablas salariales SC'!$E$218,IF(D9=450,'A.0_Tablas salariales SC'!$E$219,IF(D9=401,'A.0_Tablas salariales SC'!$E$220,IF(D9=451,'A.0_Tablas salariales SC'!$E$221,'A.0_Tablas salariales SC'!$E$215)))))))</f>
        <v>0.34420000000000001</v>
      </c>
      <c r="R9" s="183">
        <f t="shared" si="3"/>
        <v>908.96680200000003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'A.1.0_TablaAntigüedad_Sub'!K10</f>
        <v>128</v>
      </c>
      <c r="I10" s="183">
        <f>'A.1.0_TablaAntigüedad_Sub'!Y10</f>
        <v>480.93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7213.95</v>
      </c>
      <c r="O10" s="183">
        <f>'A.0_Tablas salariales SC'!$K$63</f>
        <v>21728.459999999995</v>
      </c>
      <c r="P10" s="183">
        <f>(O10+N10)*G10+'A.0_Tablas salariales SC'!$R$82*(100%-G10)</f>
        <v>2640.81</v>
      </c>
      <c r="Q10" s="184">
        <f>IF(D10=100,'A.0_Tablas salariales SC'!$E$215,IF(D10=150,'A.0_Tablas salariales SC'!$E$216,IF(D10=189,'A.0_Tablas salariales SC'!$E$217,IF(D10=400,'A.0_Tablas salariales SC'!$E$218,IF(D10=450,'A.0_Tablas salariales SC'!$E$219,IF(D10=401,'A.0_Tablas salariales SC'!$E$220,IF(D10=451,'A.0_Tablas salariales SC'!$E$221,'A.0_Tablas salariales SC'!$E$215)))))))</f>
        <v>0.34420000000000001</v>
      </c>
      <c r="R10" s="183">
        <f t="shared" si="3"/>
        <v>908.96680200000003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'A.1.0_TablaAntigüedad_Sub'!K11</f>
        <v>128</v>
      </c>
      <c r="I11" s="183">
        <f>'A.1.0_TablaAntigüedad_Sub'!Y11</f>
        <v>480.93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7213.95</v>
      </c>
      <c r="O11" s="183">
        <f>'A.0_Tablas salariales SC'!$K$63</f>
        <v>21728.459999999995</v>
      </c>
      <c r="P11" s="183">
        <f>(O11+N11)*G11+'A.0_Tablas salariales SC'!$R$82*(100%-G11)</f>
        <v>2640.81</v>
      </c>
      <c r="Q11" s="184">
        <f>IF(D11=100,'A.0_Tablas salariales SC'!$E$215,IF(D11=150,'A.0_Tablas salariales SC'!$E$216,IF(D11=189,'A.0_Tablas salariales SC'!$E$217,IF(D11=400,'A.0_Tablas salariales SC'!$E$218,IF(D11=450,'A.0_Tablas salariales SC'!$E$219,IF(D11=401,'A.0_Tablas salariales SC'!$E$220,IF(D11=451,'A.0_Tablas salariales SC'!$E$221,'A.0_Tablas salariales SC'!$E$215)))))))</f>
        <v>0.34420000000000001</v>
      </c>
      <c r="R11" s="183">
        <f t="shared" si="3"/>
        <v>908.96680200000003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'A.1.0_TablaAntigüedad_Sub'!K12</f>
        <v>128</v>
      </c>
      <c r="I12" s="183">
        <f>'A.1.0_TablaAntigüedad_Sub'!Y12</f>
        <v>480.93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7213.95</v>
      </c>
      <c r="O12" s="183">
        <f>'A.0_Tablas salariales SC'!$K$63</f>
        <v>21728.459999999995</v>
      </c>
      <c r="P12" s="183">
        <f>(O12+N12)*G12+'A.0_Tablas salariales SC'!$R$82*(100%-G12)</f>
        <v>2640.81</v>
      </c>
      <c r="Q12" s="184">
        <f>IF(D12=100,'A.0_Tablas salariales SC'!$E$215,IF(D12=150,'A.0_Tablas salariales SC'!$E$216,IF(D12=189,'A.0_Tablas salariales SC'!$E$217,IF(D12=400,'A.0_Tablas salariales SC'!$E$218,IF(D12=450,'A.0_Tablas salariales SC'!$E$219,IF(D12=401,'A.0_Tablas salariales SC'!$E$220,IF(D12=451,'A.0_Tablas salariales SC'!$E$221,'A.0_Tablas salariales SC'!$E$215)))))))</f>
        <v>0.34420000000000001</v>
      </c>
      <c r="R12" s="183">
        <f t="shared" si="3"/>
        <v>908.96680200000003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7"/>
      <c r="O13" s="177"/>
      <c r="P13" s="177"/>
      <c r="Q13" s="177"/>
      <c r="R13" s="177"/>
      <c r="S13" s="177"/>
      <c r="T13" s="180">
        <f>SUM(S5:S12)</f>
        <v>0</v>
      </c>
    </row>
    <row r="14" spans="1:20">
      <c r="A14" s="508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2">
        <f>'A.1. Plantilla_Subrogacion'!F14</f>
        <v>0</v>
      </c>
      <c r="H14" s="181">
        <f>'A.1.0_TablaAntigüedad_Sub'!K14</f>
        <v>128</v>
      </c>
      <c r="I14" s="183">
        <f>'A.1.0_TablaAntigüedad_Sub'!Y14</f>
        <v>480.93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7213.95</v>
      </c>
      <c r="O14" s="183">
        <f>'A.0_Tablas salariales SC'!$K$64</f>
        <v>22832.16</v>
      </c>
      <c r="P14" s="183">
        <f>(O14+N14)*G14+'A.0_Tablas salariales SC'!$R$82*(100%-G14)</f>
        <v>2640.81</v>
      </c>
      <c r="Q14" s="184">
        <f>IF(D14=100,'A.0_Tablas salariales SC'!$E$215,IF(D14=150,'A.0_Tablas salariales SC'!$E$216,IF(D14=189,'A.0_Tablas salariales SC'!$E$217,IF(D14=400,'A.0_Tablas salariales SC'!$E$218,IF(D14=450,'A.0_Tablas salariales SC'!$E$219,IF(D14=401,'A.0_Tablas salariales SC'!$E$220,IF(D14=451,'A.0_Tablas salariales SC'!$E$221,'A.0_Tablas salariales SC'!$E$215)))))))</f>
        <v>0.34420000000000001</v>
      </c>
      <c r="R14" s="183">
        <f t="shared" si="1"/>
        <v>908.96680200000003</v>
      </c>
      <c r="S14" s="183">
        <f t="shared" si="2"/>
        <v>0</v>
      </c>
      <c r="T14" s="179"/>
    </row>
    <row r="15" spans="1:20">
      <c r="A15" s="508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2">
        <f>'A.1. Plantilla_Subrogacion'!F15</f>
        <v>0</v>
      </c>
      <c r="H15" s="181">
        <f>'A.1.0_TablaAntigüedad_Sub'!K15</f>
        <v>128</v>
      </c>
      <c r="I15" s="183">
        <f>'A.1.0_TablaAntigüedad_Sub'!Y15</f>
        <v>480.93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7213.95</v>
      </c>
      <c r="O15" s="183">
        <f>'A.0_Tablas salariales SC'!$K$64</f>
        <v>22832.16</v>
      </c>
      <c r="P15" s="183">
        <f>(O15+N15)*G15+'A.0_Tablas salariales SC'!$R$82*(100%-G15)</f>
        <v>2640.81</v>
      </c>
      <c r="Q15" s="184">
        <f>IF(D15=100,'A.0_Tablas salariales SC'!$E$215,IF(D15=150,'A.0_Tablas salariales SC'!$E$216,IF(D15=189,'A.0_Tablas salariales SC'!$E$217,IF(D15=400,'A.0_Tablas salariales SC'!$E$218,IF(D15=450,'A.0_Tablas salariales SC'!$E$219,IF(D15=401,'A.0_Tablas salariales SC'!$E$220,IF(D15=451,'A.0_Tablas salariales SC'!$E$221,'A.0_Tablas salariales SC'!$E$215)))))))</f>
        <v>0.34420000000000001</v>
      </c>
      <c r="R15" s="183">
        <f t="shared" si="1"/>
        <v>908.96680200000003</v>
      </c>
      <c r="S15" s="183">
        <f t="shared" si="2"/>
        <v>0</v>
      </c>
      <c r="T15" s="179"/>
    </row>
    <row r="16" spans="1:20">
      <c r="A16" s="508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2">
        <f>'A.1. Plantilla_Subrogacion'!F16</f>
        <v>0</v>
      </c>
      <c r="H16" s="181">
        <f>'A.1.0_TablaAntigüedad_Sub'!K16</f>
        <v>128</v>
      </c>
      <c r="I16" s="183">
        <f>'A.1.0_TablaAntigüedad_Sub'!Y16</f>
        <v>480.93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7213.95</v>
      </c>
      <c r="O16" s="183">
        <f>'A.0_Tablas salariales SC'!$K$64</f>
        <v>22832.16</v>
      </c>
      <c r="P16" s="183">
        <f>(O16+N16)*G16+'A.0_Tablas salariales SC'!$R$82*(100%-G16)</f>
        <v>2640.81</v>
      </c>
      <c r="Q16" s="184">
        <f>IF(D16=100,'A.0_Tablas salariales SC'!$E$215,IF(D16=150,'A.0_Tablas salariales SC'!$E$216,IF(D16=189,'A.0_Tablas salariales SC'!$E$217,IF(D16=400,'A.0_Tablas salariales SC'!$E$218,IF(D16=450,'A.0_Tablas salariales SC'!$E$219,IF(D16=401,'A.0_Tablas salariales SC'!$E$220,IF(D16=451,'A.0_Tablas salariales SC'!$E$221,'A.0_Tablas salariales SC'!$E$215)))))))</f>
        <v>0.34420000000000001</v>
      </c>
      <c r="R16" s="183">
        <f t="shared" si="1"/>
        <v>908.96680200000003</v>
      </c>
      <c r="S16" s="183">
        <f t="shared" si="2"/>
        <v>0</v>
      </c>
      <c r="T16" s="179"/>
    </row>
    <row r="17" spans="1:20">
      <c r="A17" s="508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2">
        <f>'A.1. Plantilla_Subrogacion'!F17</f>
        <v>0</v>
      </c>
      <c r="H17" s="181">
        <f>'A.1.0_TablaAntigüedad_Sub'!K17</f>
        <v>128</v>
      </c>
      <c r="I17" s="183">
        <f>'A.1.0_TablaAntigüedad_Sub'!Y17</f>
        <v>480.93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7213.95</v>
      </c>
      <c r="O17" s="183">
        <f>'A.0_Tablas salariales SC'!$K$64</f>
        <v>22832.16</v>
      </c>
      <c r="P17" s="183">
        <f>(O17+N17)*G17+'A.0_Tablas salariales SC'!$R$82*(100%-G17)</f>
        <v>2640.81</v>
      </c>
      <c r="Q17" s="184">
        <f>IF(D17=100,'A.0_Tablas salariales SC'!$E$215,IF(D17=150,'A.0_Tablas salariales SC'!$E$216,IF(D17=189,'A.0_Tablas salariales SC'!$E$217,IF(D17=400,'A.0_Tablas salariales SC'!$E$218,IF(D17=450,'A.0_Tablas salariales SC'!$E$219,IF(D17=401,'A.0_Tablas salariales SC'!$E$220,IF(D17=451,'A.0_Tablas salariales SC'!$E$221,'A.0_Tablas salariales SC'!$E$215)))))))</f>
        <v>0.34420000000000001</v>
      </c>
      <c r="R17" s="183">
        <f t="shared" si="1"/>
        <v>908.96680200000003</v>
      </c>
      <c r="S17" s="183">
        <f t="shared" si="2"/>
        <v>0</v>
      </c>
      <c r="T17" s="179"/>
    </row>
    <row r="18" spans="1:20">
      <c r="A18" s="508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2">
        <f>'A.1. Plantilla_Subrogacion'!F18</f>
        <v>0</v>
      </c>
      <c r="H18" s="181">
        <f>'A.1.0_TablaAntigüedad_Sub'!K18</f>
        <v>128</v>
      </c>
      <c r="I18" s="183">
        <f>'A.1.0_TablaAntigüedad_Sub'!Y18</f>
        <v>480.93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7213.95</v>
      </c>
      <c r="O18" s="183">
        <f>'A.0_Tablas salariales SC'!$K$64</f>
        <v>22832.16</v>
      </c>
      <c r="P18" s="183">
        <f>(O18+N18)*G18+'A.0_Tablas salariales SC'!$R$82*(100%-G18)</f>
        <v>2640.81</v>
      </c>
      <c r="Q18" s="184">
        <f>IF(D18=100,'A.0_Tablas salariales SC'!$E$215,IF(D18=150,'A.0_Tablas salariales SC'!$E$216,IF(D18=189,'A.0_Tablas salariales SC'!$E$217,IF(D18=400,'A.0_Tablas salariales SC'!$E$218,IF(D18=450,'A.0_Tablas salariales SC'!$E$219,IF(D18=401,'A.0_Tablas salariales SC'!$E$220,IF(D18=451,'A.0_Tablas salariales SC'!$E$221,'A.0_Tablas salariales SC'!$E$215)))))))</f>
        <v>0.34420000000000001</v>
      </c>
      <c r="R18" s="183">
        <f t="shared" si="1"/>
        <v>908.96680200000003</v>
      </c>
      <c r="S18" s="183">
        <f t="shared" si="2"/>
        <v>0</v>
      </c>
      <c r="T18" s="179"/>
    </row>
    <row r="19" spans="1:20">
      <c r="A19" s="508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2">
        <f>'A.1. Plantilla_Subrogacion'!F19</f>
        <v>0</v>
      </c>
      <c r="H19" s="181">
        <f>'A.1.0_TablaAntigüedad_Sub'!K19</f>
        <v>128</v>
      </c>
      <c r="I19" s="183">
        <f>'A.1.0_TablaAntigüedad_Sub'!Y19</f>
        <v>480.93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7213.95</v>
      </c>
      <c r="O19" s="183">
        <f>'A.0_Tablas salariales SC'!$K$64</f>
        <v>22832.16</v>
      </c>
      <c r="P19" s="183">
        <f>(O19+N19)*G19+'A.0_Tablas salariales SC'!$R$82*(100%-G19)</f>
        <v>2640.81</v>
      </c>
      <c r="Q19" s="184">
        <f>IF(D19=100,'A.0_Tablas salariales SC'!$E$215,IF(D19=150,'A.0_Tablas salariales SC'!$E$216,IF(D19=189,'A.0_Tablas salariales SC'!$E$217,IF(D19=400,'A.0_Tablas salariales SC'!$E$218,IF(D19=450,'A.0_Tablas salariales SC'!$E$219,IF(D19=401,'A.0_Tablas salariales SC'!$E$220,IF(D19=451,'A.0_Tablas salariales SC'!$E$221,'A.0_Tablas salariales SC'!$E$215)))))))</f>
        <v>0.34420000000000001</v>
      </c>
      <c r="R19" s="183">
        <f t="shared" si="1"/>
        <v>908.96680200000003</v>
      </c>
      <c r="S19" s="183">
        <f t="shared" si="2"/>
        <v>0</v>
      </c>
      <c r="T19" s="179"/>
    </row>
    <row r="20" spans="1:20">
      <c r="A20" s="508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2">
        <f>'A.1. Plantilla_Subrogacion'!F20</f>
        <v>0</v>
      </c>
      <c r="H20" s="181">
        <f>'A.1.0_TablaAntigüedad_Sub'!K20</f>
        <v>128</v>
      </c>
      <c r="I20" s="183">
        <f>'A.1.0_TablaAntigüedad_Sub'!Y20</f>
        <v>480.93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7213.95</v>
      </c>
      <c r="O20" s="183">
        <f>'A.0_Tablas salariales SC'!$K$64</f>
        <v>22832.16</v>
      </c>
      <c r="P20" s="183">
        <f>(O20+N20)*G20+'A.0_Tablas salariales SC'!$R$82*(100%-G20)</f>
        <v>2640.81</v>
      </c>
      <c r="Q20" s="184">
        <f>IF(D20=100,'A.0_Tablas salariales SC'!$E$215,IF(D20=150,'A.0_Tablas salariales SC'!$E$216,IF(D20=189,'A.0_Tablas salariales SC'!$E$217,IF(D20=400,'A.0_Tablas salariales SC'!$E$218,IF(D20=450,'A.0_Tablas salariales SC'!$E$219,IF(D20=401,'A.0_Tablas salariales SC'!$E$220,IF(D20=451,'A.0_Tablas salariales SC'!$E$221,'A.0_Tablas salariales SC'!$E$215)))))))</f>
        <v>0.34420000000000001</v>
      </c>
      <c r="R20" s="183">
        <f t="shared" si="1"/>
        <v>908.96680200000003</v>
      </c>
      <c r="S20" s="183">
        <f t="shared" si="2"/>
        <v>0</v>
      </c>
      <c r="T20" s="179"/>
    </row>
    <row r="21" spans="1:20">
      <c r="A21" s="508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2">
        <f>'A.1. Plantilla_Subrogacion'!F21</f>
        <v>0</v>
      </c>
      <c r="H21" s="181">
        <f>'A.1.0_TablaAntigüedad_Sub'!K21</f>
        <v>128</v>
      </c>
      <c r="I21" s="183">
        <f>'A.1.0_TablaAntigüedad_Sub'!Y21</f>
        <v>480.93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7213.95</v>
      </c>
      <c r="O21" s="183">
        <f>'A.0_Tablas salariales SC'!$K$64</f>
        <v>22832.16</v>
      </c>
      <c r="P21" s="183">
        <f>(O21+N21)*G21+'A.0_Tablas salariales SC'!$R$82*(100%-G21)</f>
        <v>2640.81</v>
      </c>
      <c r="Q21" s="184">
        <f>IF(D21=100,'A.0_Tablas salariales SC'!$E$215,IF(D21=150,'A.0_Tablas salariales SC'!$E$216,IF(D21=189,'A.0_Tablas salariales SC'!$E$217,IF(D21=400,'A.0_Tablas salariales SC'!$E$218,IF(D21=450,'A.0_Tablas salariales SC'!$E$219,IF(D21=401,'A.0_Tablas salariales SC'!$E$220,IF(D21=451,'A.0_Tablas salariales SC'!$E$221,'A.0_Tablas salariales SC'!$E$215)))))))</f>
        <v>0.34420000000000001</v>
      </c>
      <c r="R21" s="183">
        <f t="shared" si="1"/>
        <v>908.96680200000003</v>
      </c>
      <c r="S21" s="183">
        <f t="shared" si="2"/>
        <v>0</v>
      </c>
      <c r="T21" s="179"/>
    </row>
    <row r="22" spans="1:20">
      <c r="A22" s="508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2">
        <f>'A.1. Plantilla_Subrogacion'!F22</f>
        <v>0</v>
      </c>
      <c r="H22" s="181">
        <f>'A.1.0_TablaAntigüedad_Sub'!K22</f>
        <v>128</v>
      </c>
      <c r="I22" s="183">
        <f>'A.1.0_TablaAntigüedad_Sub'!Y22</f>
        <v>480.93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7213.95</v>
      </c>
      <c r="O22" s="183">
        <f>'A.0_Tablas salariales SC'!$K$64</f>
        <v>22832.16</v>
      </c>
      <c r="P22" s="183">
        <f>(O22+N22)*G22+'A.0_Tablas salariales SC'!$R$82*(100%-G22)</f>
        <v>2640.81</v>
      </c>
      <c r="Q22" s="184">
        <f>IF(D22=100,'A.0_Tablas salariales SC'!$E$215,IF(D22=150,'A.0_Tablas salariales SC'!$E$216,IF(D22=189,'A.0_Tablas salariales SC'!$E$217,IF(D22=400,'A.0_Tablas salariales SC'!$E$218,IF(D22=450,'A.0_Tablas salariales SC'!$E$219,IF(D22=401,'A.0_Tablas salariales SC'!$E$220,IF(D22=451,'A.0_Tablas salariales SC'!$E$221,'A.0_Tablas salariales SC'!$E$215)))))))</f>
        <v>0.34420000000000001</v>
      </c>
      <c r="R22" s="183">
        <f t="shared" si="1"/>
        <v>908.96680200000003</v>
      </c>
      <c r="S22" s="183">
        <f t="shared" si="2"/>
        <v>0</v>
      </c>
      <c r="T22" s="179"/>
    </row>
    <row r="23" spans="1:20">
      <c r="A23" s="508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2">
        <f>'A.1. Plantilla_Subrogacion'!F23</f>
        <v>0</v>
      </c>
      <c r="H23" s="181">
        <f>'A.1.0_TablaAntigüedad_Sub'!K23</f>
        <v>128</v>
      </c>
      <c r="I23" s="183">
        <f>'A.1.0_TablaAntigüedad_Sub'!Y23</f>
        <v>480.93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7213.95</v>
      </c>
      <c r="O23" s="183">
        <f>'A.0_Tablas salariales SC'!$K$64</f>
        <v>22832.16</v>
      </c>
      <c r="P23" s="183">
        <f>(O23+N23)*G23+'A.0_Tablas salariales SC'!$R$82*(100%-G23)</f>
        <v>2640.81</v>
      </c>
      <c r="Q23" s="184">
        <f>IF(D23=100,'A.0_Tablas salariales SC'!$E$215,IF(D23=150,'A.0_Tablas salariales SC'!$E$216,IF(D23=189,'A.0_Tablas salariales SC'!$E$217,IF(D23=400,'A.0_Tablas salariales SC'!$E$218,IF(D23=450,'A.0_Tablas salariales SC'!$E$219,IF(D23=401,'A.0_Tablas salariales SC'!$E$220,IF(D23=451,'A.0_Tablas salariales SC'!$E$221,'A.0_Tablas salariales SC'!$E$215)))))))</f>
        <v>0.34420000000000001</v>
      </c>
      <c r="R23" s="183">
        <f t="shared" si="1"/>
        <v>908.96680200000003</v>
      </c>
      <c r="S23" s="183">
        <f t="shared" si="2"/>
        <v>0</v>
      </c>
      <c r="T23" s="179"/>
    </row>
    <row r="24" spans="1:20">
      <c r="A24" s="508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2">
        <f>'A.1. Plantilla_Subrogacion'!F24</f>
        <v>0</v>
      </c>
      <c r="H24" s="181">
        <f>'A.1.0_TablaAntigüedad_Sub'!K24</f>
        <v>128</v>
      </c>
      <c r="I24" s="183">
        <f>'A.1.0_TablaAntigüedad_Sub'!Y24</f>
        <v>480.93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7213.95</v>
      </c>
      <c r="O24" s="183">
        <f>'A.0_Tablas salariales SC'!$K$64</f>
        <v>22832.16</v>
      </c>
      <c r="P24" s="183">
        <f>(O24+N24)*G24+'A.0_Tablas salariales SC'!$R$82*(100%-G24)</f>
        <v>2640.81</v>
      </c>
      <c r="Q24" s="184">
        <f>IF(D24=100,'A.0_Tablas salariales SC'!$E$215,IF(D24=150,'A.0_Tablas salariales SC'!$E$216,IF(D24=189,'A.0_Tablas salariales SC'!$E$217,IF(D24=400,'A.0_Tablas salariales SC'!$E$218,IF(D24=450,'A.0_Tablas salariales SC'!$E$219,IF(D24=401,'A.0_Tablas salariales SC'!$E$220,IF(D24=451,'A.0_Tablas salariales SC'!$E$221,'A.0_Tablas salariales SC'!$E$215)))))))</f>
        <v>0.34420000000000001</v>
      </c>
      <c r="R24" s="183">
        <f t="shared" si="1"/>
        <v>908.96680200000003</v>
      </c>
      <c r="S24" s="183">
        <f t="shared" si="2"/>
        <v>0</v>
      </c>
      <c r="T24" s="179"/>
    </row>
    <row r="25" spans="1:20">
      <c r="A25" s="508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2">
        <f>'A.1. Plantilla_Subrogacion'!F25</f>
        <v>0</v>
      </c>
      <c r="H25" s="181">
        <f>'A.1.0_TablaAntigüedad_Sub'!K25</f>
        <v>128</v>
      </c>
      <c r="I25" s="183">
        <f>'A.1.0_TablaAntigüedad_Sub'!Y25</f>
        <v>480.93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7213.95</v>
      </c>
      <c r="O25" s="183">
        <f>'A.0_Tablas salariales SC'!$K$64</f>
        <v>22832.16</v>
      </c>
      <c r="P25" s="183">
        <f>(O25+N25)*G25+'A.0_Tablas salariales SC'!$R$82*(100%-G25)</f>
        <v>2640.81</v>
      </c>
      <c r="Q25" s="184">
        <f>IF(D25=100,'A.0_Tablas salariales SC'!$E$215,IF(D25=150,'A.0_Tablas salariales SC'!$E$216,IF(D25=189,'A.0_Tablas salariales SC'!$E$217,IF(D25=400,'A.0_Tablas salariales SC'!$E$218,IF(D25=450,'A.0_Tablas salariales SC'!$E$219,IF(D25=401,'A.0_Tablas salariales SC'!$E$220,IF(D25=451,'A.0_Tablas salariales SC'!$E$221,'A.0_Tablas salariales SC'!$E$215)))))))</f>
        <v>0.34420000000000001</v>
      </c>
      <c r="R25" s="183">
        <f t="shared" si="1"/>
        <v>908.96680200000003</v>
      </c>
      <c r="S25" s="183">
        <f t="shared" si="2"/>
        <v>0</v>
      </c>
      <c r="T25" s="179"/>
    </row>
    <row r="26" spans="1:20">
      <c r="A26" s="508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2">
        <f>'A.1. Plantilla_Subrogacion'!F26</f>
        <v>0</v>
      </c>
      <c r="H26" s="181">
        <f>'A.1.0_TablaAntigüedad_Sub'!K26</f>
        <v>128</v>
      </c>
      <c r="I26" s="183">
        <f>'A.1.0_TablaAntigüedad_Sub'!Y26</f>
        <v>480.93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7213.95</v>
      </c>
      <c r="O26" s="183">
        <f>'A.0_Tablas salariales SC'!$K$64</f>
        <v>22832.16</v>
      </c>
      <c r="P26" s="183">
        <f>(O26+N26)*G26+'A.0_Tablas salariales SC'!$R$82*(100%-G26)</f>
        <v>2640.81</v>
      </c>
      <c r="Q26" s="184">
        <f>IF(D26=100,'A.0_Tablas salariales SC'!$E$215,IF(D26=150,'A.0_Tablas salariales SC'!$E$216,IF(D26=189,'A.0_Tablas salariales SC'!$E$217,IF(D26=400,'A.0_Tablas salariales SC'!$E$218,IF(D26=450,'A.0_Tablas salariales SC'!$E$219,IF(D26=401,'A.0_Tablas salariales SC'!$E$220,IF(D26=451,'A.0_Tablas salariales SC'!$E$221,'A.0_Tablas salariales SC'!$E$215)))))))</f>
        <v>0.34420000000000001</v>
      </c>
      <c r="R26" s="183">
        <f t="shared" si="1"/>
        <v>908.96680200000003</v>
      </c>
      <c r="S26" s="183">
        <f t="shared" si="2"/>
        <v>0</v>
      </c>
      <c r="T26" s="179"/>
    </row>
    <row r="27" spans="1:20">
      <c r="A27" s="508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2">
        <f>'A.1. Plantilla_Subrogacion'!F27</f>
        <v>0</v>
      </c>
      <c r="H27" s="181">
        <f>'A.1.0_TablaAntigüedad_Sub'!K27</f>
        <v>128</v>
      </c>
      <c r="I27" s="183">
        <f>'A.1.0_TablaAntigüedad_Sub'!Y27</f>
        <v>480.93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7213.95</v>
      </c>
      <c r="O27" s="183">
        <f>'A.0_Tablas salariales SC'!$K$64</f>
        <v>22832.16</v>
      </c>
      <c r="P27" s="183">
        <f>(O27+N27)*G27+'A.0_Tablas salariales SC'!$R$82*(100%-G27)</f>
        <v>2640.81</v>
      </c>
      <c r="Q27" s="184">
        <f>IF(D27=100,'A.0_Tablas salariales SC'!$E$215,IF(D27=150,'A.0_Tablas salariales SC'!$E$216,IF(D27=189,'A.0_Tablas salariales SC'!$E$217,IF(D27=400,'A.0_Tablas salariales SC'!$E$218,IF(D27=450,'A.0_Tablas salariales SC'!$E$219,IF(D27=401,'A.0_Tablas salariales SC'!$E$220,IF(D27=451,'A.0_Tablas salariales SC'!$E$221,'A.0_Tablas salariales SC'!$E$215)))))))</f>
        <v>0.34420000000000001</v>
      </c>
      <c r="R27" s="183">
        <f t="shared" si="1"/>
        <v>908.96680200000003</v>
      </c>
      <c r="S27" s="183">
        <f t="shared" si="2"/>
        <v>0</v>
      </c>
      <c r="T27" s="179"/>
    </row>
    <row r="28" spans="1:20">
      <c r="A28" s="508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2">
        <f>'A.1. Plantilla_Subrogacion'!F28</f>
        <v>0</v>
      </c>
      <c r="H28" s="181">
        <f>'A.1.0_TablaAntigüedad_Sub'!K28</f>
        <v>128</v>
      </c>
      <c r="I28" s="183">
        <f>'A.1.0_TablaAntigüedad_Sub'!Y28</f>
        <v>480.93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7213.95</v>
      </c>
      <c r="O28" s="183">
        <f>'A.0_Tablas salariales SC'!$K$64</f>
        <v>22832.16</v>
      </c>
      <c r="P28" s="183">
        <f>(O28+N28)*G28+'A.0_Tablas salariales SC'!$R$82*(100%-G28)</f>
        <v>2640.81</v>
      </c>
      <c r="Q28" s="184">
        <f>IF(D28=100,'A.0_Tablas salariales SC'!$E$215,IF(D28=150,'A.0_Tablas salariales SC'!$E$216,IF(D28=189,'A.0_Tablas salariales SC'!$E$217,IF(D28=400,'A.0_Tablas salariales SC'!$E$218,IF(D28=450,'A.0_Tablas salariales SC'!$E$219,IF(D28=401,'A.0_Tablas salariales SC'!$E$220,IF(D28=451,'A.0_Tablas salariales SC'!$E$221,'A.0_Tablas salariales SC'!$E$215)))))))</f>
        <v>0.34420000000000001</v>
      </c>
      <c r="R28" s="183">
        <f t="shared" si="1"/>
        <v>908.96680200000003</v>
      </c>
      <c r="S28" s="183">
        <f t="shared" si="2"/>
        <v>0</v>
      </c>
      <c r="T28" s="179"/>
    </row>
    <row r="29" spans="1:20">
      <c r="A29" s="508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2">
        <f>'A.1. Plantilla_Subrogacion'!F29</f>
        <v>0</v>
      </c>
      <c r="H29" s="181">
        <f>'A.1.0_TablaAntigüedad_Sub'!K29</f>
        <v>128</v>
      </c>
      <c r="I29" s="183">
        <f>'A.1.0_TablaAntigüedad_Sub'!Y29</f>
        <v>480.93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7213.95</v>
      </c>
      <c r="O29" s="183">
        <f>'A.0_Tablas salariales SC'!$K$64</f>
        <v>22832.16</v>
      </c>
      <c r="P29" s="183">
        <f>(O29+N29)*G29+'A.0_Tablas salariales SC'!$R$82*(100%-G29)</f>
        <v>2640.81</v>
      </c>
      <c r="Q29" s="184">
        <f>IF(D29=100,'A.0_Tablas salariales SC'!$E$215,IF(D29=150,'A.0_Tablas salariales SC'!$E$216,IF(D29=189,'A.0_Tablas salariales SC'!$E$217,IF(D29=400,'A.0_Tablas salariales SC'!$E$218,IF(D29=450,'A.0_Tablas salariales SC'!$E$219,IF(D29=401,'A.0_Tablas salariales SC'!$E$220,IF(D29=451,'A.0_Tablas salariales SC'!$E$221,'A.0_Tablas salariales SC'!$E$215)))))))</f>
        <v>0.34420000000000001</v>
      </c>
      <c r="R29" s="183">
        <f t="shared" si="1"/>
        <v>908.96680200000003</v>
      </c>
      <c r="S29" s="183">
        <f t="shared" si="2"/>
        <v>0</v>
      </c>
      <c r="T29" s="179"/>
    </row>
    <row r="30" spans="1:20">
      <c r="A30" s="508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2">
        <f>'A.1. Plantilla_Subrogacion'!F30</f>
        <v>0</v>
      </c>
      <c r="H30" s="181">
        <f>'A.1.0_TablaAntigüedad_Sub'!K30</f>
        <v>128</v>
      </c>
      <c r="I30" s="183">
        <f>'A.1.0_TablaAntigüedad_Sub'!Y30</f>
        <v>480.93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7213.95</v>
      </c>
      <c r="O30" s="183">
        <f>'A.0_Tablas salariales SC'!$K$64</f>
        <v>22832.16</v>
      </c>
      <c r="P30" s="183">
        <f>(O30+N30)*G30+'A.0_Tablas salariales SC'!$R$82*(100%-G30)</f>
        <v>2640.81</v>
      </c>
      <c r="Q30" s="184">
        <f>IF(D30=100,'A.0_Tablas salariales SC'!$E$215,IF(D30=150,'A.0_Tablas salariales SC'!$E$216,IF(D30=189,'A.0_Tablas salariales SC'!$E$217,IF(D30=400,'A.0_Tablas salariales SC'!$E$218,IF(D30=450,'A.0_Tablas salariales SC'!$E$219,IF(D30=401,'A.0_Tablas salariales SC'!$E$220,IF(D30=451,'A.0_Tablas salariales SC'!$E$221,'A.0_Tablas salariales SC'!$E$215)))))))</f>
        <v>0.34420000000000001</v>
      </c>
      <c r="R30" s="183">
        <f t="shared" si="1"/>
        <v>908.96680200000003</v>
      </c>
      <c r="S30" s="183">
        <f t="shared" si="2"/>
        <v>0</v>
      </c>
      <c r="T30" s="179"/>
    </row>
    <row r="31" spans="1:20">
      <c r="A31" s="508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2">
        <f>'A.1. Plantilla_Subrogacion'!F31</f>
        <v>0</v>
      </c>
      <c r="H31" s="181">
        <f>'A.1.0_TablaAntigüedad_Sub'!K31</f>
        <v>128</v>
      </c>
      <c r="I31" s="183">
        <f>'A.1.0_TablaAntigüedad_Sub'!Y31</f>
        <v>480.93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7213.95</v>
      </c>
      <c r="O31" s="183">
        <f>'A.0_Tablas salariales SC'!$K$64</f>
        <v>22832.16</v>
      </c>
      <c r="P31" s="183">
        <f>(O31+N31)*G31+'A.0_Tablas salariales SC'!$R$82*(100%-G31)</f>
        <v>2640.81</v>
      </c>
      <c r="Q31" s="184">
        <f>IF(D31=100,'A.0_Tablas salariales SC'!$E$215,IF(D31=150,'A.0_Tablas salariales SC'!$E$216,IF(D31=189,'A.0_Tablas salariales SC'!$E$217,IF(D31=400,'A.0_Tablas salariales SC'!$E$218,IF(D31=450,'A.0_Tablas salariales SC'!$E$219,IF(D31=401,'A.0_Tablas salariales SC'!$E$220,IF(D31=451,'A.0_Tablas salariales SC'!$E$221,'A.0_Tablas salariales SC'!$E$215)))))))</f>
        <v>0.34420000000000001</v>
      </c>
      <c r="R31" s="183">
        <f t="shared" si="1"/>
        <v>908.96680200000003</v>
      </c>
      <c r="S31" s="183">
        <f t="shared" si="2"/>
        <v>0</v>
      </c>
      <c r="T31" s="179"/>
    </row>
    <row r="32" spans="1:20">
      <c r="A32" s="508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2">
        <f>'A.1. Plantilla_Subrogacion'!F32</f>
        <v>0</v>
      </c>
      <c r="H32" s="181">
        <f>'A.1.0_TablaAntigüedad_Sub'!K32</f>
        <v>128</v>
      </c>
      <c r="I32" s="183">
        <f>'A.1.0_TablaAntigüedad_Sub'!Y32</f>
        <v>480.93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7213.95</v>
      </c>
      <c r="O32" s="183">
        <f>'A.0_Tablas salariales SC'!$K$64</f>
        <v>22832.16</v>
      </c>
      <c r="P32" s="183">
        <f>(O32+N32)*G32+'A.0_Tablas salariales SC'!$R$82*(100%-G32)</f>
        <v>2640.81</v>
      </c>
      <c r="Q32" s="184">
        <f>IF(D32=100,'A.0_Tablas salariales SC'!$E$215,IF(D32=150,'A.0_Tablas salariales SC'!$E$216,IF(D32=189,'A.0_Tablas salariales SC'!$E$217,IF(D32=400,'A.0_Tablas salariales SC'!$E$218,IF(D32=450,'A.0_Tablas salariales SC'!$E$219,IF(D32=401,'A.0_Tablas salariales SC'!$E$220,IF(D32=451,'A.0_Tablas salariales SC'!$E$221,'A.0_Tablas salariales SC'!$E$215)))))))</f>
        <v>0.34420000000000001</v>
      </c>
      <c r="R32" s="183">
        <f t="shared" si="1"/>
        <v>908.96680200000003</v>
      </c>
      <c r="S32" s="183">
        <f t="shared" si="2"/>
        <v>0</v>
      </c>
      <c r="T32" s="179"/>
    </row>
    <row r="33" spans="1:20">
      <c r="A33" s="508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2">
        <f>'A.1. Plantilla_Subrogacion'!F33</f>
        <v>0</v>
      </c>
      <c r="H33" s="181">
        <f>'A.1.0_TablaAntigüedad_Sub'!K33</f>
        <v>128</v>
      </c>
      <c r="I33" s="183">
        <f>'A.1.0_TablaAntigüedad_Sub'!Y33</f>
        <v>480.93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7213.95</v>
      </c>
      <c r="O33" s="183">
        <f>'A.0_Tablas salariales SC'!$K$64</f>
        <v>22832.16</v>
      </c>
      <c r="P33" s="183">
        <f>(O33+N33)*G33+'A.0_Tablas salariales SC'!$R$82*(100%-G33)</f>
        <v>2640.81</v>
      </c>
      <c r="Q33" s="184">
        <f>IF(D33=100,'A.0_Tablas salariales SC'!$E$215,IF(D33=150,'A.0_Tablas salariales SC'!$E$216,IF(D33=189,'A.0_Tablas salariales SC'!$E$217,IF(D33=400,'A.0_Tablas salariales SC'!$E$218,IF(D33=450,'A.0_Tablas salariales SC'!$E$219,IF(D33=401,'A.0_Tablas salariales SC'!$E$220,IF(D33=451,'A.0_Tablas salariales SC'!$E$221,'A.0_Tablas salariales SC'!$E$215)))))))</f>
        <v>0.34420000000000001</v>
      </c>
      <c r="R33" s="183">
        <f t="shared" si="1"/>
        <v>908.96680200000003</v>
      </c>
      <c r="S33" s="183">
        <f t="shared" si="2"/>
        <v>0</v>
      </c>
      <c r="T33" s="179"/>
    </row>
    <row r="34" spans="1:20">
      <c r="A34" s="508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2">
        <f>'A.1. Plantilla_Subrogacion'!F34</f>
        <v>0</v>
      </c>
      <c r="H34" s="181">
        <f>'A.1.0_TablaAntigüedad_Sub'!K34</f>
        <v>128</v>
      </c>
      <c r="I34" s="183">
        <f>'A.1.0_TablaAntigüedad_Sub'!Y34</f>
        <v>480.93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7213.95</v>
      </c>
      <c r="O34" s="183">
        <f>'A.0_Tablas salariales SC'!$K$64</f>
        <v>22832.16</v>
      </c>
      <c r="P34" s="183">
        <f>(O34+N34)*G34+'A.0_Tablas salariales SC'!$R$82*(100%-G34)</f>
        <v>2640.81</v>
      </c>
      <c r="Q34" s="184">
        <f>IF(D34=100,'A.0_Tablas salariales SC'!$E$215,IF(D34=150,'A.0_Tablas salariales SC'!$E$216,IF(D34=189,'A.0_Tablas salariales SC'!$E$217,IF(D34=400,'A.0_Tablas salariales SC'!$E$218,IF(D34=450,'A.0_Tablas salariales SC'!$E$219,IF(D34=401,'A.0_Tablas salariales SC'!$E$220,IF(D34=451,'A.0_Tablas salariales SC'!$E$221,'A.0_Tablas salariales SC'!$E$215)))))))</f>
        <v>0.34420000000000001</v>
      </c>
      <c r="R34" s="183">
        <f t="shared" si="1"/>
        <v>908.96680200000003</v>
      </c>
      <c r="S34" s="183">
        <f t="shared" si="2"/>
        <v>0</v>
      </c>
      <c r="T34" s="179"/>
    </row>
    <row r="35" spans="1:20">
      <c r="A35" s="508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2">
        <f>'A.1. Plantilla_Subrogacion'!F35</f>
        <v>0</v>
      </c>
      <c r="H35" s="181">
        <f>'A.1.0_TablaAntigüedad_Sub'!K35</f>
        <v>128</v>
      </c>
      <c r="I35" s="183">
        <f>'A.1.0_TablaAntigüedad_Sub'!Y35</f>
        <v>480.93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7213.95</v>
      </c>
      <c r="O35" s="183">
        <f>'A.0_Tablas salariales SC'!$K$64</f>
        <v>22832.16</v>
      </c>
      <c r="P35" s="183">
        <f>(O35+N35)*G35+'A.0_Tablas salariales SC'!$R$82*(100%-G35)</f>
        <v>2640.81</v>
      </c>
      <c r="Q35" s="184">
        <f>IF(D35=100,'A.0_Tablas salariales SC'!$E$215,IF(D35=150,'A.0_Tablas salariales SC'!$E$216,IF(D35=189,'A.0_Tablas salariales SC'!$E$217,IF(D35=400,'A.0_Tablas salariales SC'!$E$218,IF(D35=450,'A.0_Tablas salariales SC'!$E$219,IF(D35=401,'A.0_Tablas salariales SC'!$E$220,IF(D35=451,'A.0_Tablas salariales SC'!$E$221,'A.0_Tablas salariales SC'!$E$215)))))))</f>
        <v>0.34420000000000001</v>
      </c>
      <c r="R35" s="183">
        <f t="shared" si="1"/>
        <v>908.96680200000003</v>
      </c>
      <c r="S35" s="183">
        <f t="shared" si="2"/>
        <v>0</v>
      </c>
      <c r="T35" s="179"/>
    </row>
    <row r="36" spans="1:20">
      <c r="A36" s="508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2">
        <f>'A.1. Plantilla_Subrogacion'!F36</f>
        <v>0</v>
      </c>
      <c r="H36" s="181">
        <f>'A.1.0_TablaAntigüedad_Sub'!K36</f>
        <v>128</v>
      </c>
      <c r="I36" s="183">
        <f>'A.1.0_TablaAntigüedad_Sub'!Y36</f>
        <v>480.93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7213.95</v>
      </c>
      <c r="O36" s="183">
        <f>'A.0_Tablas salariales SC'!$K$64</f>
        <v>22832.16</v>
      </c>
      <c r="P36" s="183">
        <f>(O36+N36)*G36+'A.0_Tablas salariales SC'!$R$82*(100%-G36)</f>
        <v>2640.81</v>
      </c>
      <c r="Q36" s="184">
        <f>IF(D36=100,'A.0_Tablas salariales SC'!$E$215,IF(D36=150,'A.0_Tablas salariales SC'!$E$216,IF(D36=189,'A.0_Tablas salariales SC'!$E$217,IF(D36=400,'A.0_Tablas salariales SC'!$E$218,IF(D36=450,'A.0_Tablas salariales SC'!$E$219,IF(D36=401,'A.0_Tablas salariales SC'!$E$220,IF(D36=451,'A.0_Tablas salariales SC'!$E$221,'A.0_Tablas salariales SC'!$E$215)))))))</f>
        <v>0.34420000000000001</v>
      </c>
      <c r="R36" s="183">
        <f t="shared" si="1"/>
        <v>908.96680200000003</v>
      </c>
      <c r="S36" s="183">
        <f t="shared" si="2"/>
        <v>0</v>
      </c>
      <c r="T36" s="179"/>
    </row>
    <row r="37" spans="1:20">
      <c r="A37" s="508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2">
        <f>'A.1. Plantilla_Subrogacion'!F37</f>
        <v>0</v>
      </c>
      <c r="H37" s="181">
        <f>'A.1.0_TablaAntigüedad_Sub'!K37</f>
        <v>128</v>
      </c>
      <c r="I37" s="183">
        <f>'A.1.0_TablaAntigüedad_Sub'!Y37</f>
        <v>480.93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7213.95</v>
      </c>
      <c r="O37" s="183">
        <f>'A.0_Tablas salariales SC'!$K$64</f>
        <v>22832.16</v>
      </c>
      <c r="P37" s="183">
        <f>(O37+N37)*G37+'A.0_Tablas salariales SC'!$R$82*(100%-G37)</f>
        <v>2640.81</v>
      </c>
      <c r="Q37" s="184">
        <f>IF(D37=100,'A.0_Tablas salariales SC'!$E$215,IF(D37=150,'A.0_Tablas salariales SC'!$E$216,IF(D37=189,'A.0_Tablas salariales SC'!$E$217,IF(D37=400,'A.0_Tablas salariales SC'!$E$218,IF(D37=450,'A.0_Tablas salariales SC'!$E$219,IF(D37=401,'A.0_Tablas salariales SC'!$E$220,IF(D37=451,'A.0_Tablas salariales SC'!$E$221,'A.0_Tablas salariales SC'!$E$215)))))))</f>
        <v>0.34420000000000001</v>
      </c>
      <c r="R37" s="183">
        <f t="shared" si="1"/>
        <v>908.96680200000003</v>
      </c>
      <c r="S37" s="183">
        <f t="shared" si="2"/>
        <v>0</v>
      </c>
      <c r="T37" s="179"/>
    </row>
    <row r="38" spans="1:20">
      <c r="A38" s="508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2">
        <f>'A.1. Plantilla_Subrogacion'!F38</f>
        <v>0</v>
      </c>
      <c r="H38" s="181">
        <f>'A.1.0_TablaAntigüedad_Sub'!K38</f>
        <v>128</v>
      </c>
      <c r="I38" s="183">
        <f>'A.1.0_TablaAntigüedad_Sub'!Y38</f>
        <v>480.93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7213.95</v>
      </c>
      <c r="O38" s="183">
        <f>'A.0_Tablas salariales SC'!$K$64</f>
        <v>22832.16</v>
      </c>
      <c r="P38" s="183">
        <f>(O38+N38)*G38+'A.0_Tablas salariales SC'!$R$82*(100%-G38)</f>
        <v>2640.81</v>
      </c>
      <c r="Q38" s="184">
        <f>IF(D38=100,'A.0_Tablas salariales SC'!$E$215,IF(D38=150,'A.0_Tablas salariales SC'!$E$216,IF(D38=189,'A.0_Tablas salariales SC'!$E$217,IF(D38=400,'A.0_Tablas salariales SC'!$E$218,IF(D38=450,'A.0_Tablas salariales SC'!$E$219,IF(D38=401,'A.0_Tablas salariales SC'!$E$220,IF(D38=451,'A.0_Tablas salariales SC'!$E$221,'A.0_Tablas salariales SC'!$E$215)))))))</f>
        <v>0.34420000000000001</v>
      </c>
      <c r="R38" s="183">
        <f t="shared" si="1"/>
        <v>908.96680200000003</v>
      </c>
      <c r="S38" s="183">
        <f t="shared" si="2"/>
        <v>0</v>
      </c>
      <c r="T38" s="179"/>
    </row>
    <row r="39" spans="1:20">
      <c r="A39" s="508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2">
        <f>'A.1. Plantilla_Subrogacion'!F39</f>
        <v>0</v>
      </c>
      <c r="H39" s="181">
        <f>'A.1.0_TablaAntigüedad_Sub'!K39</f>
        <v>128</v>
      </c>
      <c r="I39" s="183">
        <f>'A.1.0_TablaAntigüedad_Sub'!Y39</f>
        <v>480.93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7213.95</v>
      </c>
      <c r="O39" s="183">
        <f>'A.0_Tablas salariales SC'!$K$64</f>
        <v>22832.16</v>
      </c>
      <c r="P39" s="183">
        <f>(O39+N39)*G39+'A.0_Tablas salariales SC'!$R$82*(100%-G39)</f>
        <v>2640.81</v>
      </c>
      <c r="Q39" s="184">
        <f>IF(D39=100,'A.0_Tablas salariales SC'!$E$215,IF(D39=150,'A.0_Tablas salariales SC'!$E$216,IF(D39=189,'A.0_Tablas salariales SC'!$E$217,IF(D39=400,'A.0_Tablas salariales SC'!$E$218,IF(D39=450,'A.0_Tablas salariales SC'!$E$219,IF(D39=401,'A.0_Tablas salariales SC'!$E$220,IF(D39=451,'A.0_Tablas salariales SC'!$E$221,'A.0_Tablas salariales SC'!$E$215)))))))</f>
        <v>0.34420000000000001</v>
      </c>
      <c r="R39" s="183">
        <f t="shared" si="1"/>
        <v>908.96680200000003</v>
      </c>
      <c r="S39" s="183">
        <f t="shared" si="2"/>
        <v>0</v>
      </c>
      <c r="T39" s="179"/>
    </row>
    <row r="40" spans="1:20">
      <c r="A40" s="508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2">
        <f>'A.1. Plantilla_Subrogacion'!F40</f>
        <v>0</v>
      </c>
      <c r="H40" s="181">
        <f>'A.1.0_TablaAntigüedad_Sub'!K40</f>
        <v>128</v>
      </c>
      <c r="I40" s="183">
        <f>'A.1.0_TablaAntigüedad_Sub'!Y40</f>
        <v>480.93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7213.95</v>
      </c>
      <c r="O40" s="183">
        <f>'A.0_Tablas salariales SC'!$K$64</f>
        <v>22832.16</v>
      </c>
      <c r="P40" s="183">
        <f>(O40+N40)*G40+'A.0_Tablas salariales SC'!$R$82*(100%-G40)</f>
        <v>2640.81</v>
      </c>
      <c r="Q40" s="184">
        <f>IF(D40=100,'A.0_Tablas salariales SC'!$E$215,IF(D40=150,'A.0_Tablas salariales SC'!$E$216,IF(D40=189,'A.0_Tablas salariales SC'!$E$217,IF(D40=400,'A.0_Tablas salariales SC'!$E$218,IF(D40=450,'A.0_Tablas salariales SC'!$E$219,IF(D40=401,'A.0_Tablas salariales SC'!$E$220,IF(D40=451,'A.0_Tablas salariales SC'!$E$221,'A.0_Tablas salariales SC'!$E$215)))))))</f>
        <v>0.34420000000000001</v>
      </c>
      <c r="R40" s="183">
        <f t="shared" si="1"/>
        <v>908.96680200000003</v>
      </c>
      <c r="S40" s="183">
        <f t="shared" si="2"/>
        <v>0</v>
      </c>
      <c r="T40" s="179"/>
    </row>
    <row r="41" spans="1:20">
      <c r="A41" s="508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2">
        <f>'A.1. Plantilla_Subrogacion'!F41</f>
        <v>0</v>
      </c>
      <c r="H41" s="181">
        <f>'A.1.0_TablaAntigüedad_Sub'!K41</f>
        <v>128</v>
      </c>
      <c r="I41" s="183">
        <f>'A.1.0_TablaAntigüedad_Sub'!Y41</f>
        <v>480.93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7213.95</v>
      </c>
      <c r="O41" s="183">
        <f>'A.0_Tablas salariales SC'!$K$64</f>
        <v>22832.16</v>
      </c>
      <c r="P41" s="183">
        <f>(O41+N41)*G41+'A.0_Tablas salariales SC'!$R$82*(100%-G41)</f>
        <v>2640.81</v>
      </c>
      <c r="Q41" s="184">
        <f>IF(D41=100,'A.0_Tablas salariales SC'!$E$215,IF(D41=150,'A.0_Tablas salariales SC'!$E$216,IF(D41=189,'A.0_Tablas salariales SC'!$E$217,IF(D41=400,'A.0_Tablas salariales SC'!$E$218,IF(D41=450,'A.0_Tablas salariales SC'!$E$219,IF(D41=401,'A.0_Tablas salariales SC'!$E$220,IF(D41=451,'A.0_Tablas salariales SC'!$E$221,'A.0_Tablas salariales SC'!$E$215)))))))</f>
        <v>0.34420000000000001</v>
      </c>
      <c r="R41" s="183">
        <f t="shared" si="1"/>
        <v>908.96680200000003</v>
      </c>
      <c r="S41" s="183">
        <f t="shared" si="2"/>
        <v>0</v>
      </c>
      <c r="T41" s="179"/>
    </row>
    <row r="42" spans="1:20">
      <c r="A42" s="508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2">
        <f>'A.1. Plantilla_Subrogacion'!F42</f>
        <v>0</v>
      </c>
      <c r="H42" s="181">
        <f>'A.1.0_TablaAntigüedad_Sub'!K42</f>
        <v>128</v>
      </c>
      <c r="I42" s="183">
        <f>'A.1.0_TablaAntigüedad_Sub'!Y42</f>
        <v>480.93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7213.95</v>
      </c>
      <c r="O42" s="183">
        <f>'A.0_Tablas salariales SC'!$K$64</f>
        <v>22832.16</v>
      </c>
      <c r="P42" s="183">
        <f>(O42+N42)*G42+'A.0_Tablas salariales SC'!$R$82*(100%-G42)</f>
        <v>2640.81</v>
      </c>
      <c r="Q42" s="184">
        <f>IF(D42=100,'A.0_Tablas salariales SC'!$E$215,IF(D42=150,'A.0_Tablas salariales SC'!$E$216,IF(D42=189,'A.0_Tablas salariales SC'!$E$217,IF(D42=400,'A.0_Tablas salariales SC'!$E$218,IF(D42=450,'A.0_Tablas salariales SC'!$E$219,IF(D42=401,'A.0_Tablas salariales SC'!$E$220,IF(D42=451,'A.0_Tablas salariales SC'!$E$221,'A.0_Tablas salariales SC'!$E$215)))))))</f>
        <v>0.34420000000000001</v>
      </c>
      <c r="R42" s="183">
        <f t="shared" si="1"/>
        <v>908.96680200000003</v>
      </c>
      <c r="S42" s="183">
        <f t="shared" si="2"/>
        <v>0</v>
      </c>
      <c r="T42" s="179"/>
    </row>
    <row r="43" spans="1:20">
      <c r="A43" s="508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2">
        <f>'A.1. Plantilla_Subrogacion'!F43</f>
        <v>0</v>
      </c>
      <c r="H43" s="181">
        <f>'A.1.0_TablaAntigüedad_Sub'!K43</f>
        <v>128</v>
      </c>
      <c r="I43" s="183">
        <f>'A.1.0_TablaAntigüedad_Sub'!Y43</f>
        <v>480.93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7213.95</v>
      </c>
      <c r="O43" s="183">
        <f>'A.0_Tablas salariales SC'!$K$64</f>
        <v>22832.16</v>
      </c>
      <c r="P43" s="183">
        <f>(O43+N43)*G43+'A.0_Tablas salariales SC'!$R$82*(100%-G43)</f>
        <v>2640.81</v>
      </c>
      <c r="Q43" s="184">
        <f>IF(D43=100,'A.0_Tablas salariales SC'!$E$215,IF(D43=150,'A.0_Tablas salariales SC'!$E$216,IF(D43=189,'A.0_Tablas salariales SC'!$E$217,IF(D43=400,'A.0_Tablas salariales SC'!$E$218,IF(D43=450,'A.0_Tablas salariales SC'!$E$219,IF(D43=401,'A.0_Tablas salariales SC'!$E$220,IF(D43=451,'A.0_Tablas salariales SC'!$E$221,'A.0_Tablas salariales SC'!$E$215)))))))</f>
        <v>0.34420000000000001</v>
      </c>
      <c r="R43" s="183">
        <f t="shared" si="1"/>
        <v>908.96680200000003</v>
      </c>
      <c r="S43" s="183">
        <f t="shared" si="2"/>
        <v>0</v>
      </c>
      <c r="T43" s="179"/>
    </row>
    <row r="44" spans="1:20">
      <c r="A44" s="508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2">
        <f>'A.1. Plantilla_Subrogacion'!F44</f>
        <v>0</v>
      </c>
      <c r="H44" s="181">
        <f>'A.1.0_TablaAntigüedad_Sub'!K44</f>
        <v>128</v>
      </c>
      <c r="I44" s="183">
        <f>'A.1.0_TablaAntigüedad_Sub'!Y44</f>
        <v>480.93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7213.95</v>
      </c>
      <c r="O44" s="183">
        <f>'A.0_Tablas salariales SC'!$K$64</f>
        <v>22832.16</v>
      </c>
      <c r="P44" s="183">
        <f>(O44+N44)*G44+'A.0_Tablas salariales SC'!$R$82*(100%-G44)</f>
        <v>2640.81</v>
      </c>
      <c r="Q44" s="184">
        <f>IF(D44=100,'A.0_Tablas salariales SC'!$E$215,IF(D44=150,'A.0_Tablas salariales SC'!$E$216,IF(D44=189,'A.0_Tablas salariales SC'!$E$217,IF(D44=400,'A.0_Tablas salariales SC'!$E$218,IF(D44=450,'A.0_Tablas salariales SC'!$E$219,IF(D44=401,'A.0_Tablas salariales SC'!$E$220,IF(D44=451,'A.0_Tablas salariales SC'!$E$221,'A.0_Tablas salariales SC'!$E$215)))))))</f>
        <v>0.34420000000000001</v>
      </c>
      <c r="R44" s="183">
        <f t="shared" si="1"/>
        <v>908.96680200000003</v>
      </c>
      <c r="S44" s="183">
        <f t="shared" si="2"/>
        <v>0</v>
      </c>
      <c r="T44" s="179"/>
    </row>
    <row r="45" spans="1:20">
      <c r="A45" s="508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2">
        <f>'A.1. Plantilla_Subrogacion'!F45</f>
        <v>0</v>
      </c>
      <c r="H45" s="181">
        <f>'A.1.0_TablaAntigüedad_Sub'!K45</f>
        <v>128</v>
      </c>
      <c r="I45" s="183">
        <f>'A.1.0_TablaAntigüedad_Sub'!Y45</f>
        <v>480.93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7213.95</v>
      </c>
      <c r="O45" s="183">
        <f>'A.0_Tablas salariales SC'!$K$64</f>
        <v>22832.16</v>
      </c>
      <c r="P45" s="183">
        <f>(O45+N45)*G45+'A.0_Tablas salariales SC'!$R$82*(100%-G45)</f>
        <v>2640.81</v>
      </c>
      <c r="Q45" s="184">
        <f>IF(D45=100,'A.0_Tablas salariales SC'!$E$215,IF(D45=150,'A.0_Tablas salariales SC'!$E$216,IF(D45=189,'A.0_Tablas salariales SC'!$E$217,IF(D45=400,'A.0_Tablas salariales SC'!$E$218,IF(D45=450,'A.0_Tablas salariales SC'!$E$219,IF(D45=401,'A.0_Tablas salariales SC'!$E$220,IF(D45=451,'A.0_Tablas salariales SC'!$E$221,'A.0_Tablas salariales SC'!$E$215)))))))</f>
        <v>0.34420000000000001</v>
      </c>
      <c r="R45" s="183">
        <f t="shared" si="1"/>
        <v>908.96680200000003</v>
      </c>
      <c r="S45" s="183">
        <f t="shared" si="2"/>
        <v>0</v>
      </c>
      <c r="T45" s="179"/>
    </row>
    <row r="46" spans="1:20">
      <c r="A46" s="508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2">
        <f>'A.1. Plantilla_Subrogacion'!F46</f>
        <v>0</v>
      </c>
      <c r="H46" s="181">
        <f>'A.1.0_TablaAntigüedad_Sub'!K46</f>
        <v>128</v>
      </c>
      <c r="I46" s="183">
        <f>'A.1.0_TablaAntigüedad_Sub'!Y46</f>
        <v>480.93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7213.95</v>
      </c>
      <c r="O46" s="183">
        <f>'A.0_Tablas salariales SC'!$K$64</f>
        <v>22832.16</v>
      </c>
      <c r="P46" s="183">
        <f>(O46+N46)*G46+'A.0_Tablas salariales SC'!$R$82*(100%-G46)</f>
        <v>2640.81</v>
      </c>
      <c r="Q46" s="184">
        <f>IF(D46=100,'A.0_Tablas salariales SC'!$E$215,IF(D46=150,'A.0_Tablas salariales SC'!$E$216,IF(D46=189,'A.0_Tablas salariales SC'!$E$217,IF(D46=400,'A.0_Tablas salariales SC'!$E$218,IF(D46=450,'A.0_Tablas salariales SC'!$E$219,IF(D46=401,'A.0_Tablas salariales SC'!$E$220,IF(D46=451,'A.0_Tablas salariales SC'!$E$221,'A.0_Tablas salariales SC'!$E$215)))))))</f>
        <v>0.34420000000000001</v>
      </c>
      <c r="R46" s="183">
        <f t="shared" si="1"/>
        <v>908.96680200000003</v>
      </c>
      <c r="S46" s="183">
        <f t="shared" si="2"/>
        <v>0</v>
      </c>
      <c r="T46" s="179"/>
    </row>
    <row r="47" spans="1:20">
      <c r="A47" s="508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2">
        <f>'A.1. Plantilla_Subrogacion'!F47</f>
        <v>0</v>
      </c>
      <c r="H47" s="181">
        <f>'A.1.0_TablaAntigüedad_Sub'!K47</f>
        <v>128</v>
      </c>
      <c r="I47" s="183">
        <f>'A.1.0_TablaAntigüedad_Sub'!Y47</f>
        <v>480.93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7213.95</v>
      </c>
      <c r="O47" s="183">
        <f>'A.0_Tablas salariales SC'!$K$64</f>
        <v>22832.16</v>
      </c>
      <c r="P47" s="183">
        <f>(O47+N47)*G47+'A.0_Tablas salariales SC'!$R$82*(100%-G47)</f>
        <v>2640.81</v>
      </c>
      <c r="Q47" s="184">
        <f>IF(D47=100,'A.0_Tablas salariales SC'!$E$215,IF(D47=150,'A.0_Tablas salariales SC'!$E$216,IF(D47=189,'A.0_Tablas salariales SC'!$E$217,IF(D47=400,'A.0_Tablas salariales SC'!$E$218,IF(D47=450,'A.0_Tablas salariales SC'!$E$219,IF(D47=401,'A.0_Tablas salariales SC'!$E$220,IF(D47=451,'A.0_Tablas salariales SC'!$E$221,'A.0_Tablas salariales SC'!$E$215)))))))</f>
        <v>0.34420000000000001</v>
      </c>
      <c r="R47" s="183">
        <f t="shared" si="1"/>
        <v>908.96680200000003</v>
      </c>
      <c r="S47" s="183">
        <f t="shared" si="2"/>
        <v>0</v>
      </c>
      <c r="T47" s="179"/>
    </row>
    <row r="48" spans="1:20">
      <c r="A48" s="508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2">
        <f>'A.1. Plantilla_Subrogacion'!F48</f>
        <v>0</v>
      </c>
      <c r="H48" s="181">
        <f>'A.1.0_TablaAntigüedad_Sub'!K48</f>
        <v>128</v>
      </c>
      <c r="I48" s="183">
        <f>'A.1.0_TablaAntigüedad_Sub'!Y48</f>
        <v>480.93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7213.95</v>
      </c>
      <c r="O48" s="183">
        <f>'A.0_Tablas salariales SC'!$K$64</f>
        <v>22832.16</v>
      </c>
      <c r="P48" s="183">
        <f>(O48+N48)*G48+'A.0_Tablas salariales SC'!$R$82*(100%-G48)</f>
        <v>2640.81</v>
      </c>
      <c r="Q48" s="184">
        <f>IF(D48=100,'A.0_Tablas salariales SC'!$E$215,IF(D48=150,'A.0_Tablas salariales SC'!$E$216,IF(D48=189,'A.0_Tablas salariales SC'!$E$217,IF(D48=400,'A.0_Tablas salariales SC'!$E$218,IF(D48=450,'A.0_Tablas salariales SC'!$E$219,IF(D48=401,'A.0_Tablas salariales SC'!$E$220,IF(D48=451,'A.0_Tablas salariales SC'!$E$221,'A.0_Tablas salariales SC'!$E$215)))))))</f>
        <v>0.34420000000000001</v>
      </c>
      <c r="R48" s="183">
        <f t="shared" si="1"/>
        <v>908.96680200000003</v>
      </c>
      <c r="S48" s="183">
        <f t="shared" si="2"/>
        <v>0</v>
      </c>
      <c r="T48" s="179"/>
    </row>
    <row r="49" spans="1:20">
      <c r="A49" s="508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2">
        <f>'A.1. Plantilla_Subrogacion'!F49</f>
        <v>0</v>
      </c>
      <c r="H49" s="181">
        <f>'A.1.0_TablaAntigüedad_Sub'!K49</f>
        <v>128</v>
      </c>
      <c r="I49" s="183">
        <f>'A.1.0_TablaAntigüedad_Sub'!Y49</f>
        <v>480.93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7213.95</v>
      </c>
      <c r="O49" s="183">
        <f>'A.0_Tablas salariales SC'!$K$64</f>
        <v>22832.16</v>
      </c>
      <c r="P49" s="183">
        <f>(O49+N49)*G49+'A.0_Tablas salariales SC'!$R$82*(100%-G49)</f>
        <v>2640.81</v>
      </c>
      <c r="Q49" s="184">
        <f>IF(D49=100,'A.0_Tablas salariales SC'!$E$215,IF(D49=150,'A.0_Tablas salariales SC'!$E$216,IF(D49=189,'A.0_Tablas salariales SC'!$E$217,IF(D49=400,'A.0_Tablas salariales SC'!$E$218,IF(D49=450,'A.0_Tablas salariales SC'!$E$219,IF(D49=401,'A.0_Tablas salariales SC'!$E$220,IF(D49=451,'A.0_Tablas salariales SC'!$E$221,'A.0_Tablas salariales SC'!$E$215)))))))</f>
        <v>0.34420000000000001</v>
      </c>
      <c r="R49" s="183">
        <f t="shared" si="1"/>
        <v>908.96680200000003</v>
      </c>
      <c r="S49" s="183">
        <f t="shared" si="2"/>
        <v>0</v>
      </c>
      <c r="T49" s="179"/>
    </row>
    <row r="50" spans="1:20">
      <c r="A50" s="508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2">
        <f>'A.1. Plantilla_Subrogacion'!F50</f>
        <v>0</v>
      </c>
      <c r="H50" s="181">
        <f>'A.1.0_TablaAntigüedad_Sub'!K50</f>
        <v>128</v>
      </c>
      <c r="I50" s="183">
        <f>'A.1.0_TablaAntigüedad_Sub'!Y50</f>
        <v>480.93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7213.95</v>
      </c>
      <c r="O50" s="183">
        <f>'A.0_Tablas salariales SC'!$K$64</f>
        <v>22832.16</v>
      </c>
      <c r="P50" s="183">
        <f>(O50+N50)*G50+'A.0_Tablas salariales SC'!$R$82*(100%-G50)</f>
        <v>2640.81</v>
      </c>
      <c r="Q50" s="184">
        <f>IF(D50=100,'A.0_Tablas salariales SC'!$E$215,IF(D50=150,'A.0_Tablas salariales SC'!$E$216,IF(D50=189,'A.0_Tablas salariales SC'!$E$217,IF(D50=400,'A.0_Tablas salariales SC'!$E$218,IF(D50=450,'A.0_Tablas salariales SC'!$E$219,IF(D50=401,'A.0_Tablas salariales SC'!$E$220,IF(D50=451,'A.0_Tablas salariales SC'!$E$221,'A.0_Tablas salariales SC'!$E$215)))))))</f>
        <v>0.34420000000000001</v>
      </c>
      <c r="R50" s="183">
        <f t="shared" si="1"/>
        <v>908.96680200000003</v>
      </c>
      <c r="S50" s="183">
        <f t="shared" si="2"/>
        <v>0</v>
      </c>
      <c r="T50" s="179"/>
    </row>
    <row r="51" spans="1:20">
      <c r="A51" s="508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2">
        <f>'A.1. Plantilla_Subrogacion'!F51</f>
        <v>0</v>
      </c>
      <c r="H51" s="181">
        <f>'A.1.0_TablaAntigüedad_Sub'!K51</f>
        <v>128</v>
      </c>
      <c r="I51" s="183">
        <f>'A.1.0_TablaAntigüedad_Sub'!Y51</f>
        <v>480.93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7213.95</v>
      </c>
      <c r="O51" s="183">
        <f>'A.0_Tablas salariales SC'!$K$64</f>
        <v>22832.16</v>
      </c>
      <c r="P51" s="183">
        <f>(O51+N51)*G51+'A.0_Tablas salariales SC'!$R$82*(100%-G51)</f>
        <v>2640.81</v>
      </c>
      <c r="Q51" s="184">
        <f>IF(D51=100,'A.0_Tablas salariales SC'!$E$215,IF(D51=150,'A.0_Tablas salariales SC'!$E$216,IF(D51=189,'A.0_Tablas salariales SC'!$E$217,IF(D51=400,'A.0_Tablas salariales SC'!$E$218,IF(D51=450,'A.0_Tablas salariales SC'!$E$219,IF(D51=401,'A.0_Tablas salariales SC'!$E$220,IF(D51=451,'A.0_Tablas salariales SC'!$E$221,'A.0_Tablas salariales SC'!$E$215)))))))</f>
        <v>0.34420000000000001</v>
      </c>
      <c r="R51" s="183">
        <f t="shared" si="1"/>
        <v>908.96680200000003</v>
      </c>
      <c r="S51" s="183">
        <f t="shared" si="2"/>
        <v>0</v>
      </c>
      <c r="T51" s="179"/>
    </row>
    <row r="52" spans="1:20">
      <c r="A52" s="508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2">
        <f>'A.1. Plantilla_Subrogacion'!F52</f>
        <v>0</v>
      </c>
      <c r="H52" s="181">
        <f>'A.1.0_TablaAntigüedad_Sub'!K52</f>
        <v>128</v>
      </c>
      <c r="I52" s="183">
        <f>'A.1.0_TablaAntigüedad_Sub'!Y52</f>
        <v>480.93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7213.95</v>
      </c>
      <c r="O52" s="183">
        <f>'A.0_Tablas salariales SC'!$K$64</f>
        <v>22832.16</v>
      </c>
      <c r="P52" s="183">
        <f>(O52+N52)*G52+'A.0_Tablas salariales SC'!$R$82*(100%-G52)</f>
        <v>2640.81</v>
      </c>
      <c r="Q52" s="184">
        <f>IF(D52=100,'A.0_Tablas salariales SC'!$E$215,IF(D52=150,'A.0_Tablas salariales SC'!$E$216,IF(D52=189,'A.0_Tablas salariales SC'!$E$217,IF(D52=400,'A.0_Tablas salariales SC'!$E$218,IF(D52=450,'A.0_Tablas salariales SC'!$E$219,IF(D52=401,'A.0_Tablas salariales SC'!$E$220,IF(D52=451,'A.0_Tablas salariales SC'!$E$221,'A.0_Tablas salariales SC'!$E$215)))))))</f>
        <v>0.34420000000000001</v>
      </c>
      <c r="R52" s="183">
        <f t="shared" si="1"/>
        <v>908.96680200000003</v>
      </c>
      <c r="S52" s="183">
        <f t="shared" si="2"/>
        <v>0</v>
      </c>
      <c r="T52" s="179"/>
    </row>
    <row r="53" spans="1:20">
      <c r="A53" s="508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2">
        <f>'A.1. Plantilla_Subrogacion'!F53</f>
        <v>0</v>
      </c>
      <c r="H53" s="181">
        <f>'A.1.0_TablaAntigüedad_Sub'!K53</f>
        <v>128</v>
      </c>
      <c r="I53" s="183">
        <f>'A.1.0_TablaAntigüedad_Sub'!Y53</f>
        <v>480.93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7213.95</v>
      </c>
      <c r="O53" s="183">
        <f>'A.0_Tablas salariales SC'!$K$64</f>
        <v>22832.16</v>
      </c>
      <c r="P53" s="183">
        <f>(O53+N53)*G53+'A.0_Tablas salariales SC'!$R$82*(100%-G53)</f>
        <v>2640.81</v>
      </c>
      <c r="Q53" s="184">
        <f>IF(D53=100,'A.0_Tablas salariales SC'!$E$215,IF(D53=150,'A.0_Tablas salariales SC'!$E$216,IF(D53=189,'A.0_Tablas salariales SC'!$E$217,IF(D53=400,'A.0_Tablas salariales SC'!$E$218,IF(D53=450,'A.0_Tablas salariales SC'!$E$219,IF(D53=401,'A.0_Tablas salariales SC'!$E$220,IF(D53=451,'A.0_Tablas salariales SC'!$E$221,'A.0_Tablas salariales SC'!$E$215)))))))</f>
        <v>0.34420000000000001</v>
      </c>
      <c r="R53" s="183">
        <f t="shared" si="1"/>
        <v>908.96680200000003</v>
      </c>
      <c r="S53" s="183">
        <f t="shared" si="2"/>
        <v>0</v>
      </c>
      <c r="T53" s="179"/>
    </row>
    <row r="54" spans="1:20">
      <c r="A54" s="508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2">
        <f>'A.1. Plantilla_Subrogacion'!F54</f>
        <v>0</v>
      </c>
      <c r="H54" s="181">
        <f>'A.1.0_TablaAntigüedad_Sub'!K54</f>
        <v>128</v>
      </c>
      <c r="I54" s="183">
        <f>'A.1.0_TablaAntigüedad_Sub'!Y54</f>
        <v>480.93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7213.95</v>
      </c>
      <c r="O54" s="183">
        <f>'A.0_Tablas salariales SC'!$K$64</f>
        <v>22832.16</v>
      </c>
      <c r="P54" s="183">
        <f>(O54+N54)*G54+'A.0_Tablas salariales SC'!$R$82*(100%-G54)</f>
        <v>2640.81</v>
      </c>
      <c r="Q54" s="184">
        <f>IF(D54=100,'A.0_Tablas salariales SC'!$E$215,IF(D54=150,'A.0_Tablas salariales SC'!$E$216,IF(D54=189,'A.0_Tablas salariales SC'!$E$217,IF(D54=400,'A.0_Tablas salariales SC'!$E$218,IF(D54=450,'A.0_Tablas salariales SC'!$E$219,IF(D54=401,'A.0_Tablas salariales SC'!$E$220,IF(D54=451,'A.0_Tablas salariales SC'!$E$221,'A.0_Tablas salariales SC'!$E$215)))))))</f>
        <v>0.34420000000000001</v>
      </c>
      <c r="R54" s="183">
        <f t="shared" si="1"/>
        <v>908.96680200000003</v>
      </c>
      <c r="S54" s="183">
        <f t="shared" si="2"/>
        <v>0</v>
      </c>
      <c r="T54" s="179"/>
    </row>
    <row r="55" spans="1:20">
      <c r="A55" s="508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2">
        <f>'A.1. Plantilla_Subrogacion'!F55</f>
        <v>0</v>
      </c>
      <c r="H55" s="181">
        <f>'A.1.0_TablaAntigüedad_Sub'!K55</f>
        <v>128</v>
      </c>
      <c r="I55" s="183">
        <f>'A.1.0_TablaAntigüedad_Sub'!Y55</f>
        <v>480.93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7213.95</v>
      </c>
      <c r="O55" s="183">
        <f>'A.0_Tablas salariales SC'!$K$64</f>
        <v>22832.16</v>
      </c>
      <c r="P55" s="183">
        <f>(O55+N55)*G55+'A.0_Tablas salariales SC'!$R$82*(100%-G55)</f>
        <v>2640.81</v>
      </c>
      <c r="Q55" s="184">
        <f>IF(D55=100,'A.0_Tablas salariales SC'!$E$215,IF(D55=150,'A.0_Tablas salariales SC'!$E$216,IF(D55=189,'A.0_Tablas salariales SC'!$E$217,IF(D55=400,'A.0_Tablas salariales SC'!$E$218,IF(D55=450,'A.0_Tablas salariales SC'!$E$219,IF(D55=401,'A.0_Tablas salariales SC'!$E$220,IF(D55=451,'A.0_Tablas salariales SC'!$E$221,'A.0_Tablas salariales SC'!$E$215)))))))</f>
        <v>0.34420000000000001</v>
      </c>
      <c r="R55" s="183">
        <f t="shared" si="1"/>
        <v>908.96680200000003</v>
      </c>
      <c r="S55" s="183">
        <f t="shared" si="2"/>
        <v>0</v>
      </c>
      <c r="T55" s="179"/>
    </row>
    <row r="56" spans="1:20">
      <c r="A56" s="508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2">
        <f>'A.1. Plantilla_Subrogacion'!F56</f>
        <v>0</v>
      </c>
      <c r="H56" s="181">
        <f>'A.1.0_TablaAntigüedad_Sub'!K56</f>
        <v>128</v>
      </c>
      <c r="I56" s="183">
        <f>'A.1.0_TablaAntigüedad_Sub'!Y56</f>
        <v>480.93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7213.95</v>
      </c>
      <c r="O56" s="183">
        <f>'A.0_Tablas salariales SC'!$K$64</f>
        <v>22832.16</v>
      </c>
      <c r="P56" s="183">
        <f>(O56+N56)*G56+'A.0_Tablas salariales SC'!$R$82*(100%-G56)</f>
        <v>2640.81</v>
      </c>
      <c r="Q56" s="184">
        <f>IF(D56=100,'A.0_Tablas salariales SC'!$E$215,IF(D56=150,'A.0_Tablas salariales SC'!$E$216,IF(D56=189,'A.0_Tablas salariales SC'!$E$217,IF(D56=400,'A.0_Tablas salariales SC'!$E$218,IF(D56=450,'A.0_Tablas salariales SC'!$E$219,IF(D56=401,'A.0_Tablas salariales SC'!$E$220,IF(D56=451,'A.0_Tablas salariales SC'!$E$221,'A.0_Tablas salariales SC'!$E$215)))))))</f>
        <v>0.34420000000000001</v>
      </c>
      <c r="R56" s="183">
        <f t="shared" si="1"/>
        <v>908.96680200000003</v>
      </c>
      <c r="S56" s="183">
        <f t="shared" si="2"/>
        <v>0</v>
      </c>
      <c r="T56" s="179"/>
    </row>
    <row r="57" spans="1:20">
      <c r="A57" s="508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2">
        <f>'A.1. Plantilla_Subrogacion'!F57</f>
        <v>0</v>
      </c>
      <c r="H57" s="181">
        <f>'A.1.0_TablaAntigüedad_Sub'!K57</f>
        <v>128</v>
      </c>
      <c r="I57" s="183">
        <f>'A.1.0_TablaAntigüedad_Sub'!Y57</f>
        <v>480.93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7213.95</v>
      </c>
      <c r="O57" s="183">
        <f>'A.0_Tablas salariales SC'!$K$64</f>
        <v>22832.16</v>
      </c>
      <c r="P57" s="183">
        <f>(O57+N57)*G57+'A.0_Tablas salariales SC'!$R$82*(100%-G57)</f>
        <v>2640.81</v>
      </c>
      <c r="Q57" s="184">
        <f>IF(D57=100,'A.0_Tablas salariales SC'!$E$215,IF(D57=150,'A.0_Tablas salariales SC'!$E$216,IF(D57=189,'A.0_Tablas salariales SC'!$E$217,IF(D57=400,'A.0_Tablas salariales SC'!$E$218,IF(D57=450,'A.0_Tablas salariales SC'!$E$219,IF(D57=401,'A.0_Tablas salariales SC'!$E$220,IF(D57=451,'A.0_Tablas salariales SC'!$E$221,'A.0_Tablas salariales SC'!$E$215)))))))</f>
        <v>0.34420000000000001</v>
      </c>
      <c r="R57" s="183">
        <f t="shared" si="1"/>
        <v>908.96680200000003</v>
      </c>
      <c r="S57" s="183">
        <f t="shared" si="2"/>
        <v>0</v>
      </c>
      <c r="T57" s="179"/>
    </row>
    <row r="58" spans="1:20">
      <c r="A58" s="508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2">
        <f>'A.1. Plantilla_Subrogacion'!F58</f>
        <v>0</v>
      </c>
      <c r="H58" s="181">
        <f>'A.1.0_TablaAntigüedad_Sub'!K58</f>
        <v>128</v>
      </c>
      <c r="I58" s="183">
        <f>'A.1.0_TablaAntigüedad_Sub'!Y58</f>
        <v>480.93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7213.95</v>
      </c>
      <c r="O58" s="183">
        <f>'A.0_Tablas salariales SC'!$K$64</f>
        <v>22832.16</v>
      </c>
      <c r="P58" s="183">
        <f>(O58+N58)*G58+'A.0_Tablas salariales SC'!$R$82*(100%-G58)</f>
        <v>2640.81</v>
      </c>
      <c r="Q58" s="184">
        <f>IF(D58=100,'A.0_Tablas salariales SC'!$E$215,IF(D58=150,'A.0_Tablas salariales SC'!$E$216,IF(D58=189,'A.0_Tablas salariales SC'!$E$217,IF(D58=400,'A.0_Tablas salariales SC'!$E$218,IF(D58=450,'A.0_Tablas salariales SC'!$E$219,IF(D58=401,'A.0_Tablas salariales SC'!$E$220,IF(D58=451,'A.0_Tablas salariales SC'!$E$221,'A.0_Tablas salariales SC'!$E$215)))))))</f>
        <v>0.34420000000000001</v>
      </c>
      <c r="R58" s="183">
        <f t="shared" si="1"/>
        <v>908.96680200000003</v>
      </c>
      <c r="S58" s="183">
        <f t="shared" si="2"/>
        <v>0</v>
      </c>
      <c r="T58" s="179"/>
    </row>
    <row r="59" spans="1:20">
      <c r="A59" s="508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2">
        <f>'A.1. Plantilla_Subrogacion'!F59</f>
        <v>0</v>
      </c>
      <c r="H59" s="181">
        <f>'A.1.0_TablaAntigüedad_Sub'!K59</f>
        <v>128</v>
      </c>
      <c r="I59" s="183">
        <f>'A.1.0_TablaAntigüedad_Sub'!Y59</f>
        <v>480.93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7213.95</v>
      </c>
      <c r="O59" s="183">
        <f>'A.0_Tablas salariales SC'!$K$64</f>
        <v>22832.16</v>
      </c>
      <c r="P59" s="183">
        <f>(O59+N59)*G59+'A.0_Tablas salariales SC'!$R$82*(100%-G59)</f>
        <v>2640.81</v>
      </c>
      <c r="Q59" s="184">
        <f>IF(D59=100,'A.0_Tablas salariales SC'!$E$215,IF(D59=150,'A.0_Tablas salariales SC'!$E$216,IF(D59=189,'A.0_Tablas salariales SC'!$E$217,IF(D59=400,'A.0_Tablas salariales SC'!$E$218,IF(D59=450,'A.0_Tablas salariales SC'!$E$219,IF(D59=401,'A.0_Tablas salariales SC'!$E$220,IF(D59=451,'A.0_Tablas salariales SC'!$E$221,'A.0_Tablas salariales SC'!$E$215)))))))</f>
        <v>0.34420000000000001</v>
      </c>
      <c r="R59" s="183">
        <f t="shared" si="1"/>
        <v>908.96680200000003</v>
      </c>
      <c r="S59" s="183">
        <f t="shared" si="2"/>
        <v>0</v>
      </c>
      <c r="T59" s="179"/>
    </row>
    <row r="60" spans="1:20">
      <c r="A60" s="508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2">
        <f>'A.1. Plantilla_Subrogacion'!F60</f>
        <v>0</v>
      </c>
      <c r="H60" s="181">
        <f>'A.1.0_TablaAntigüedad_Sub'!K60</f>
        <v>128</v>
      </c>
      <c r="I60" s="183">
        <f>'A.1.0_TablaAntigüedad_Sub'!Y60</f>
        <v>480.93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7213.95</v>
      </c>
      <c r="O60" s="183">
        <f>'A.0_Tablas salariales SC'!$K$64</f>
        <v>22832.16</v>
      </c>
      <c r="P60" s="183">
        <f>(O60+N60)*G60+'A.0_Tablas salariales SC'!$R$82*(100%-G60)</f>
        <v>2640.81</v>
      </c>
      <c r="Q60" s="184">
        <f>IF(D60=100,'A.0_Tablas salariales SC'!$E$215,IF(D60=150,'A.0_Tablas salariales SC'!$E$216,IF(D60=189,'A.0_Tablas salariales SC'!$E$217,IF(D60=400,'A.0_Tablas salariales SC'!$E$218,IF(D60=450,'A.0_Tablas salariales SC'!$E$219,IF(D60=401,'A.0_Tablas salariales SC'!$E$220,IF(D60=451,'A.0_Tablas salariales SC'!$E$221,'A.0_Tablas salariales SC'!$E$215)))))))</f>
        <v>0.34420000000000001</v>
      </c>
      <c r="R60" s="183">
        <f t="shared" si="1"/>
        <v>908.96680200000003</v>
      </c>
      <c r="S60" s="183">
        <f t="shared" si="2"/>
        <v>0</v>
      </c>
      <c r="T60" s="179"/>
    </row>
    <row r="61" spans="1:20">
      <c r="A61" s="508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2">
        <f>'A.1. Plantilla_Subrogacion'!F61</f>
        <v>0</v>
      </c>
      <c r="H61" s="181">
        <f>'A.1.0_TablaAntigüedad_Sub'!K61</f>
        <v>128</v>
      </c>
      <c r="I61" s="183">
        <f>'A.1.0_TablaAntigüedad_Sub'!Y61</f>
        <v>480.93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7213.95</v>
      </c>
      <c r="O61" s="183">
        <f>'A.0_Tablas salariales SC'!$K$64</f>
        <v>22832.16</v>
      </c>
      <c r="P61" s="183">
        <f>(O61+N61)*G61+'A.0_Tablas salariales SC'!$R$82*(100%-G61)</f>
        <v>2640.81</v>
      </c>
      <c r="Q61" s="184">
        <f>IF(D61=100,'A.0_Tablas salariales SC'!$E$215,IF(D61=150,'A.0_Tablas salariales SC'!$E$216,IF(D61=189,'A.0_Tablas salariales SC'!$E$217,IF(D61=400,'A.0_Tablas salariales SC'!$E$218,IF(D61=450,'A.0_Tablas salariales SC'!$E$219,IF(D61=401,'A.0_Tablas salariales SC'!$E$220,IF(D61=451,'A.0_Tablas salariales SC'!$E$221,'A.0_Tablas salariales SC'!$E$215)))))))</f>
        <v>0.34420000000000001</v>
      </c>
      <c r="R61" s="183">
        <f t="shared" si="1"/>
        <v>908.96680200000003</v>
      </c>
      <c r="S61" s="183">
        <f t="shared" si="2"/>
        <v>0</v>
      </c>
      <c r="T61" s="179"/>
    </row>
    <row r="62" spans="1:20">
      <c r="A62" s="508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2">
        <f>'A.1. Plantilla_Subrogacion'!F62</f>
        <v>0</v>
      </c>
      <c r="H62" s="181">
        <f>'A.1.0_TablaAntigüedad_Sub'!K62</f>
        <v>128</v>
      </c>
      <c r="I62" s="183">
        <f>'A.1.0_TablaAntigüedad_Sub'!Y62</f>
        <v>480.93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7213.95</v>
      </c>
      <c r="O62" s="183">
        <f>'A.0_Tablas salariales SC'!$K$64</f>
        <v>22832.16</v>
      </c>
      <c r="P62" s="183">
        <f>(O62+N62)*G62+'A.0_Tablas salariales SC'!$R$82*(100%-G62)</f>
        <v>2640.81</v>
      </c>
      <c r="Q62" s="184">
        <f>IF(D62=100,'A.0_Tablas salariales SC'!$E$215,IF(D62=150,'A.0_Tablas salariales SC'!$E$216,IF(D62=189,'A.0_Tablas salariales SC'!$E$217,IF(D62=400,'A.0_Tablas salariales SC'!$E$218,IF(D62=450,'A.0_Tablas salariales SC'!$E$219,IF(D62=401,'A.0_Tablas salariales SC'!$E$220,IF(D62=451,'A.0_Tablas salariales SC'!$E$221,'A.0_Tablas salariales SC'!$E$215)))))))</f>
        <v>0.34420000000000001</v>
      </c>
      <c r="R62" s="183">
        <f t="shared" si="1"/>
        <v>908.96680200000003</v>
      </c>
      <c r="S62" s="183">
        <f t="shared" si="2"/>
        <v>0</v>
      </c>
      <c r="T62" s="179"/>
    </row>
    <row r="63" spans="1:20">
      <c r="A63" s="508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2">
        <f>'A.1. Plantilla_Subrogacion'!F63</f>
        <v>0</v>
      </c>
      <c r="H63" s="181">
        <f>'A.1.0_TablaAntigüedad_Sub'!K63</f>
        <v>128</v>
      </c>
      <c r="I63" s="183">
        <f>'A.1.0_TablaAntigüedad_Sub'!Y63</f>
        <v>480.93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7213.95</v>
      </c>
      <c r="O63" s="183">
        <f>'A.0_Tablas salariales SC'!$K$64</f>
        <v>22832.16</v>
      </c>
      <c r="P63" s="183">
        <f>(O63+N63)*G63+'A.0_Tablas salariales SC'!$R$82*(100%-G63)</f>
        <v>2640.81</v>
      </c>
      <c r="Q63" s="184">
        <f>IF(D63=100,'A.0_Tablas salariales SC'!$E$215,IF(D63=150,'A.0_Tablas salariales SC'!$E$216,IF(D63=189,'A.0_Tablas salariales SC'!$E$217,IF(D63=400,'A.0_Tablas salariales SC'!$E$218,IF(D63=450,'A.0_Tablas salariales SC'!$E$219,IF(D63=401,'A.0_Tablas salariales SC'!$E$220,IF(D63=451,'A.0_Tablas salariales SC'!$E$221,'A.0_Tablas salariales SC'!$E$215)))))))</f>
        <v>0.34420000000000001</v>
      </c>
      <c r="R63" s="183">
        <f t="shared" si="1"/>
        <v>908.96680200000003</v>
      </c>
      <c r="S63" s="183">
        <f t="shared" si="2"/>
        <v>0</v>
      </c>
      <c r="T63" s="179"/>
    </row>
    <row r="64" spans="1:20">
      <c r="A64" s="508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2">
        <f>'A.1. Plantilla_Subrogacion'!F64</f>
        <v>0</v>
      </c>
      <c r="H64" s="181">
        <f>'A.1.0_TablaAntigüedad_Sub'!K64</f>
        <v>128</v>
      </c>
      <c r="I64" s="183">
        <f>'A.1.0_TablaAntigüedad_Sub'!Y64</f>
        <v>480.93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7213.95</v>
      </c>
      <c r="O64" s="183">
        <f>'A.0_Tablas salariales SC'!$K$64</f>
        <v>22832.16</v>
      </c>
      <c r="P64" s="183">
        <f>(O64+N64)*G64+'A.0_Tablas salariales SC'!$R$82*(100%-G64)</f>
        <v>2640.81</v>
      </c>
      <c r="Q64" s="184">
        <f>IF(D64=100,'A.0_Tablas salariales SC'!$E$215,IF(D64=150,'A.0_Tablas salariales SC'!$E$216,IF(D64=189,'A.0_Tablas salariales SC'!$E$217,IF(D64=400,'A.0_Tablas salariales SC'!$E$218,IF(D64=450,'A.0_Tablas salariales SC'!$E$219,IF(D64=401,'A.0_Tablas salariales SC'!$E$220,IF(D64=451,'A.0_Tablas salariales SC'!$E$221,'A.0_Tablas salariales SC'!$E$215)))))))</f>
        <v>0.34420000000000001</v>
      </c>
      <c r="R64" s="183">
        <f t="shared" si="1"/>
        <v>908.96680200000003</v>
      </c>
      <c r="S64" s="183">
        <f t="shared" si="2"/>
        <v>0</v>
      </c>
      <c r="T64" s="179"/>
    </row>
    <row r="65" spans="1:20">
      <c r="A65" s="508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2">
        <f>'A.1. Plantilla_Subrogacion'!F65</f>
        <v>0</v>
      </c>
      <c r="H65" s="181">
        <f>'A.1.0_TablaAntigüedad_Sub'!K65</f>
        <v>128</v>
      </c>
      <c r="I65" s="183">
        <f>'A.1.0_TablaAntigüedad_Sub'!Y65</f>
        <v>480.93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7213.95</v>
      </c>
      <c r="O65" s="183">
        <f>'A.0_Tablas salariales SC'!$K$64</f>
        <v>22832.16</v>
      </c>
      <c r="P65" s="183">
        <f>(O65+N65)*G65+'A.0_Tablas salariales SC'!$R$82*(100%-G65)</f>
        <v>2640.81</v>
      </c>
      <c r="Q65" s="184">
        <f>IF(D65=100,'A.0_Tablas salariales SC'!$E$215,IF(D65=150,'A.0_Tablas salariales SC'!$E$216,IF(D65=189,'A.0_Tablas salariales SC'!$E$217,IF(D65=400,'A.0_Tablas salariales SC'!$E$218,IF(D65=450,'A.0_Tablas salariales SC'!$E$219,IF(D65=401,'A.0_Tablas salariales SC'!$E$220,IF(D65=451,'A.0_Tablas salariales SC'!$E$221,'A.0_Tablas salariales SC'!$E$215)))))))</f>
        <v>0.34420000000000001</v>
      </c>
      <c r="R65" s="183">
        <f t="shared" si="1"/>
        <v>908.96680200000003</v>
      </c>
      <c r="S65" s="183">
        <f t="shared" si="2"/>
        <v>0</v>
      </c>
      <c r="T65" s="179"/>
    </row>
    <row r="66" spans="1:20">
      <c r="A66" s="508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2">
        <f>'A.1. Plantilla_Subrogacion'!F66</f>
        <v>0</v>
      </c>
      <c r="H66" s="181">
        <f>'A.1.0_TablaAntigüedad_Sub'!K66</f>
        <v>128</v>
      </c>
      <c r="I66" s="183">
        <f>'A.1.0_TablaAntigüedad_Sub'!Y66</f>
        <v>480.93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7213.95</v>
      </c>
      <c r="O66" s="183">
        <f>'A.0_Tablas salariales SC'!$K$64</f>
        <v>22832.16</v>
      </c>
      <c r="P66" s="183">
        <f>(O66+N66)*G66+'A.0_Tablas salariales SC'!$R$82*(100%-G66)</f>
        <v>2640.81</v>
      </c>
      <c r="Q66" s="184">
        <f>IF(D66=100,'A.0_Tablas salariales SC'!$E$215,IF(D66=150,'A.0_Tablas salariales SC'!$E$216,IF(D66=189,'A.0_Tablas salariales SC'!$E$217,IF(D66=400,'A.0_Tablas salariales SC'!$E$218,IF(D66=450,'A.0_Tablas salariales SC'!$E$219,IF(D66=401,'A.0_Tablas salariales SC'!$E$220,IF(D66=451,'A.0_Tablas salariales SC'!$E$221,'A.0_Tablas salariales SC'!$E$215)))))))</f>
        <v>0.34420000000000001</v>
      </c>
      <c r="R66" s="183">
        <f t="shared" si="1"/>
        <v>908.96680200000003</v>
      </c>
      <c r="S66" s="183">
        <f t="shared" si="2"/>
        <v>0</v>
      </c>
      <c r="T66" s="179"/>
    </row>
    <row r="67" spans="1:20">
      <c r="A67" s="508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2">
        <f>'A.1. Plantilla_Subrogacion'!F67</f>
        <v>0</v>
      </c>
      <c r="H67" s="181">
        <f>'A.1.0_TablaAntigüedad_Sub'!K67</f>
        <v>128</v>
      </c>
      <c r="I67" s="183">
        <f>'A.1.0_TablaAntigüedad_Sub'!Y67</f>
        <v>480.93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7213.95</v>
      </c>
      <c r="O67" s="183">
        <f>'A.0_Tablas salariales SC'!$K$64</f>
        <v>22832.16</v>
      </c>
      <c r="P67" s="183">
        <f>(O67+N67)*G67+'A.0_Tablas salariales SC'!$R$82*(100%-G67)</f>
        <v>2640.81</v>
      </c>
      <c r="Q67" s="184">
        <f>IF(D67=100,'A.0_Tablas salariales SC'!$E$215,IF(D67=150,'A.0_Tablas salariales SC'!$E$216,IF(D67=189,'A.0_Tablas salariales SC'!$E$217,IF(D67=400,'A.0_Tablas salariales SC'!$E$218,IF(D67=450,'A.0_Tablas salariales SC'!$E$219,IF(D67=401,'A.0_Tablas salariales SC'!$E$220,IF(D67=451,'A.0_Tablas salariales SC'!$E$221,'A.0_Tablas salariales SC'!$E$215)))))))</f>
        <v>0.34420000000000001</v>
      </c>
      <c r="R67" s="183">
        <f t="shared" si="1"/>
        <v>908.96680200000003</v>
      </c>
      <c r="S67" s="183">
        <f t="shared" si="2"/>
        <v>0</v>
      </c>
      <c r="T67" s="179"/>
    </row>
    <row r="68" spans="1:20">
      <c r="A68" s="508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2">
        <f>'A.1. Plantilla_Subrogacion'!F68</f>
        <v>0</v>
      </c>
      <c r="H68" s="181">
        <f>'A.1.0_TablaAntigüedad_Sub'!K68</f>
        <v>128</v>
      </c>
      <c r="I68" s="183">
        <f>'A.1.0_TablaAntigüedad_Sub'!Y68</f>
        <v>480.93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7213.95</v>
      </c>
      <c r="O68" s="183">
        <f>'A.0_Tablas salariales SC'!$K$64</f>
        <v>22832.16</v>
      </c>
      <c r="P68" s="183">
        <f>(O68+N68)*G68+'A.0_Tablas salariales SC'!$R$82*(100%-G68)</f>
        <v>2640.81</v>
      </c>
      <c r="Q68" s="184">
        <f>IF(D68=100,'A.0_Tablas salariales SC'!$E$215,IF(D68=150,'A.0_Tablas salariales SC'!$E$216,IF(D68=189,'A.0_Tablas salariales SC'!$E$217,IF(D68=400,'A.0_Tablas salariales SC'!$E$218,IF(D68=450,'A.0_Tablas salariales SC'!$E$219,IF(D68=401,'A.0_Tablas salariales SC'!$E$220,IF(D68=451,'A.0_Tablas salariales SC'!$E$221,'A.0_Tablas salariales SC'!$E$215)))))))</f>
        <v>0.34420000000000001</v>
      </c>
      <c r="R68" s="183">
        <f t="shared" si="1"/>
        <v>908.96680200000003</v>
      </c>
      <c r="S68" s="183">
        <f t="shared" si="2"/>
        <v>0</v>
      </c>
      <c r="T68" s="179"/>
    </row>
    <row r="69" spans="1:20">
      <c r="A69" s="508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2">
        <f>'A.1. Plantilla_Subrogacion'!F69</f>
        <v>0</v>
      </c>
      <c r="H69" s="181">
        <f>'A.1.0_TablaAntigüedad_Sub'!K69</f>
        <v>128</v>
      </c>
      <c r="I69" s="183">
        <f>'A.1.0_TablaAntigüedad_Sub'!Y69</f>
        <v>480.93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7213.95</v>
      </c>
      <c r="O69" s="183">
        <f>'A.0_Tablas salariales SC'!$K$64</f>
        <v>22832.16</v>
      </c>
      <c r="P69" s="183">
        <f>(O69+N69)*G69+'A.0_Tablas salariales SC'!$R$82*(100%-G69)</f>
        <v>2640.81</v>
      </c>
      <c r="Q69" s="184">
        <f>IF(D69=100,'A.0_Tablas salariales SC'!$E$215,IF(D69=150,'A.0_Tablas salariales SC'!$E$216,IF(D69=189,'A.0_Tablas salariales SC'!$E$217,IF(D69=400,'A.0_Tablas salariales SC'!$E$218,IF(D69=450,'A.0_Tablas salariales SC'!$E$219,IF(D69=401,'A.0_Tablas salariales SC'!$E$220,IF(D69=451,'A.0_Tablas salariales SC'!$E$221,'A.0_Tablas salariales SC'!$E$215)))))))</f>
        <v>0.34420000000000001</v>
      </c>
      <c r="R69" s="183">
        <f t="shared" ref="R69:R84" si="5">Q69*P69</f>
        <v>908.96680200000003</v>
      </c>
      <c r="S69" s="183">
        <f t="shared" ref="S69:S84" si="6">(R69+P69)*A69</f>
        <v>0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'A.1.0_TablaAntigüedad_Sub'!K70</f>
        <v>128</v>
      </c>
      <c r="I70" s="183">
        <f>'A.1.0_TablaAntigüedad_Sub'!Y70</f>
        <v>480.93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7213.95</v>
      </c>
      <c r="O70" s="183">
        <f>'A.0_Tablas salariales SC'!$K$64</f>
        <v>22832.16</v>
      </c>
      <c r="P70" s="183">
        <f>(O70+N70)*G70+'A.0_Tablas salariales SC'!$R$82*(100%-G70)</f>
        <v>2640.81</v>
      </c>
      <c r="Q70" s="184">
        <f>IF(D70=100,'A.0_Tablas salariales SC'!$E$215,IF(D70=150,'A.0_Tablas salariales SC'!$E$216,IF(D70=189,'A.0_Tablas salariales SC'!$E$217,IF(D70=400,'A.0_Tablas salariales SC'!$E$218,IF(D70=450,'A.0_Tablas salariales SC'!$E$219,IF(D70=401,'A.0_Tablas salariales SC'!$E$220,IF(D70=451,'A.0_Tablas salariales SC'!$E$221,'A.0_Tablas salariales SC'!$E$215)))))))</f>
        <v>0.34420000000000001</v>
      </c>
      <c r="R70" s="183">
        <f t="shared" si="5"/>
        <v>908.96680200000003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'A.1.0_TablaAntigüedad_Sub'!K71</f>
        <v>128</v>
      </c>
      <c r="I71" s="183">
        <f>'A.1.0_TablaAntigüedad_Sub'!Y71</f>
        <v>480.93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7213.95</v>
      </c>
      <c r="O71" s="183">
        <f>'A.0_Tablas salariales SC'!$K$64</f>
        <v>22832.16</v>
      </c>
      <c r="P71" s="183">
        <f>(O71+N71)*G71+'A.0_Tablas salariales SC'!$R$82*(100%-G71)</f>
        <v>2640.81</v>
      </c>
      <c r="Q71" s="184">
        <f>IF(D71=100,'A.0_Tablas salariales SC'!$E$215,IF(D71=150,'A.0_Tablas salariales SC'!$E$216,IF(D71=189,'A.0_Tablas salariales SC'!$E$217,IF(D71=400,'A.0_Tablas salariales SC'!$E$218,IF(D71=450,'A.0_Tablas salariales SC'!$E$219,IF(D71=401,'A.0_Tablas salariales SC'!$E$220,IF(D71=451,'A.0_Tablas salariales SC'!$E$221,'A.0_Tablas salariales SC'!$E$215)))))))</f>
        <v>0.34420000000000001</v>
      </c>
      <c r="R71" s="183">
        <f t="shared" si="5"/>
        <v>908.96680200000003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'A.1.0_TablaAntigüedad_Sub'!K72</f>
        <v>128</v>
      </c>
      <c r="I72" s="183">
        <f>'A.1.0_TablaAntigüedad_Sub'!Y72</f>
        <v>480.93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7213.95</v>
      </c>
      <c r="O72" s="183">
        <f>'A.0_Tablas salariales SC'!$K$64</f>
        <v>22832.16</v>
      </c>
      <c r="P72" s="183">
        <f>(O72+N72)*G72+'A.0_Tablas salariales SC'!$R$82*(100%-G72)</f>
        <v>2640.81</v>
      </c>
      <c r="Q72" s="184">
        <f>IF(D72=100,'A.0_Tablas salariales SC'!$E$215,IF(D72=150,'A.0_Tablas salariales SC'!$E$216,IF(D72=189,'A.0_Tablas salariales SC'!$E$217,IF(D72=400,'A.0_Tablas salariales SC'!$E$218,IF(D72=450,'A.0_Tablas salariales SC'!$E$219,IF(D72=401,'A.0_Tablas salariales SC'!$E$220,IF(D72=451,'A.0_Tablas salariales SC'!$E$221,'A.0_Tablas salariales SC'!$E$215)))))))</f>
        <v>0.34420000000000001</v>
      </c>
      <c r="R72" s="183">
        <f t="shared" si="5"/>
        <v>908.96680200000003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'A.1.0_TablaAntigüedad_Sub'!K73</f>
        <v>128</v>
      </c>
      <c r="I73" s="183">
        <f>'A.1.0_TablaAntigüedad_Sub'!Y73</f>
        <v>480.93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7213.95</v>
      </c>
      <c r="O73" s="183">
        <f>'A.0_Tablas salariales SC'!$K$64</f>
        <v>22832.16</v>
      </c>
      <c r="P73" s="183">
        <f>(O73+N73)*G73+'A.0_Tablas salariales SC'!$R$82*(100%-G73)</f>
        <v>2640.81</v>
      </c>
      <c r="Q73" s="184">
        <f>IF(D73=100,'A.0_Tablas salariales SC'!$E$215,IF(D73=150,'A.0_Tablas salariales SC'!$E$216,IF(D73=189,'A.0_Tablas salariales SC'!$E$217,IF(D73=400,'A.0_Tablas salariales SC'!$E$218,IF(D73=450,'A.0_Tablas salariales SC'!$E$219,IF(D73=401,'A.0_Tablas salariales SC'!$E$220,IF(D73=451,'A.0_Tablas salariales SC'!$E$221,'A.0_Tablas salariales SC'!$E$215)))))))</f>
        <v>0.34420000000000001</v>
      </c>
      <c r="R73" s="183">
        <f t="shared" si="5"/>
        <v>908.96680200000003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'A.1.0_TablaAntigüedad_Sub'!K74</f>
        <v>128</v>
      </c>
      <c r="I74" s="183">
        <f>'A.1.0_TablaAntigüedad_Sub'!Y74</f>
        <v>480.93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7213.95</v>
      </c>
      <c r="O74" s="183">
        <f>'A.0_Tablas salariales SC'!$K$64</f>
        <v>22832.16</v>
      </c>
      <c r="P74" s="183">
        <f>(O74+N74)*G74+'A.0_Tablas salariales SC'!$R$82*(100%-G74)</f>
        <v>2640.81</v>
      </c>
      <c r="Q74" s="184">
        <f>IF(D74=100,'A.0_Tablas salariales SC'!$E$215,IF(D74=150,'A.0_Tablas salariales SC'!$E$216,IF(D74=189,'A.0_Tablas salariales SC'!$E$217,IF(D74=400,'A.0_Tablas salariales SC'!$E$218,IF(D74=450,'A.0_Tablas salariales SC'!$E$219,IF(D74=401,'A.0_Tablas salariales SC'!$E$220,IF(D74=451,'A.0_Tablas salariales SC'!$E$221,'A.0_Tablas salariales SC'!$E$215)))))))</f>
        <v>0.34420000000000001</v>
      </c>
      <c r="R74" s="183">
        <f t="shared" si="5"/>
        <v>908.96680200000003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'A.1.0_TablaAntigüedad_Sub'!K75</f>
        <v>128</v>
      </c>
      <c r="I75" s="183">
        <f>'A.1.0_TablaAntigüedad_Sub'!Y75</f>
        <v>480.93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7213.95</v>
      </c>
      <c r="O75" s="183">
        <f>'A.0_Tablas salariales SC'!$K$64</f>
        <v>22832.16</v>
      </c>
      <c r="P75" s="183">
        <f>(O75+N75)*G75+'A.0_Tablas salariales SC'!$R$82*(100%-G75)</f>
        <v>2640.81</v>
      </c>
      <c r="Q75" s="184">
        <f>IF(D75=100,'A.0_Tablas salariales SC'!$E$215,IF(D75=150,'A.0_Tablas salariales SC'!$E$216,IF(D75=189,'A.0_Tablas salariales SC'!$E$217,IF(D75=400,'A.0_Tablas salariales SC'!$E$218,IF(D75=450,'A.0_Tablas salariales SC'!$E$219,IF(D75=401,'A.0_Tablas salariales SC'!$E$220,IF(D75=451,'A.0_Tablas salariales SC'!$E$221,'A.0_Tablas salariales SC'!$E$215)))))))</f>
        <v>0.34420000000000001</v>
      </c>
      <c r="R75" s="183">
        <f t="shared" si="5"/>
        <v>908.96680200000003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'A.1.0_TablaAntigüedad_Sub'!K76</f>
        <v>128</v>
      </c>
      <c r="I76" s="183">
        <f>'A.1.0_TablaAntigüedad_Sub'!Y76</f>
        <v>480.93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7213.95</v>
      </c>
      <c r="O76" s="183">
        <f>'A.0_Tablas salariales SC'!$K$64</f>
        <v>22832.16</v>
      </c>
      <c r="P76" s="183">
        <f>(O76+N76)*G76+'A.0_Tablas salariales SC'!$R$82*(100%-G76)</f>
        <v>2640.81</v>
      </c>
      <c r="Q76" s="184">
        <f>IF(D76=100,'A.0_Tablas salariales SC'!$E$215,IF(D76=150,'A.0_Tablas salariales SC'!$E$216,IF(D76=189,'A.0_Tablas salariales SC'!$E$217,IF(D76=400,'A.0_Tablas salariales SC'!$E$218,IF(D76=450,'A.0_Tablas salariales SC'!$E$219,IF(D76=401,'A.0_Tablas salariales SC'!$E$220,IF(D76=451,'A.0_Tablas salariales SC'!$E$221,'A.0_Tablas salariales SC'!$E$215)))))))</f>
        <v>0.34420000000000001</v>
      </c>
      <c r="R76" s="183">
        <f t="shared" si="5"/>
        <v>908.96680200000003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'A.1.0_TablaAntigüedad_Sub'!K77</f>
        <v>128</v>
      </c>
      <c r="I77" s="183">
        <f>'A.1.0_TablaAntigüedad_Sub'!Y77</f>
        <v>480.93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7213.95</v>
      </c>
      <c r="O77" s="183">
        <f>'A.0_Tablas salariales SC'!$K$64</f>
        <v>22832.16</v>
      </c>
      <c r="P77" s="183">
        <f>(O77+N77)*G77+'A.0_Tablas salariales SC'!$R$82*(100%-G77)</f>
        <v>2640.81</v>
      </c>
      <c r="Q77" s="184">
        <f>IF(D77=100,'A.0_Tablas salariales SC'!$E$215,IF(D77=150,'A.0_Tablas salariales SC'!$E$216,IF(D77=189,'A.0_Tablas salariales SC'!$E$217,IF(D77=400,'A.0_Tablas salariales SC'!$E$218,IF(D77=450,'A.0_Tablas salariales SC'!$E$219,IF(D77=401,'A.0_Tablas salariales SC'!$E$220,IF(D77=451,'A.0_Tablas salariales SC'!$E$221,'A.0_Tablas salariales SC'!$E$215)))))))</f>
        <v>0.34420000000000001</v>
      </c>
      <c r="R77" s="183">
        <f t="shared" si="5"/>
        <v>908.96680200000003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'A.1.0_TablaAntigüedad_Sub'!K78</f>
        <v>128</v>
      </c>
      <c r="I78" s="183">
        <f>'A.1.0_TablaAntigüedad_Sub'!Y78</f>
        <v>480.93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7213.95</v>
      </c>
      <c r="O78" s="183">
        <f>'A.0_Tablas salariales SC'!$K$64</f>
        <v>22832.16</v>
      </c>
      <c r="P78" s="183">
        <f>(O78+N78)*G78+'A.0_Tablas salariales SC'!$R$82*(100%-G78)</f>
        <v>2640.81</v>
      </c>
      <c r="Q78" s="184">
        <f>IF(D78=100,'A.0_Tablas salariales SC'!$E$215,IF(D78=150,'A.0_Tablas salariales SC'!$E$216,IF(D78=189,'A.0_Tablas salariales SC'!$E$217,IF(D78=400,'A.0_Tablas salariales SC'!$E$218,IF(D78=450,'A.0_Tablas salariales SC'!$E$219,IF(D78=401,'A.0_Tablas salariales SC'!$E$220,IF(D78=451,'A.0_Tablas salariales SC'!$E$221,'A.0_Tablas salariales SC'!$E$215)))))))</f>
        <v>0.34420000000000001</v>
      </c>
      <c r="R78" s="183">
        <f t="shared" si="5"/>
        <v>908.96680200000003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'A.1.0_TablaAntigüedad_Sub'!K79</f>
        <v>128</v>
      </c>
      <c r="I79" s="183">
        <f>'A.1.0_TablaAntigüedad_Sub'!Y79</f>
        <v>480.93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7213.95</v>
      </c>
      <c r="O79" s="183">
        <f>'A.0_Tablas salariales SC'!$K$64</f>
        <v>22832.16</v>
      </c>
      <c r="P79" s="183">
        <f>(O79+N79)*G79+'A.0_Tablas salariales SC'!$R$82*(100%-G79)</f>
        <v>2640.81</v>
      </c>
      <c r="Q79" s="184">
        <f>IF(D79=100,'A.0_Tablas salariales SC'!$E$215,IF(D79=150,'A.0_Tablas salariales SC'!$E$216,IF(D79=189,'A.0_Tablas salariales SC'!$E$217,IF(D79=400,'A.0_Tablas salariales SC'!$E$218,IF(D79=450,'A.0_Tablas salariales SC'!$E$219,IF(D79=401,'A.0_Tablas salariales SC'!$E$220,IF(D79=451,'A.0_Tablas salariales SC'!$E$221,'A.0_Tablas salariales SC'!$E$215)))))))</f>
        <v>0.34420000000000001</v>
      </c>
      <c r="R79" s="183">
        <f t="shared" si="5"/>
        <v>908.96680200000003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'A.1.0_TablaAntigüedad_Sub'!K80</f>
        <v>128</v>
      </c>
      <c r="I80" s="183">
        <f>'A.1.0_TablaAntigüedad_Sub'!Y80</f>
        <v>480.93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7213.95</v>
      </c>
      <c r="O80" s="183">
        <f>'A.0_Tablas salariales SC'!$K$64</f>
        <v>22832.16</v>
      </c>
      <c r="P80" s="183">
        <f>(O80+N80)*G80+'A.0_Tablas salariales SC'!$R$82*(100%-G80)</f>
        <v>2640.81</v>
      </c>
      <c r="Q80" s="184">
        <f>IF(D80=100,'A.0_Tablas salariales SC'!$E$215,IF(D80=150,'A.0_Tablas salariales SC'!$E$216,IF(D80=189,'A.0_Tablas salariales SC'!$E$217,IF(D80=400,'A.0_Tablas salariales SC'!$E$218,IF(D80=450,'A.0_Tablas salariales SC'!$E$219,IF(D80=401,'A.0_Tablas salariales SC'!$E$220,IF(D80=451,'A.0_Tablas salariales SC'!$E$221,'A.0_Tablas salariales SC'!$E$215)))))))</f>
        <v>0.34420000000000001</v>
      </c>
      <c r="R80" s="183">
        <f t="shared" si="5"/>
        <v>908.96680200000003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'A.1.0_TablaAntigüedad_Sub'!K81</f>
        <v>128</v>
      </c>
      <c r="I81" s="183">
        <f>'A.1.0_TablaAntigüedad_Sub'!Y81</f>
        <v>480.93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7213.95</v>
      </c>
      <c r="O81" s="183">
        <f>'A.0_Tablas salariales SC'!$K$64</f>
        <v>22832.16</v>
      </c>
      <c r="P81" s="183">
        <f>(O81+N81)*G81+'A.0_Tablas salariales SC'!$R$82*(100%-G81)</f>
        <v>2640.81</v>
      </c>
      <c r="Q81" s="184">
        <f>IF(D81=100,'A.0_Tablas salariales SC'!$E$215,IF(D81=150,'A.0_Tablas salariales SC'!$E$216,IF(D81=189,'A.0_Tablas salariales SC'!$E$217,IF(D81=400,'A.0_Tablas salariales SC'!$E$218,IF(D81=450,'A.0_Tablas salariales SC'!$E$219,IF(D81=401,'A.0_Tablas salariales SC'!$E$220,IF(D81=451,'A.0_Tablas salariales SC'!$E$221,'A.0_Tablas salariales SC'!$E$215)))))))</f>
        <v>0.34420000000000001</v>
      </c>
      <c r="R81" s="183">
        <f t="shared" si="5"/>
        <v>908.96680200000003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'A.1.0_TablaAntigüedad_Sub'!K82</f>
        <v>128</v>
      </c>
      <c r="I82" s="183">
        <f>'A.1.0_TablaAntigüedad_Sub'!Y82</f>
        <v>480.93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7213.95</v>
      </c>
      <c r="O82" s="183">
        <f>'A.0_Tablas salariales SC'!$K$64</f>
        <v>22832.16</v>
      </c>
      <c r="P82" s="183">
        <f>(O82+N82)*G82+'A.0_Tablas salariales SC'!$R$82*(100%-G82)</f>
        <v>2640.81</v>
      </c>
      <c r="Q82" s="184">
        <f>IF(D82=100,'A.0_Tablas salariales SC'!$E$215,IF(D82=150,'A.0_Tablas salariales SC'!$E$216,IF(D82=189,'A.0_Tablas salariales SC'!$E$217,IF(D82=400,'A.0_Tablas salariales SC'!$E$218,IF(D82=450,'A.0_Tablas salariales SC'!$E$219,IF(D82=401,'A.0_Tablas salariales SC'!$E$220,IF(D82=451,'A.0_Tablas salariales SC'!$E$221,'A.0_Tablas salariales SC'!$E$215)))))))</f>
        <v>0.34420000000000001</v>
      </c>
      <c r="R82" s="183">
        <f t="shared" si="5"/>
        <v>908.96680200000003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'A.1.0_TablaAntigüedad_Sub'!K83</f>
        <v>128</v>
      </c>
      <c r="I83" s="183">
        <f>'A.1.0_TablaAntigüedad_Sub'!Y83</f>
        <v>480.93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7213.95</v>
      </c>
      <c r="O83" s="183">
        <f>'A.0_Tablas salariales SC'!$K$64</f>
        <v>22832.16</v>
      </c>
      <c r="P83" s="183">
        <f>(O83+N83)*G83+'A.0_Tablas salariales SC'!$R$82*(100%-G83)</f>
        <v>2640.81</v>
      </c>
      <c r="Q83" s="184">
        <f>IF(D83=100,'A.0_Tablas salariales SC'!$E$215,IF(D83=150,'A.0_Tablas salariales SC'!$E$216,IF(D83=189,'A.0_Tablas salariales SC'!$E$217,IF(D83=400,'A.0_Tablas salariales SC'!$E$218,IF(D83=450,'A.0_Tablas salariales SC'!$E$219,IF(D83=401,'A.0_Tablas salariales SC'!$E$220,IF(D83=451,'A.0_Tablas salariales SC'!$E$221,'A.0_Tablas salariales SC'!$E$215)))))))</f>
        <v>0.34420000000000001</v>
      </c>
      <c r="R83" s="183">
        <f t="shared" si="5"/>
        <v>908.96680200000003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'A.1.0_TablaAntigüedad_Sub'!K84</f>
        <v>128</v>
      </c>
      <c r="I84" s="183">
        <f>'A.1.0_TablaAntigüedad_Sub'!Y84</f>
        <v>480.93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7213.95</v>
      </c>
      <c r="O84" s="183">
        <f>'A.0_Tablas salariales SC'!$K$64</f>
        <v>22832.16</v>
      </c>
      <c r="P84" s="183">
        <f>(O84+N84)*G84+'A.0_Tablas salariales SC'!$R$82*(100%-G84)</f>
        <v>2640.81</v>
      </c>
      <c r="Q84" s="184">
        <f>IF(D84=100,'A.0_Tablas salariales SC'!$E$215,IF(D84=150,'A.0_Tablas salariales SC'!$E$216,IF(D84=189,'A.0_Tablas salariales SC'!$E$217,IF(D84=400,'A.0_Tablas salariales SC'!$E$218,IF(D84=450,'A.0_Tablas salariales SC'!$E$219,IF(D84=401,'A.0_Tablas salariales SC'!$E$220,IF(D84=451,'A.0_Tablas salariales SC'!$E$221,'A.0_Tablas salariales SC'!$E$215)))))))</f>
        <v>0.34420000000000001</v>
      </c>
      <c r="R84" s="183">
        <f t="shared" si="5"/>
        <v>908.96680200000003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'A.1.0_TablaAntigüedad_Sub'!K85</f>
        <v>128</v>
      </c>
      <c r="I85" s="183">
        <f>'A.1.0_TablaAntigüedad_Sub'!Y85</f>
        <v>480.93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7213.95</v>
      </c>
      <c r="O85" s="183">
        <f>'A.0_Tablas salariales SC'!$K$64</f>
        <v>22832.16</v>
      </c>
      <c r="P85" s="183">
        <f>(O85+N85)*G85+'A.0_Tablas salariales SC'!$R$82*(100%-G85)</f>
        <v>2640.81</v>
      </c>
      <c r="Q85" s="184">
        <f>IF(D85=100,'A.0_Tablas salariales SC'!$E$215,IF(D85=150,'A.0_Tablas salariales SC'!$E$216,IF(D85=189,'A.0_Tablas salariales SC'!$E$217,IF(D85=400,'A.0_Tablas salariales SC'!$E$218,IF(D85=450,'A.0_Tablas salariales SC'!$E$219,IF(D85=401,'A.0_Tablas salariales SC'!$E$220,IF(D85=451,'A.0_Tablas salariales SC'!$E$221,'A.0_Tablas salariales SC'!$E$215)))))))</f>
        <v>0.34420000000000001</v>
      </c>
      <c r="R85" s="183">
        <f t="shared" si="1"/>
        <v>908.96680200000003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7"/>
      <c r="Q86" s="174"/>
      <c r="R86" s="174"/>
      <c r="S86" s="174"/>
      <c r="T86" s="180">
        <f>SUM(S14:S85)</f>
        <v>0</v>
      </c>
    </row>
    <row r="87" spans="1:20">
      <c r="A87" s="508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2">
        <f>'A.1. Plantilla_Subrogacion'!F87</f>
        <v>0</v>
      </c>
      <c r="H87" s="181">
        <f>'A.1.0_TablaAntigüedad_Sub'!K87</f>
        <v>128</v>
      </c>
      <c r="I87" s="183">
        <f>'A.1.0_TablaAntigüedad_Sub'!Y87</f>
        <v>480.93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7213.95</v>
      </c>
      <c r="O87" s="183">
        <f>'A.0_Tablas salariales SC'!$K$67</f>
        <v>23692.560000000005</v>
      </c>
      <c r="P87" s="183">
        <f>(O87+N87)*G87+'A.0_Tablas salariales SC'!$R$82*(100%-G87)</f>
        <v>2640.81</v>
      </c>
      <c r="Q87" s="184">
        <f>IF(D87=100,'A.0_Tablas salariales SC'!$E$215,IF(D87=150,'A.0_Tablas salariales SC'!$E$216,IF(D87=189,'A.0_Tablas salariales SC'!$E$217,IF(D87=400,'A.0_Tablas salariales SC'!$E$218,IF(D87=450,'A.0_Tablas salariales SC'!$E$219,IF(D87=401,'A.0_Tablas salariales SC'!$E$220,IF(D87=451,'A.0_Tablas salariales SC'!$E$221,'A.0_Tablas salariales SC'!$E$215)))))))</f>
        <v>0.34420000000000001</v>
      </c>
      <c r="R87" s="183">
        <f t="shared" si="1"/>
        <v>908.96680200000003</v>
      </c>
      <c r="S87" s="183">
        <f t="shared" si="2"/>
        <v>0</v>
      </c>
      <c r="T87" s="179"/>
    </row>
    <row r="88" spans="1:20">
      <c r="A88" s="508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2">
        <f>'A.1. Plantilla_Subrogacion'!F88</f>
        <v>0</v>
      </c>
      <c r="H88" s="181">
        <f>'A.1.0_TablaAntigüedad_Sub'!K88</f>
        <v>128</v>
      </c>
      <c r="I88" s="183">
        <f>'A.1.0_TablaAntigüedad_Sub'!Y88</f>
        <v>480.93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7213.95</v>
      </c>
      <c r="O88" s="183">
        <f>'A.0_Tablas salariales SC'!$K$67</f>
        <v>23692.560000000005</v>
      </c>
      <c r="P88" s="183">
        <f>(O88+N88)*G88+'A.0_Tablas salariales SC'!$R$82*(100%-G88)</f>
        <v>2640.81</v>
      </c>
      <c r="Q88" s="184">
        <f>IF(D88=100,'A.0_Tablas salariales SC'!$E$215,IF(D88=150,'A.0_Tablas salariales SC'!$E$216,IF(D88=189,'A.0_Tablas salariales SC'!$E$217,IF(D88=400,'A.0_Tablas salariales SC'!$E$218,IF(D88=450,'A.0_Tablas salariales SC'!$E$219,IF(D88=401,'A.0_Tablas salariales SC'!$E$220,IF(D88=451,'A.0_Tablas salariales SC'!$E$221,'A.0_Tablas salariales SC'!$E$215)))))))</f>
        <v>0.34420000000000001</v>
      </c>
      <c r="R88" s="183">
        <f t="shared" si="1"/>
        <v>908.96680200000003</v>
      </c>
      <c r="S88" s="183">
        <f t="shared" si="2"/>
        <v>0</v>
      </c>
      <c r="T88" s="179"/>
    </row>
    <row r="89" spans="1:20">
      <c r="A89" s="508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2">
        <f>'A.1. Plantilla_Subrogacion'!F89</f>
        <v>0</v>
      </c>
      <c r="H89" s="181">
        <f>'A.1.0_TablaAntigüedad_Sub'!K89</f>
        <v>128</v>
      </c>
      <c r="I89" s="183">
        <f>'A.1.0_TablaAntigüedad_Sub'!Y89</f>
        <v>480.93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7213.95</v>
      </c>
      <c r="O89" s="183">
        <f>'A.0_Tablas salariales SC'!$K$67</f>
        <v>23692.560000000005</v>
      </c>
      <c r="P89" s="183">
        <f>(O89+N89)*G89+'A.0_Tablas salariales SC'!$R$82*(100%-G89)</f>
        <v>2640.81</v>
      </c>
      <c r="Q89" s="184">
        <f>IF(D89=100,'A.0_Tablas salariales SC'!$E$215,IF(D89=150,'A.0_Tablas salariales SC'!$E$216,IF(D89=189,'A.0_Tablas salariales SC'!$E$217,IF(D89=400,'A.0_Tablas salariales SC'!$E$218,IF(D89=450,'A.0_Tablas salariales SC'!$E$219,IF(D89=401,'A.0_Tablas salariales SC'!$E$220,IF(D89=451,'A.0_Tablas salariales SC'!$E$221,'A.0_Tablas salariales SC'!$E$215)))))))</f>
        <v>0.34420000000000001</v>
      </c>
      <c r="R89" s="183">
        <f t="shared" si="1"/>
        <v>908.96680200000003</v>
      </c>
      <c r="S89" s="183">
        <f t="shared" si="2"/>
        <v>0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'A.1.0_TablaAntigüedad_Sub'!K90</f>
        <v>128</v>
      </c>
      <c r="I90" s="183">
        <f>'A.1.0_TablaAntigüedad_Sub'!Y90</f>
        <v>480.93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7213.95</v>
      </c>
      <c r="O90" s="183">
        <f>'A.0_Tablas salariales SC'!$K$67</f>
        <v>23692.560000000005</v>
      </c>
      <c r="P90" s="183">
        <f>(O90+N90)*G90+'A.0_Tablas salariales SC'!$R$82*(100%-G90)</f>
        <v>2640.81</v>
      </c>
      <c r="Q90" s="184">
        <f>IF(D90=100,'A.0_Tablas salariales SC'!$E$215,IF(D90=150,'A.0_Tablas salariales SC'!$E$216,IF(D90=189,'A.0_Tablas salariales SC'!$E$217,IF(D90=400,'A.0_Tablas salariales SC'!$E$218,IF(D90=450,'A.0_Tablas salariales SC'!$E$219,IF(D90=401,'A.0_Tablas salariales SC'!$E$220,IF(D90=451,'A.0_Tablas salariales SC'!$E$221,'A.0_Tablas salariales SC'!$E$215)))))))</f>
        <v>0.34420000000000001</v>
      </c>
      <c r="R90" s="183">
        <f t="shared" ref="R90:R112" si="8">Q90*P90</f>
        <v>908.96680200000003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'A.1.0_TablaAntigüedad_Sub'!K91</f>
        <v>128</v>
      </c>
      <c r="I91" s="183">
        <f>'A.1.0_TablaAntigüedad_Sub'!Y91</f>
        <v>480.93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7213.95</v>
      </c>
      <c r="O91" s="183">
        <f>'A.0_Tablas salariales SC'!$K$67</f>
        <v>23692.560000000005</v>
      </c>
      <c r="P91" s="183">
        <f>(O91+N91)*G91+'A.0_Tablas salariales SC'!$R$82*(100%-G91)</f>
        <v>2640.81</v>
      </c>
      <c r="Q91" s="184">
        <f>IF(D91=100,'A.0_Tablas salariales SC'!$E$215,IF(D91=150,'A.0_Tablas salariales SC'!$E$216,IF(D91=189,'A.0_Tablas salariales SC'!$E$217,IF(D91=400,'A.0_Tablas salariales SC'!$E$218,IF(D91=450,'A.0_Tablas salariales SC'!$E$219,IF(D91=401,'A.0_Tablas salariales SC'!$E$220,IF(D91=451,'A.0_Tablas salariales SC'!$E$221,'A.0_Tablas salariales SC'!$E$215)))))))</f>
        <v>0.34420000000000001</v>
      </c>
      <c r="R91" s="183">
        <f t="shared" si="8"/>
        <v>908.96680200000003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'A.1.0_TablaAntigüedad_Sub'!K92</f>
        <v>128</v>
      </c>
      <c r="I92" s="183">
        <f>'A.1.0_TablaAntigüedad_Sub'!Y92</f>
        <v>480.93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7213.95</v>
      </c>
      <c r="O92" s="183">
        <f>'A.0_Tablas salariales SC'!$K$67</f>
        <v>23692.560000000005</v>
      </c>
      <c r="P92" s="183">
        <f>(O92+N92)*G92+'A.0_Tablas salariales SC'!$R$82*(100%-G92)</f>
        <v>2640.81</v>
      </c>
      <c r="Q92" s="184">
        <f>IF(D92=100,'A.0_Tablas salariales SC'!$E$215,IF(D92=150,'A.0_Tablas salariales SC'!$E$216,IF(D92=189,'A.0_Tablas salariales SC'!$E$217,IF(D92=400,'A.0_Tablas salariales SC'!$E$218,IF(D92=450,'A.0_Tablas salariales SC'!$E$219,IF(D92=401,'A.0_Tablas salariales SC'!$E$220,IF(D92=451,'A.0_Tablas salariales SC'!$E$221,'A.0_Tablas salariales SC'!$E$215)))))))</f>
        <v>0.34420000000000001</v>
      </c>
      <c r="R92" s="183">
        <f t="shared" si="8"/>
        <v>908.96680200000003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'A.1.0_TablaAntigüedad_Sub'!K93</f>
        <v>128</v>
      </c>
      <c r="I93" s="183">
        <f>'A.1.0_TablaAntigüedad_Sub'!Y93</f>
        <v>480.93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7213.95</v>
      </c>
      <c r="O93" s="183">
        <f>'A.0_Tablas salariales SC'!$K$67</f>
        <v>23692.560000000005</v>
      </c>
      <c r="P93" s="183">
        <f>(O93+N93)*G93+'A.0_Tablas salariales SC'!$R$82*(100%-G93)</f>
        <v>2640.81</v>
      </c>
      <c r="Q93" s="184">
        <f>IF(D93=100,'A.0_Tablas salariales SC'!$E$215,IF(D93=150,'A.0_Tablas salariales SC'!$E$216,IF(D93=189,'A.0_Tablas salariales SC'!$E$217,IF(D93=400,'A.0_Tablas salariales SC'!$E$218,IF(D93=450,'A.0_Tablas salariales SC'!$E$219,IF(D93=401,'A.0_Tablas salariales SC'!$E$220,IF(D93=451,'A.0_Tablas salariales SC'!$E$221,'A.0_Tablas salariales SC'!$E$215)))))))</f>
        <v>0.34420000000000001</v>
      </c>
      <c r="R93" s="183">
        <f t="shared" si="8"/>
        <v>908.96680200000003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'A.1.0_TablaAntigüedad_Sub'!K94</f>
        <v>128</v>
      </c>
      <c r="I94" s="183">
        <f>'A.1.0_TablaAntigüedad_Sub'!Y94</f>
        <v>480.93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7213.95</v>
      </c>
      <c r="O94" s="183">
        <f>'A.0_Tablas salariales SC'!$K$67</f>
        <v>23692.560000000005</v>
      </c>
      <c r="P94" s="183">
        <f>(O94+N94)*G94+'A.0_Tablas salariales SC'!$R$82*(100%-G94)</f>
        <v>2640.81</v>
      </c>
      <c r="Q94" s="184">
        <f>IF(D94=100,'A.0_Tablas salariales SC'!$E$215,IF(D94=150,'A.0_Tablas salariales SC'!$E$216,IF(D94=189,'A.0_Tablas salariales SC'!$E$217,IF(D94=400,'A.0_Tablas salariales SC'!$E$218,IF(D94=450,'A.0_Tablas salariales SC'!$E$219,IF(D94=401,'A.0_Tablas salariales SC'!$E$220,IF(D94=451,'A.0_Tablas salariales SC'!$E$221,'A.0_Tablas salariales SC'!$E$215)))))))</f>
        <v>0.34420000000000001</v>
      </c>
      <c r="R94" s="183">
        <f t="shared" si="8"/>
        <v>908.96680200000003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'A.1.0_TablaAntigüedad_Sub'!K95</f>
        <v>128</v>
      </c>
      <c r="I95" s="183">
        <f>'A.1.0_TablaAntigüedad_Sub'!Y95</f>
        <v>480.93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7213.95</v>
      </c>
      <c r="O95" s="183">
        <f>'A.0_Tablas salariales SC'!$K$67</f>
        <v>23692.560000000005</v>
      </c>
      <c r="P95" s="183">
        <f>(O95+N95)*G95+'A.0_Tablas salariales SC'!$R$82*(100%-G95)</f>
        <v>2640.81</v>
      </c>
      <c r="Q95" s="184">
        <f>IF(D95=100,'A.0_Tablas salariales SC'!$E$215,IF(D95=150,'A.0_Tablas salariales SC'!$E$216,IF(D95=189,'A.0_Tablas salariales SC'!$E$217,IF(D95=400,'A.0_Tablas salariales SC'!$E$218,IF(D95=450,'A.0_Tablas salariales SC'!$E$219,IF(D95=401,'A.0_Tablas salariales SC'!$E$220,IF(D95=451,'A.0_Tablas salariales SC'!$E$221,'A.0_Tablas salariales SC'!$E$215)))))))</f>
        <v>0.34420000000000001</v>
      </c>
      <c r="R95" s="183">
        <f t="shared" si="8"/>
        <v>908.96680200000003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'A.1.0_TablaAntigüedad_Sub'!K96</f>
        <v>128</v>
      </c>
      <c r="I96" s="183">
        <f>'A.1.0_TablaAntigüedad_Sub'!Y96</f>
        <v>480.93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7213.95</v>
      </c>
      <c r="O96" s="183">
        <f>'A.0_Tablas salariales SC'!$K$67</f>
        <v>23692.560000000005</v>
      </c>
      <c r="P96" s="183">
        <f>(O96+N96)*G96+'A.0_Tablas salariales SC'!$R$82*(100%-G96)</f>
        <v>2640.81</v>
      </c>
      <c r="Q96" s="184">
        <f>IF(D96=100,'A.0_Tablas salariales SC'!$E$215,IF(D96=150,'A.0_Tablas salariales SC'!$E$216,IF(D96=189,'A.0_Tablas salariales SC'!$E$217,IF(D96=400,'A.0_Tablas salariales SC'!$E$218,IF(D96=450,'A.0_Tablas salariales SC'!$E$219,IF(D96=401,'A.0_Tablas salariales SC'!$E$220,IF(D96=451,'A.0_Tablas salariales SC'!$E$221,'A.0_Tablas salariales SC'!$E$215)))))))</f>
        <v>0.34420000000000001</v>
      </c>
      <c r="R96" s="183">
        <f t="shared" si="8"/>
        <v>908.96680200000003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'A.1.0_TablaAntigüedad_Sub'!K97</f>
        <v>128</v>
      </c>
      <c r="I97" s="183">
        <f>'A.1.0_TablaAntigüedad_Sub'!Y97</f>
        <v>480.93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7213.95</v>
      </c>
      <c r="O97" s="183">
        <f>'A.0_Tablas salariales SC'!$K$67</f>
        <v>23692.560000000005</v>
      </c>
      <c r="P97" s="183">
        <f>(O97+N97)*G97+'A.0_Tablas salariales SC'!$R$82*(100%-G97)</f>
        <v>2640.81</v>
      </c>
      <c r="Q97" s="184">
        <f>IF(D97=100,'A.0_Tablas salariales SC'!$E$215,IF(D97=150,'A.0_Tablas salariales SC'!$E$216,IF(D97=189,'A.0_Tablas salariales SC'!$E$217,IF(D97=400,'A.0_Tablas salariales SC'!$E$218,IF(D97=450,'A.0_Tablas salariales SC'!$E$219,IF(D97=401,'A.0_Tablas salariales SC'!$E$220,IF(D97=451,'A.0_Tablas salariales SC'!$E$221,'A.0_Tablas salariales SC'!$E$215)))))))</f>
        <v>0.34420000000000001</v>
      </c>
      <c r="R97" s="183">
        <f t="shared" si="8"/>
        <v>908.96680200000003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'A.1.0_TablaAntigüedad_Sub'!K98</f>
        <v>128</v>
      </c>
      <c r="I98" s="183">
        <f>'A.1.0_TablaAntigüedad_Sub'!Y98</f>
        <v>480.93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7213.95</v>
      </c>
      <c r="O98" s="183">
        <f>'A.0_Tablas salariales SC'!$K$67</f>
        <v>23692.560000000005</v>
      </c>
      <c r="P98" s="183">
        <f>(O98+N98)*G98+'A.0_Tablas salariales SC'!$R$82*(100%-G98)</f>
        <v>2640.81</v>
      </c>
      <c r="Q98" s="184">
        <f>IF(D98=100,'A.0_Tablas salariales SC'!$E$215,IF(D98=150,'A.0_Tablas salariales SC'!$E$216,IF(D98=189,'A.0_Tablas salariales SC'!$E$217,IF(D98=400,'A.0_Tablas salariales SC'!$E$218,IF(D98=450,'A.0_Tablas salariales SC'!$E$219,IF(D98=401,'A.0_Tablas salariales SC'!$E$220,IF(D98=451,'A.0_Tablas salariales SC'!$E$221,'A.0_Tablas salariales SC'!$E$215)))))))</f>
        <v>0.34420000000000001</v>
      </c>
      <c r="R98" s="183">
        <f t="shared" si="8"/>
        <v>908.96680200000003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'A.1.0_TablaAntigüedad_Sub'!K99</f>
        <v>128</v>
      </c>
      <c r="I99" s="183">
        <f>'A.1.0_TablaAntigüedad_Sub'!Y99</f>
        <v>480.93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7213.95</v>
      </c>
      <c r="O99" s="183">
        <f>'A.0_Tablas salariales SC'!$K$67</f>
        <v>23692.560000000005</v>
      </c>
      <c r="P99" s="183">
        <f>(O99+N99)*G99+'A.0_Tablas salariales SC'!$R$82*(100%-G99)</f>
        <v>2640.81</v>
      </c>
      <c r="Q99" s="184">
        <f>IF(D99=100,'A.0_Tablas salariales SC'!$E$215,IF(D99=150,'A.0_Tablas salariales SC'!$E$216,IF(D99=189,'A.0_Tablas salariales SC'!$E$217,IF(D99=400,'A.0_Tablas salariales SC'!$E$218,IF(D99=450,'A.0_Tablas salariales SC'!$E$219,IF(D99=401,'A.0_Tablas salariales SC'!$E$220,IF(D99=451,'A.0_Tablas salariales SC'!$E$221,'A.0_Tablas salariales SC'!$E$215)))))))</f>
        <v>0.34420000000000001</v>
      </c>
      <c r="R99" s="183">
        <f t="shared" si="8"/>
        <v>908.96680200000003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'A.1.0_TablaAntigüedad_Sub'!K100</f>
        <v>128</v>
      </c>
      <c r="I100" s="183">
        <f>'A.1.0_TablaAntigüedad_Sub'!Y100</f>
        <v>480.93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7213.95</v>
      </c>
      <c r="O100" s="183">
        <f>'A.0_Tablas salariales SC'!$K$67</f>
        <v>23692.560000000005</v>
      </c>
      <c r="P100" s="183">
        <f>(O100+N100)*G100+'A.0_Tablas salariales SC'!$R$82*(100%-G100)</f>
        <v>2640.81</v>
      </c>
      <c r="Q100" s="184">
        <f>IF(D100=100,'A.0_Tablas salariales SC'!$E$215,IF(D100=150,'A.0_Tablas salariales SC'!$E$216,IF(D100=189,'A.0_Tablas salariales SC'!$E$217,IF(D100=400,'A.0_Tablas salariales SC'!$E$218,IF(D100=450,'A.0_Tablas salariales SC'!$E$219,IF(D100=401,'A.0_Tablas salariales SC'!$E$220,IF(D100=451,'A.0_Tablas salariales SC'!$E$221,'A.0_Tablas salariales SC'!$E$215)))))))</f>
        <v>0.34420000000000001</v>
      </c>
      <c r="R100" s="183">
        <f t="shared" si="8"/>
        <v>908.96680200000003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'A.1.0_TablaAntigüedad_Sub'!K101</f>
        <v>128</v>
      </c>
      <c r="I101" s="183">
        <f>'A.1.0_TablaAntigüedad_Sub'!Y101</f>
        <v>480.93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7213.95</v>
      </c>
      <c r="O101" s="183">
        <f>'A.0_Tablas salariales SC'!$K$67</f>
        <v>23692.560000000005</v>
      </c>
      <c r="P101" s="183">
        <f>(O101+N101)*G101+'A.0_Tablas salariales SC'!$R$82*(100%-G101)</f>
        <v>2640.81</v>
      </c>
      <c r="Q101" s="184">
        <f>IF(D101=100,'A.0_Tablas salariales SC'!$E$215,IF(D101=150,'A.0_Tablas salariales SC'!$E$216,IF(D101=189,'A.0_Tablas salariales SC'!$E$217,IF(D101=400,'A.0_Tablas salariales SC'!$E$218,IF(D101=450,'A.0_Tablas salariales SC'!$E$219,IF(D101=401,'A.0_Tablas salariales SC'!$E$220,IF(D101=451,'A.0_Tablas salariales SC'!$E$221,'A.0_Tablas salariales SC'!$E$215)))))))</f>
        <v>0.34420000000000001</v>
      </c>
      <c r="R101" s="183">
        <f t="shared" si="8"/>
        <v>908.96680200000003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'A.1.0_TablaAntigüedad_Sub'!K102</f>
        <v>128</v>
      </c>
      <c r="I102" s="183">
        <f>'A.1.0_TablaAntigüedad_Sub'!Y102</f>
        <v>480.93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7213.95</v>
      </c>
      <c r="O102" s="183">
        <f>'A.0_Tablas salariales SC'!$K$67</f>
        <v>23692.560000000005</v>
      </c>
      <c r="P102" s="183">
        <f>(O102+N102)*G102+'A.0_Tablas salariales SC'!$R$82*(100%-G102)</f>
        <v>2640.81</v>
      </c>
      <c r="Q102" s="184">
        <f>IF(D102=100,'A.0_Tablas salariales SC'!$E$215,IF(D102=150,'A.0_Tablas salariales SC'!$E$216,IF(D102=189,'A.0_Tablas salariales SC'!$E$217,IF(D102=400,'A.0_Tablas salariales SC'!$E$218,IF(D102=450,'A.0_Tablas salariales SC'!$E$219,IF(D102=401,'A.0_Tablas salariales SC'!$E$220,IF(D102=451,'A.0_Tablas salariales SC'!$E$221,'A.0_Tablas salariales SC'!$E$215)))))))</f>
        <v>0.34420000000000001</v>
      </c>
      <c r="R102" s="183">
        <f t="shared" si="8"/>
        <v>908.96680200000003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'A.1.0_TablaAntigüedad_Sub'!K103</f>
        <v>128</v>
      </c>
      <c r="I103" s="183">
        <f>'A.1.0_TablaAntigüedad_Sub'!Y103</f>
        <v>480.93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7213.95</v>
      </c>
      <c r="O103" s="183">
        <f>'A.0_Tablas salariales SC'!$K$67</f>
        <v>23692.560000000005</v>
      </c>
      <c r="P103" s="183">
        <f>(O103+N103)*G103+'A.0_Tablas salariales SC'!$R$82*(100%-G103)</f>
        <v>2640.81</v>
      </c>
      <c r="Q103" s="184">
        <f>IF(D103=100,'A.0_Tablas salariales SC'!$E$215,IF(D103=150,'A.0_Tablas salariales SC'!$E$216,IF(D103=189,'A.0_Tablas salariales SC'!$E$217,IF(D103=400,'A.0_Tablas salariales SC'!$E$218,IF(D103=450,'A.0_Tablas salariales SC'!$E$219,IF(D103=401,'A.0_Tablas salariales SC'!$E$220,IF(D103=451,'A.0_Tablas salariales SC'!$E$221,'A.0_Tablas salariales SC'!$E$215)))))))</f>
        <v>0.34420000000000001</v>
      </c>
      <c r="R103" s="183">
        <f t="shared" si="8"/>
        <v>908.96680200000003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'A.1.0_TablaAntigüedad_Sub'!K104</f>
        <v>128</v>
      </c>
      <c r="I104" s="183">
        <f>'A.1.0_TablaAntigüedad_Sub'!Y104</f>
        <v>480.93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7213.95</v>
      </c>
      <c r="O104" s="183">
        <f>'A.0_Tablas salariales SC'!$K$67</f>
        <v>23692.560000000005</v>
      </c>
      <c r="P104" s="183">
        <f>(O104+N104)*G104+'A.0_Tablas salariales SC'!$R$82*(100%-G104)</f>
        <v>2640.81</v>
      </c>
      <c r="Q104" s="184">
        <f>IF(D104=100,'A.0_Tablas salariales SC'!$E$215,IF(D104=150,'A.0_Tablas salariales SC'!$E$216,IF(D104=189,'A.0_Tablas salariales SC'!$E$217,IF(D104=400,'A.0_Tablas salariales SC'!$E$218,IF(D104=450,'A.0_Tablas salariales SC'!$E$219,IF(D104=401,'A.0_Tablas salariales SC'!$E$220,IF(D104=451,'A.0_Tablas salariales SC'!$E$221,'A.0_Tablas salariales SC'!$E$215)))))))</f>
        <v>0.34420000000000001</v>
      </c>
      <c r="R104" s="183">
        <f t="shared" si="8"/>
        <v>908.96680200000003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'A.1.0_TablaAntigüedad_Sub'!K105</f>
        <v>128</v>
      </c>
      <c r="I105" s="183">
        <f>'A.1.0_TablaAntigüedad_Sub'!Y105</f>
        <v>480.93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7213.95</v>
      </c>
      <c r="O105" s="183">
        <f>'A.0_Tablas salariales SC'!$K$67</f>
        <v>23692.560000000005</v>
      </c>
      <c r="P105" s="183">
        <f>(O105+N105)*G105+'A.0_Tablas salariales SC'!$R$82*(100%-G105)</f>
        <v>2640.81</v>
      </c>
      <c r="Q105" s="184">
        <f>IF(D105=100,'A.0_Tablas salariales SC'!$E$215,IF(D105=150,'A.0_Tablas salariales SC'!$E$216,IF(D105=189,'A.0_Tablas salariales SC'!$E$217,IF(D105=400,'A.0_Tablas salariales SC'!$E$218,IF(D105=450,'A.0_Tablas salariales SC'!$E$219,IF(D105=401,'A.0_Tablas salariales SC'!$E$220,IF(D105=451,'A.0_Tablas salariales SC'!$E$221,'A.0_Tablas salariales SC'!$E$215)))))))</f>
        <v>0.34420000000000001</v>
      </c>
      <c r="R105" s="183">
        <f t="shared" si="8"/>
        <v>908.96680200000003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'A.1.0_TablaAntigüedad_Sub'!K106</f>
        <v>128</v>
      </c>
      <c r="I106" s="183">
        <f>'A.1.0_TablaAntigüedad_Sub'!Y106</f>
        <v>480.93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7213.95</v>
      </c>
      <c r="O106" s="183">
        <f>'A.0_Tablas salariales SC'!$K$67</f>
        <v>23692.560000000005</v>
      </c>
      <c r="P106" s="183">
        <f>(O106+N106)*G106+'A.0_Tablas salariales SC'!$R$82*(100%-G106)</f>
        <v>2640.81</v>
      </c>
      <c r="Q106" s="184">
        <f>IF(D106=100,'A.0_Tablas salariales SC'!$E$215,IF(D106=150,'A.0_Tablas salariales SC'!$E$216,IF(D106=189,'A.0_Tablas salariales SC'!$E$217,IF(D106=400,'A.0_Tablas salariales SC'!$E$218,IF(D106=450,'A.0_Tablas salariales SC'!$E$219,IF(D106=401,'A.0_Tablas salariales SC'!$E$220,IF(D106=451,'A.0_Tablas salariales SC'!$E$221,'A.0_Tablas salariales SC'!$E$215)))))))</f>
        <v>0.34420000000000001</v>
      </c>
      <c r="R106" s="183">
        <f t="shared" si="8"/>
        <v>908.96680200000003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'A.1.0_TablaAntigüedad_Sub'!K107</f>
        <v>128</v>
      </c>
      <c r="I107" s="183">
        <f>'A.1.0_TablaAntigüedad_Sub'!Y107</f>
        <v>480.93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7213.95</v>
      </c>
      <c r="O107" s="183">
        <f>'A.0_Tablas salariales SC'!$K$67</f>
        <v>23692.560000000005</v>
      </c>
      <c r="P107" s="183">
        <f>(O107+N107)*G107+'A.0_Tablas salariales SC'!$R$82*(100%-G107)</f>
        <v>2640.81</v>
      </c>
      <c r="Q107" s="184">
        <f>IF(D107=100,'A.0_Tablas salariales SC'!$E$215,IF(D107=150,'A.0_Tablas salariales SC'!$E$216,IF(D107=189,'A.0_Tablas salariales SC'!$E$217,IF(D107=400,'A.0_Tablas salariales SC'!$E$218,IF(D107=450,'A.0_Tablas salariales SC'!$E$219,IF(D107=401,'A.0_Tablas salariales SC'!$E$220,IF(D107=451,'A.0_Tablas salariales SC'!$E$221,'A.0_Tablas salariales SC'!$E$215)))))))</f>
        <v>0.34420000000000001</v>
      </c>
      <c r="R107" s="183">
        <f t="shared" si="8"/>
        <v>908.96680200000003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'A.1.0_TablaAntigüedad_Sub'!K108</f>
        <v>128</v>
      </c>
      <c r="I108" s="183">
        <f>'A.1.0_TablaAntigüedad_Sub'!Y108</f>
        <v>480.93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7213.95</v>
      </c>
      <c r="O108" s="183">
        <f>'A.0_Tablas salariales SC'!$K$67</f>
        <v>23692.560000000005</v>
      </c>
      <c r="P108" s="183">
        <f>(O108+N108)*G108+'A.0_Tablas salariales SC'!$R$82*(100%-G108)</f>
        <v>2640.81</v>
      </c>
      <c r="Q108" s="184">
        <f>IF(D108=100,'A.0_Tablas salariales SC'!$E$215,IF(D108=150,'A.0_Tablas salariales SC'!$E$216,IF(D108=189,'A.0_Tablas salariales SC'!$E$217,IF(D108=400,'A.0_Tablas salariales SC'!$E$218,IF(D108=450,'A.0_Tablas salariales SC'!$E$219,IF(D108=401,'A.0_Tablas salariales SC'!$E$220,IF(D108=451,'A.0_Tablas salariales SC'!$E$221,'A.0_Tablas salariales SC'!$E$215)))))))</f>
        <v>0.34420000000000001</v>
      </c>
      <c r="R108" s="183">
        <f t="shared" si="8"/>
        <v>908.96680200000003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'A.1.0_TablaAntigüedad_Sub'!K109</f>
        <v>128</v>
      </c>
      <c r="I109" s="183">
        <f>'A.1.0_TablaAntigüedad_Sub'!Y109</f>
        <v>480.93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7213.95</v>
      </c>
      <c r="O109" s="183">
        <f>'A.0_Tablas salariales SC'!$K$67</f>
        <v>23692.560000000005</v>
      </c>
      <c r="P109" s="183">
        <f>(O109+N109)*G109+'A.0_Tablas salariales SC'!$R$82*(100%-G109)</f>
        <v>2640.81</v>
      </c>
      <c r="Q109" s="184">
        <f>IF(D109=100,'A.0_Tablas salariales SC'!$E$215,IF(D109=150,'A.0_Tablas salariales SC'!$E$216,IF(D109=189,'A.0_Tablas salariales SC'!$E$217,IF(D109=400,'A.0_Tablas salariales SC'!$E$218,IF(D109=450,'A.0_Tablas salariales SC'!$E$219,IF(D109=401,'A.0_Tablas salariales SC'!$E$220,IF(D109=451,'A.0_Tablas salariales SC'!$E$221,'A.0_Tablas salariales SC'!$E$215)))))))</f>
        <v>0.34420000000000001</v>
      </c>
      <c r="R109" s="183">
        <f t="shared" si="8"/>
        <v>908.96680200000003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'A.1.0_TablaAntigüedad_Sub'!K110</f>
        <v>128</v>
      </c>
      <c r="I110" s="183">
        <f>'A.1.0_TablaAntigüedad_Sub'!Y110</f>
        <v>480.93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7213.95</v>
      </c>
      <c r="O110" s="183">
        <f>'A.0_Tablas salariales SC'!$K$67</f>
        <v>23692.560000000005</v>
      </c>
      <c r="P110" s="183">
        <f>(O110+N110)*G110+'A.0_Tablas salariales SC'!$R$82*(100%-G110)</f>
        <v>2640.81</v>
      </c>
      <c r="Q110" s="184">
        <f>IF(D110=100,'A.0_Tablas salariales SC'!$E$215,IF(D110=150,'A.0_Tablas salariales SC'!$E$216,IF(D110=189,'A.0_Tablas salariales SC'!$E$217,IF(D110=400,'A.0_Tablas salariales SC'!$E$218,IF(D110=450,'A.0_Tablas salariales SC'!$E$219,IF(D110=401,'A.0_Tablas salariales SC'!$E$220,IF(D110=451,'A.0_Tablas salariales SC'!$E$221,'A.0_Tablas salariales SC'!$E$215)))))))</f>
        <v>0.34420000000000001</v>
      </c>
      <c r="R110" s="183">
        <f t="shared" si="8"/>
        <v>908.96680200000003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'A.1.0_TablaAntigüedad_Sub'!K111</f>
        <v>128</v>
      </c>
      <c r="I111" s="183">
        <f>'A.1.0_TablaAntigüedad_Sub'!Y111</f>
        <v>480.93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7213.95</v>
      </c>
      <c r="O111" s="183">
        <f>'A.0_Tablas salariales SC'!$K$67</f>
        <v>23692.560000000005</v>
      </c>
      <c r="P111" s="183">
        <f>(O111+N111)*G111+'A.0_Tablas salariales SC'!$R$82*(100%-G111)</f>
        <v>2640.81</v>
      </c>
      <c r="Q111" s="184">
        <f>IF(D111=100,'A.0_Tablas salariales SC'!$E$215,IF(D111=150,'A.0_Tablas salariales SC'!$E$216,IF(D111=189,'A.0_Tablas salariales SC'!$E$217,IF(D111=400,'A.0_Tablas salariales SC'!$E$218,IF(D111=450,'A.0_Tablas salariales SC'!$E$219,IF(D111=401,'A.0_Tablas salariales SC'!$E$220,IF(D111=451,'A.0_Tablas salariales SC'!$E$221,'A.0_Tablas salariales SC'!$E$215)))))))</f>
        <v>0.34420000000000001</v>
      </c>
      <c r="R111" s="183">
        <f t="shared" si="8"/>
        <v>908.96680200000003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'A.1.0_TablaAntigüedad_Sub'!K112</f>
        <v>128</v>
      </c>
      <c r="I112" s="183">
        <f>'A.1.0_TablaAntigüedad_Sub'!Y112</f>
        <v>480.93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7213.95</v>
      </c>
      <c r="O112" s="183">
        <f>'A.0_Tablas salariales SC'!$K$67</f>
        <v>23692.560000000005</v>
      </c>
      <c r="P112" s="183">
        <f>(O112+N112)*G112+'A.0_Tablas salariales SC'!$R$82*(100%-G112)</f>
        <v>2640.81</v>
      </c>
      <c r="Q112" s="184">
        <f>IF(D112=100,'A.0_Tablas salariales SC'!$E$215,IF(D112=150,'A.0_Tablas salariales SC'!$E$216,IF(D112=189,'A.0_Tablas salariales SC'!$E$217,IF(D112=400,'A.0_Tablas salariales SC'!$E$218,IF(D112=450,'A.0_Tablas salariales SC'!$E$219,IF(D112=401,'A.0_Tablas salariales SC'!$E$220,IF(D112=451,'A.0_Tablas salariales SC'!$E$221,'A.0_Tablas salariales SC'!$E$215)))))))</f>
        <v>0.34420000000000001</v>
      </c>
      <c r="R112" s="183">
        <f t="shared" si="8"/>
        <v>908.96680200000003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'A.1.0_TablaAntigüedad_Sub'!K113</f>
        <v>128</v>
      </c>
      <c r="I113" s="183">
        <f>'A.1.0_TablaAntigüedad_Sub'!Y113</f>
        <v>480.93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7213.95</v>
      </c>
      <c r="O113" s="183">
        <f>'A.0_Tablas salariales SC'!$K$67</f>
        <v>23692.560000000005</v>
      </c>
      <c r="P113" s="183">
        <f>(O113+N113)*G113+'A.0_Tablas salariales SC'!$R$82*(100%-G113)</f>
        <v>2640.81</v>
      </c>
      <c r="Q113" s="184">
        <f>IF(D113=100,'A.0_Tablas salariales SC'!$E$215,IF(D113=150,'A.0_Tablas salariales SC'!$E$216,IF(D113=189,'A.0_Tablas salariales SC'!$E$217,IF(D113=400,'A.0_Tablas salariales SC'!$E$218,IF(D113=450,'A.0_Tablas salariales SC'!$E$219,IF(D113=401,'A.0_Tablas salariales SC'!$E$220,IF(D113=451,'A.0_Tablas salariales SC'!$E$221,'A.0_Tablas salariales SC'!$E$215)))))))</f>
        <v>0.34420000000000001</v>
      </c>
      <c r="R113" s="183">
        <f t="shared" si="1"/>
        <v>908.96680200000003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7"/>
      <c r="Q114" s="174"/>
      <c r="R114" s="174"/>
      <c r="S114" s="174"/>
      <c r="T114" s="180">
        <f>SUM(S87:S113)</f>
        <v>0</v>
      </c>
    </row>
    <row r="115" spans="1:20">
      <c r="A115" s="508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2">
        <f>'A.1. Plantilla_Subrogacion'!F115</f>
        <v>0</v>
      </c>
      <c r="H115" s="181">
        <f>'A.1.0_TablaAntigüedad_Sub'!K115</f>
        <v>128</v>
      </c>
      <c r="I115" s="183">
        <f>'A.1.0_TablaAntigüedad_Sub'!Y115</f>
        <v>480.93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7213.95</v>
      </c>
      <c r="O115" s="183">
        <f>'A.0_Tablas salariales SC'!$K$68</f>
        <v>24796.26</v>
      </c>
      <c r="P115" s="183">
        <f>(O115+N115)*G115+'A.0_Tablas salariales SC'!$R$82*(100%-G115)</f>
        <v>2640.81</v>
      </c>
      <c r="Q115" s="184">
        <f>IF(D115=100,'A.0_Tablas salariales SC'!$E$215,IF(D115=150,'A.0_Tablas salariales SC'!$E$216,IF(D115=189,'A.0_Tablas salariales SC'!$E$217,IF(D115=400,'A.0_Tablas salariales SC'!$E$218,IF(D115=450,'A.0_Tablas salariales SC'!$E$219,IF(D115=401,'A.0_Tablas salariales SC'!$E$220,IF(D115=451,'A.0_Tablas salariales SC'!$E$221,'A.0_Tablas salariales SC'!$E$215)))))))</f>
        <v>0.34420000000000001</v>
      </c>
      <c r="R115" s="183">
        <f t="shared" ref="R115:R175" si="10">Q115*P115</f>
        <v>908.96680200000003</v>
      </c>
      <c r="S115" s="183">
        <f t="shared" ref="S115:S175" si="11">(R115+P115)*A115</f>
        <v>0</v>
      </c>
      <c r="T115" s="179"/>
    </row>
    <row r="116" spans="1:20">
      <c r="A116" s="508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2">
        <f>'A.1. Plantilla_Subrogacion'!F116</f>
        <v>0</v>
      </c>
      <c r="H116" s="181">
        <f>'A.1.0_TablaAntigüedad_Sub'!K116</f>
        <v>128</v>
      </c>
      <c r="I116" s="183">
        <f>'A.1.0_TablaAntigüedad_Sub'!Y116</f>
        <v>480.93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7213.95</v>
      </c>
      <c r="O116" s="183">
        <f>'A.0_Tablas salariales SC'!$K$68</f>
        <v>24796.26</v>
      </c>
      <c r="P116" s="183">
        <f>(O116+N116)*G116+'A.0_Tablas salariales SC'!$R$82*(100%-G116)</f>
        <v>2640.81</v>
      </c>
      <c r="Q116" s="184">
        <f>IF(D116=100,'A.0_Tablas salariales SC'!$E$215,IF(D116=150,'A.0_Tablas salariales SC'!$E$216,IF(D116=189,'A.0_Tablas salariales SC'!$E$217,IF(D116=400,'A.0_Tablas salariales SC'!$E$218,IF(D116=450,'A.0_Tablas salariales SC'!$E$219,IF(D116=401,'A.0_Tablas salariales SC'!$E$220,IF(D116=451,'A.0_Tablas salariales SC'!$E$221,'A.0_Tablas salariales SC'!$E$215)))))))</f>
        <v>0.34420000000000001</v>
      </c>
      <c r="R116" s="183">
        <f t="shared" si="10"/>
        <v>908.96680200000003</v>
      </c>
      <c r="S116" s="183">
        <f t="shared" si="11"/>
        <v>0</v>
      </c>
      <c r="T116" s="179"/>
    </row>
    <row r="117" spans="1:20">
      <c r="A117" s="508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2">
        <f>'A.1. Plantilla_Subrogacion'!F117</f>
        <v>0</v>
      </c>
      <c r="H117" s="181">
        <f>'A.1.0_TablaAntigüedad_Sub'!K117</f>
        <v>128</v>
      </c>
      <c r="I117" s="183">
        <f>'A.1.0_TablaAntigüedad_Sub'!Y117</f>
        <v>480.93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7213.95</v>
      </c>
      <c r="O117" s="183">
        <f>'A.0_Tablas salariales SC'!$K$68</f>
        <v>24796.26</v>
      </c>
      <c r="P117" s="183">
        <f>(O117+N117)*G117+'A.0_Tablas salariales SC'!$R$82*(100%-G117)</f>
        <v>2640.81</v>
      </c>
      <c r="Q117" s="184">
        <f>IF(D117=100,'A.0_Tablas salariales SC'!$E$215,IF(D117=150,'A.0_Tablas salariales SC'!$E$216,IF(D117=189,'A.0_Tablas salariales SC'!$E$217,IF(D117=400,'A.0_Tablas salariales SC'!$E$218,IF(D117=450,'A.0_Tablas salariales SC'!$E$219,IF(D117=401,'A.0_Tablas salariales SC'!$E$220,IF(D117=451,'A.0_Tablas salariales SC'!$E$221,'A.0_Tablas salariales SC'!$E$215)))))))</f>
        <v>0.34420000000000001</v>
      </c>
      <c r="R117" s="183">
        <f t="shared" si="10"/>
        <v>908.96680200000003</v>
      </c>
      <c r="S117" s="183">
        <f t="shared" si="11"/>
        <v>0</v>
      </c>
      <c r="T117" s="179"/>
    </row>
    <row r="118" spans="1:20">
      <c r="A118" s="508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2">
        <f>'A.1. Plantilla_Subrogacion'!F118</f>
        <v>0</v>
      </c>
      <c r="H118" s="181">
        <f>'A.1.0_TablaAntigüedad_Sub'!K118</f>
        <v>128</v>
      </c>
      <c r="I118" s="183">
        <f>'A.1.0_TablaAntigüedad_Sub'!Y118</f>
        <v>480.93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7213.95</v>
      </c>
      <c r="O118" s="183">
        <f>'A.0_Tablas salariales SC'!$K$68</f>
        <v>24796.26</v>
      </c>
      <c r="P118" s="183">
        <f>(O118+N118)*G118+'A.0_Tablas salariales SC'!$R$82*(100%-G118)</f>
        <v>2640.81</v>
      </c>
      <c r="Q118" s="184">
        <f>IF(D118=100,'A.0_Tablas salariales SC'!$E$215,IF(D118=150,'A.0_Tablas salariales SC'!$E$216,IF(D118=189,'A.0_Tablas salariales SC'!$E$217,IF(D118=400,'A.0_Tablas salariales SC'!$E$218,IF(D118=450,'A.0_Tablas salariales SC'!$E$219,IF(D118=401,'A.0_Tablas salariales SC'!$E$220,IF(D118=451,'A.0_Tablas salariales SC'!$E$221,'A.0_Tablas salariales SC'!$E$215)))))))</f>
        <v>0.34420000000000001</v>
      </c>
      <c r="R118" s="183">
        <f t="shared" si="10"/>
        <v>908.96680200000003</v>
      </c>
      <c r="S118" s="183">
        <f t="shared" si="11"/>
        <v>0</v>
      </c>
      <c r="T118" s="179"/>
    </row>
    <row r="119" spans="1:20">
      <c r="A119" s="508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2">
        <f>'A.1. Plantilla_Subrogacion'!F119</f>
        <v>0</v>
      </c>
      <c r="H119" s="181">
        <f>'A.1.0_TablaAntigüedad_Sub'!K119</f>
        <v>128</v>
      </c>
      <c r="I119" s="183">
        <f>'A.1.0_TablaAntigüedad_Sub'!Y119</f>
        <v>480.93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7213.95</v>
      </c>
      <c r="O119" s="183">
        <f>'A.0_Tablas salariales SC'!$K$68</f>
        <v>24796.26</v>
      </c>
      <c r="P119" s="183">
        <f>(O119+N119)*G119+'A.0_Tablas salariales SC'!$R$82*(100%-G119)</f>
        <v>2640.81</v>
      </c>
      <c r="Q119" s="184">
        <f>IF(D119=100,'A.0_Tablas salariales SC'!$E$215,IF(D119=150,'A.0_Tablas salariales SC'!$E$216,IF(D119=189,'A.0_Tablas salariales SC'!$E$217,IF(D119=400,'A.0_Tablas salariales SC'!$E$218,IF(D119=450,'A.0_Tablas salariales SC'!$E$219,IF(D119=401,'A.0_Tablas salariales SC'!$E$220,IF(D119=451,'A.0_Tablas salariales SC'!$E$221,'A.0_Tablas salariales SC'!$E$215)))))))</f>
        <v>0.34420000000000001</v>
      </c>
      <c r="R119" s="183">
        <f t="shared" si="10"/>
        <v>908.96680200000003</v>
      </c>
      <c r="S119" s="183">
        <f t="shared" si="11"/>
        <v>0</v>
      </c>
      <c r="T119" s="179"/>
    </row>
    <row r="120" spans="1:20">
      <c r="A120" s="508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2">
        <f>'A.1. Plantilla_Subrogacion'!F120</f>
        <v>0</v>
      </c>
      <c r="H120" s="181">
        <f>'A.1.0_TablaAntigüedad_Sub'!K120</f>
        <v>128</v>
      </c>
      <c r="I120" s="183">
        <f>'A.1.0_TablaAntigüedad_Sub'!Y120</f>
        <v>480.93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7213.95</v>
      </c>
      <c r="O120" s="183">
        <f>'A.0_Tablas salariales SC'!$K$68</f>
        <v>24796.26</v>
      </c>
      <c r="P120" s="183">
        <f>(O120+N120)*G120+'A.0_Tablas salariales SC'!$R$82*(100%-G120)</f>
        <v>2640.81</v>
      </c>
      <c r="Q120" s="184">
        <f>IF(D120=100,'A.0_Tablas salariales SC'!$E$215,IF(D120=150,'A.0_Tablas salariales SC'!$E$216,IF(D120=189,'A.0_Tablas salariales SC'!$E$217,IF(D120=400,'A.0_Tablas salariales SC'!$E$218,IF(D120=450,'A.0_Tablas salariales SC'!$E$219,IF(D120=401,'A.0_Tablas salariales SC'!$E$220,IF(D120=451,'A.0_Tablas salariales SC'!$E$221,'A.0_Tablas salariales SC'!$E$215)))))))</f>
        <v>0.34420000000000001</v>
      </c>
      <c r="R120" s="183">
        <f t="shared" si="10"/>
        <v>908.96680200000003</v>
      </c>
      <c r="S120" s="183">
        <f t="shared" si="11"/>
        <v>0</v>
      </c>
      <c r="T120" s="179"/>
    </row>
    <row r="121" spans="1:20">
      <c r="A121" s="508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2">
        <f>'A.1. Plantilla_Subrogacion'!F121</f>
        <v>0</v>
      </c>
      <c r="H121" s="181">
        <f>'A.1.0_TablaAntigüedad_Sub'!K121</f>
        <v>128</v>
      </c>
      <c r="I121" s="183">
        <f>'A.1.0_TablaAntigüedad_Sub'!Y121</f>
        <v>480.93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7213.95</v>
      </c>
      <c r="O121" s="183">
        <f>'A.0_Tablas salariales SC'!$K$68</f>
        <v>24796.26</v>
      </c>
      <c r="P121" s="183">
        <f>(O121+N121)*G121+'A.0_Tablas salariales SC'!$R$82*(100%-G121)</f>
        <v>2640.81</v>
      </c>
      <c r="Q121" s="184">
        <f>IF(D121=100,'A.0_Tablas salariales SC'!$E$215,IF(D121=150,'A.0_Tablas salariales SC'!$E$216,IF(D121=189,'A.0_Tablas salariales SC'!$E$217,IF(D121=400,'A.0_Tablas salariales SC'!$E$218,IF(D121=450,'A.0_Tablas salariales SC'!$E$219,IF(D121=401,'A.0_Tablas salariales SC'!$E$220,IF(D121=451,'A.0_Tablas salariales SC'!$E$221,'A.0_Tablas salariales SC'!$E$215)))))))</f>
        <v>0.34420000000000001</v>
      </c>
      <c r="R121" s="183">
        <f t="shared" si="10"/>
        <v>908.96680200000003</v>
      </c>
      <c r="S121" s="183">
        <f t="shared" si="11"/>
        <v>0</v>
      </c>
      <c r="T121" s="179"/>
    </row>
    <row r="122" spans="1:20">
      <c r="A122" s="508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2">
        <f>'A.1. Plantilla_Subrogacion'!F122</f>
        <v>0</v>
      </c>
      <c r="H122" s="181">
        <f>'A.1.0_TablaAntigüedad_Sub'!K122</f>
        <v>128</v>
      </c>
      <c r="I122" s="183">
        <f>'A.1.0_TablaAntigüedad_Sub'!Y122</f>
        <v>480.93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7213.95</v>
      </c>
      <c r="O122" s="183">
        <f>'A.0_Tablas salariales SC'!$K$68</f>
        <v>24796.26</v>
      </c>
      <c r="P122" s="183">
        <f>(O122+N122)*G122+'A.0_Tablas salariales SC'!$R$82*(100%-G122)</f>
        <v>2640.81</v>
      </c>
      <c r="Q122" s="184">
        <f>IF(D122=100,'A.0_Tablas salariales SC'!$E$215,IF(D122=150,'A.0_Tablas salariales SC'!$E$216,IF(D122=189,'A.0_Tablas salariales SC'!$E$217,IF(D122=400,'A.0_Tablas salariales SC'!$E$218,IF(D122=450,'A.0_Tablas salariales SC'!$E$219,IF(D122=401,'A.0_Tablas salariales SC'!$E$220,IF(D122=451,'A.0_Tablas salariales SC'!$E$221,'A.0_Tablas salariales SC'!$E$215)))))))</f>
        <v>0.34420000000000001</v>
      </c>
      <c r="R122" s="183">
        <f t="shared" si="10"/>
        <v>908.96680200000003</v>
      </c>
      <c r="S122" s="183">
        <f t="shared" si="11"/>
        <v>0</v>
      </c>
      <c r="T122" s="179"/>
    </row>
    <row r="123" spans="1:20">
      <c r="A123" s="508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2">
        <f>'A.1. Plantilla_Subrogacion'!F123</f>
        <v>0</v>
      </c>
      <c r="H123" s="181">
        <f>'A.1.0_TablaAntigüedad_Sub'!K123</f>
        <v>128</v>
      </c>
      <c r="I123" s="183">
        <f>'A.1.0_TablaAntigüedad_Sub'!Y123</f>
        <v>480.93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7213.95</v>
      </c>
      <c r="O123" s="183">
        <f>'A.0_Tablas salariales SC'!$K$68</f>
        <v>24796.26</v>
      </c>
      <c r="P123" s="183">
        <f>(O123+N123)*G123+'A.0_Tablas salariales SC'!$R$82*(100%-G123)</f>
        <v>2640.81</v>
      </c>
      <c r="Q123" s="184">
        <f>IF(D123=100,'A.0_Tablas salariales SC'!$E$215,IF(D123=150,'A.0_Tablas salariales SC'!$E$216,IF(D123=189,'A.0_Tablas salariales SC'!$E$217,IF(D123=400,'A.0_Tablas salariales SC'!$E$218,IF(D123=450,'A.0_Tablas salariales SC'!$E$219,IF(D123=401,'A.0_Tablas salariales SC'!$E$220,IF(D123=451,'A.0_Tablas salariales SC'!$E$221,'A.0_Tablas salariales SC'!$E$215)))))))</f>
        <v>0.34420000000000001</v>
      </c>
      <c r="R123" s="183">
        <f t="shared" ref="R123:R137" si="12">Q123*P123</f>
        <v>908.96680200000003</v>
      </c>
      <c r="S123" s="183">
        <f t="shared" ref="S123:S137" si="13">(R123+P123)*A123</f>
        <v>0</v>
      </c>
      <c r="T123" s="179"/>
    </row>
    <row r="124" spans="1:20">
      <c r="A124" s="508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2">
        <f>'A.1. Plantilla_Subrogacion'!F124</f>
        <v>0</v>
      </c>
      <c r="H124" s="181">
        <f>'A.1.0_TablaAntigüedad_Sub'!K124</f>
        <v>128</v>
      </c>
      <c r="I124" s="183">
        <f>'A.1.0_TablaAntigüedad_Sub'!Y124</f>
        <v>480.93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7213.95</v>
      </c>
      <c r="O124" s="183">
        <f>'A.0_Tablas salariales SC'!$K$68</f>
        <v>24796.26</v>
      </c>
      <c r="P124" s="183">
        <f>(O124+N124)*G124+'A.0_Tablas salariales SC'!$R$82*(100%-G124)</f>
        <v>2640.81</v>
      </c>
      <c r="Q124" s="184">
        <f>IF(D124=100,'A.0_Tablas salariales SC'!$E$215,IF(D124=150,'A.0_Tablas salariales SC'!$E$216,IF(D124=189,'A.0_Tablas salariales SC'!$E$217,IF(D124=400,'A.0_Tablas salariales SC'!$E$218,IF(D124=450,'A.0_Tablas salariales SC'!$E$219,IF(D124=401,'A.0_Tablas salariales SC'!$E$220,IF(D124=451,'A.0_Tablas salariales SC'!$E$221,'A.0_Tablas salariales SC'!$E$215)))))))</f>
        <v>0.34420000000000001</v>
      </c>
      <c r="R124" s="183">
        <f t="shared" si="12"/>
        <v>908.96680200000003</v>
      </c>
      <c r="S124" s="183">
        <f t="shared" si="13"/>
        <v>0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'A.1.0_TablaAntigüedad_Sub'!K125</f>
        <v>128</v>
      </c>
      <c r="I125" s="183">
        <f>'A.1.0_TablaAntigüedad_Sub'!Y125</f>
        <v>480.93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7213.95</v>
      </c>
      <c r="O125" s="183">
        <f>'A.0_Tablas salariales SC'!$K$68</f>
        <v>24796.26</v>
      </c>
      <c r="P125" s="183">
        <f>(O125+N125)*G125+'A.0_Tablas salariales SC'!$R$82*(100%-G125)</f>
        <v>2640.81</v>
      </c>
      <c r="Q125" s="184">
        <f>IF(D125=100,'A.0_Tablas salariales SC'!$E$215,IF(D125=150,'A.0_Tablas salariales SC'!$E$216,IF(D125=189,'A.0_Tablas salariales SC'!$E$217,IF(D125=400,'A.0_Tablas salariales SC'!$E$218,IF(D125=450,'A.0_Tablas salariales SC'!$E$219,IF(D125=401,'A.0_Tablas salariales SC'!$E$220,IF(D125=451,'A.0_Tablas salariales SC'!$E$221,'A.0_Tablas salariales SC'!$E$215)))))))</f>
        <v>0.34420000000000001</v>
      </c>
      <c r="R125" s="183">
        <f t="shared" si="12"/>
        <v>908.96680200000003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'A.1.0_TablaAntigüedad_Sub'!K126</f>
        <v>128</v>
      </c>
      <c r="I126" s="183">
        <f>'A.1.0_TablaAntigüedad_Sub'!Y126</f>
        <v>480.93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7213.95</v>
      </c>
      <c r="O126" s="183">
        <f>'A.0_Tablas salariales SC'!$K$68</f>
        <v>24796.26</v>
      </c>
      <c r="P126" s="183">
        <f>(O126+N126)*G126+'A.0_Tablas salariales SC'!$R$82*(100%-G126)</f>
        <v>2640.81</v>
      </c>
      <c r="Q126" s="184">
        <f>IF(D126=100,'A.0_Tablas salariales SC'!$E$215,IF(D126=150,'A.0_Tablas salariales SC'!$E$216,IF(D126=189,'A.0_Tablas salariales SC'!$E$217,IF(D126=400,'A.0_Tablas salariales SC'!$E$218,IF(D126=450,'A.0_Tablas salariales SC'!$E$219,IF(D126=401,'A.0_Tablas salariales SC'!$E$220,IF(D126=451,'A.0_Tablas salariales SC'!$E$221,'A.0_Tablas salariales SC'!$E$215)))))))</f>
        <v>0.34420000000000001</v>
      </c>
      <c r="R126" s="183">
        <f t="shared" si="12"/>
        <v>908.96680200000003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'A.1.0_TablaAntigüedad_Sub'!K127</f>
        <v>128</v>
      </c>
      <c r="I127" s="183">
        <f>'A.1.0_TablaAntigüedad_Sub'!Y127</f>
        <v>480.93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7213.95</v>
      </c>
      <c r="O127" s="183">
        <f>'A.0_Tablas salariales SC'!$K$68</f>
        <v>24796.26</v>
      </c>
      <c r="P127" s="183">
        <f>(O127+N127)*G127+'A.0_Tablas salariales SC'!$R$82*(100%-G127)</f>
        <v>2640.81</v>
      </c>
      <c r="Q127" s="184">
        <f>IF(D127=100,'A.0_Tablas salariales SC'!$E$215,IF(D127=150,'A.0_Tablas salariales SC'!$E$216,IF(D127=189,'A.0_Tablas salariales SC'!$E$217,IF(D127=400,'A.0_Tablas salariales SC'!$E$218,IF(D127=450,'A.0_Tablas salariales SC'!$E$219,IF(D127=401,'A.0_Tablas salariales SC'!$E$220,IF(D127=451,'A.0_Tablas salariales SC'!$E$221,'A.0_Tablas salariales SC'!$E$215)))))))</f>
        <v>0.34420000000000001</v>
      </c>
      <c r="R127" s="183">
        <f t="shared" si="12"/>
        <v>908.96680200000003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'A.1.0_TablaAntigüedad_Sub'!K128</f>
        <v>128</v>
      </c>
      <c r="I128" s="183">
        <f>'A.1.0_TablaAntigüedad_Sub'!Y128</f>
        <v>480.93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7213.95</v>
      </c>
      <c r="O128" s="183">
        <f>'A.0_Tablas salariales SC'!$K$68</f>
        <v>24796.26</v>
      </c>
      <c r="P128" s="183">
        <f>(O128+N128)*G128+'A.0_Tablas salariales SC'!$R$82*(100%-G128)</f>
        <v>2640.81</v>
      </c>
      <c r="Q128" s="184">
        <f>IF(D128=100,'A.0_Tablas salariales SC'!$E$215,IF(D128=150,'A.0_Tablas salariales SC'!$E$216,IF(D128=189,'A.0_Tablas salariales SC'!$E$217,IF(D128=400,'A.0_Tablas salariales SC'!$E$218,IF(D128=450,'A.0_Tablas salariales SC'!$E$219,IF(D128=401,'A.0_Tablas salariales SC'!$E$220,IF(D128=451,'A.0_Tablas salariales SC'!$E$221,'A.0_Tablas salariales SC'!$E$215)))))))</f>
        <v>0.34420000000000001</v>
      </c>
      <c r="R128" s="183">
        <f t="shared" si="12"/>
        <v>908.96680200000003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'A.1.0_TablaAntigüedad_Sub'!K129</f>
        <v>128</v>
      </c>
      <c r="I129" s="183">
        <f>'A.1.0_TablaAntigüedad_Sub'!Y129</f>
        <v>480.93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7213.95</v>
      </c>
      <c r="O129" s="183">
        <f>'A.0_Tablas salariales SC'!$K$68</f>
        <v>24796.26</v>
      </c>
      <c r="P129" s="183">
        <f>(O129+N129)*G129+'A.0_Tablas salariales SC'!$R$82*(100%-G129)</f>
        <v>2640.81</v>
      </c>
      <c r="Q129" s="184">
        <f>IF(D129=100,'A.0_Tablas salariales SC'!$E$215,IF(D129=150,'A.0_Tablas salariales SC'!$E$216,IF(D129=189,'A.0_Tablas salariales SC'!$E$217,IF(D129=400,'A.0_Tablas salariales SC'!$E$218,IF(D129=450,'A.0_Tablas salariales SC'!$E$219,IF(D129=401,'A.0_Tablas salariales SC'!$E$220,IF(D129=451,'A.0_Tablas salariales SC'!$E$221,'A.0_Tablas salariales SC'!$E$215)))))))</f>
        <v>0.34420000000000001</v>
      </c>
      <c r="R129" s="183">
        <f t="shared" si="12"/>
        <v>908.96680200000003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'A.1.0_TablaAntigüedad_Sub'!K130</f>
        <v>128</v>
      </c>
      <c r="I130" s="183">
        <f>'A.1.0_TablaAntigüedad_Sub'!Y130</f>
        <v>480.93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7213.95</v>
      </c>
      <c r="O130" s="183">
        <f>'A.0_Tablas salariales SC'!$K$68</f>
        <v>24796.26</v>
      </c>
      <c r="P130" s="183">
        <f>(O130+N130)*G130+'A.0_Tablas salariales SC'!$R$82*(100%-G130)</f>
        <v>2640.81</v>
      </c>
      <c r="Q130" s="184">
        <f>IF(D130=100,'A.0_Tablas salariales SC'!$E$215,IF(D130=150,'A.0_Tablas salariales SC'!$E$216,IF(D130=189,'A.0_Tablas salariales SC'!$E$217,IF(D130=400,'A.0_Tablas salariales SC'!$E$218,IF(D130=450,'A.0_Tablas salariales SC'!$E$219,IF(D130=401,'A.0_Tablas salariales SC'!$E$220,IF(D130=451,'A.0_Tablas salariales SC'!$E$221,'A.0_Tablas salariales SC'!$E$215)))))))</f>
        <v>0.34420000000000001</v>
      </c>
      <c r="R130" s="183">
        <f t="shared" si="12"/>
        <v>908.96680200000003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'A.1.0_TablaAntigüedad_Sub'!K131</f>
        <v>128</v>
      </c>
      <c r="I131" s="183">
        <f>'A.1.0_TablaAntigüedad_Sub'!Y131</f>
        <v>480.93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7213.95</v>
      </c>
      <c r="O131" s="183">
        <f>'A.0_Tablas salariales SC'!$K$68</f>
        <v>24796.26</v>
      </c>
      <c r="P131" s="183">
        <f>(O131+N131)*G131+'A.0_Tablas salariales SC'!$R$82*(100%-G131)</f>
        <v>2640.81</v>
      </c>
      <c r="Q131" s="184">
        <f>IF(D131=100,'A.0_Tablas salariales SC'!$E$215,IF(D131=150,'A.0_Tablas salariales SC'!$E$216,IF(D131=189,'A.0_Tablas salariales SC'!$E$217,IF(D131=400,'A.0_Tablas salariales SC'!$E$218,IF(D131=450,'A.0_Tablas salariales SC'!$E$219,IF(D131=401,'A.0_Tablas salariales SC'!$E$220,IF(D131=451,'A.0_Tablas salariales SC'!$E$221,'A.0_Tablas salariales SC'!$E$215)))))))</f>
        <v>0.34420000000000001</v>
      </c>
      <c r="R131" s="183">
        <f t="shared" si="12"/>
        <v>908.96680200000003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'A.1.0_TablaAntigüedad_Sub'!K132</f>
        <v>128</v>
      </c>
      <c r="I132" s="183">
        <f>'A.1.0_TablaAntigüedad_Sub'!Y132</f>
        <v>480.93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7213.95</v>
      </c>
      <c r="O132" s="183">
        <f>'A.0_Tablas salariales SC'!$K$68</f>
        <v>24796.26</v>
      </c>
      <c r="P132" s="183">
        <f>(O132+N132)*G132+'A.0_Tablas salariales SC'!$R$82*(100%-G132)</f>
        <v>2640.81</v>
      </c>
      <c r="Q132" s="184">
        <f>IF(D132=100,'A.0_Tablas salariales SC'!$E$215,IF(D132=150,'A.0_Tablas salariales SC'!$E$216,IF(D132=189,'A.0_Tablas salariales SC'!$E$217,IF(D132=400,'A.0_Tablas salariales SC'!$E$218,IF(D132=450,'A.0_Tablas salariales SC'!$E$219,IF(D132=401,'A.0_Tablas salariales SC'!$E$220,IF(D132=451,'A.0_Tablas salariales SC'!$E$221,'A.0_Tablas salariales SC'!$E$215)))))))</f>
        <v>0.34420000000000001</v>
      </c>
      <c r="R132" s="183">
        <f t="shared" si="12"/>
        <v>908.96680200000003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'A.1.0_TablaAntigüedad_Sub'!K133</f>
        <v>128</v>
      </c>
      <c r="I133" s="183">
        <f>'A.1.0_TablaAntigüedad_Sub'!Y133</f>
        <v>480.93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7213.95</v>
      </c>
      <c r="O133" s="183">
        <f>'A.0_Tablas salariales SC'!$K$68</f>
        <v>24796.26</v>
      </c>
      <c r="P133" s="183">
        <f>(O133+N133)*G133+'A.0_Tablas salariales SC'!$R$82*(100%-G133)</f>
        <v>2640.81</v>
      </c>
      <c r="Q133" s="184">
        <f>IF(D133=100,'A.0_Tablas salariales SC'!$E$215,IF(D133=150,'A.0_Tablas salariales SC'!$E$216,IF(D133=189,'A.0_Tablas salariales SC'!$E$217,IF(D133=400,'A.0_Tablas salariales SC'!$E$218,IF(D133=450,'A.0_Tablas salariales SC'!$E$219,IF(D133=401,'A.0_Tablas salariales SC'!$E$220,IF(D133=451,'A.0_Tablas salariales SC'!$E$221,'A.0_Tablas salariales SC'!$E$215)))))))</f>
        <v>0.34420000000000001</v>
      </c>
      <c r="R133" s="183">
        <f t="shared" si="12"/>
        <v>908.96680200000003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'A.1.0_TablaAntigüedad_Sub'!K134</f>
        <v>128</v>
      </c>
      <c r="I134" s="183">
        <f>'A.1.0_TablaAntigüedad_Sub'!Y134</f>
        <v>480.93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7213.95</v>
      </c>
      <c r="O134" s="183">
        <f>'A.0_Tablas salariales SC'!$K$68</f>
        <v>24796.26</v>
      </c>
      <c r="P134" s="183">
        <f>(O134+N134)*G134+'A.0_Tablas salariales SC'!$R$82*(100%-G134)</f>
        <v>2640.81</v>
      </c>
      <c r="Q134" s="184">
        <f>IF(D134=100,'A.0_Tablas salariales SC'!$E$215,IF(D134=150,'A.0_Tablas salariales SC'!$E$216,IF(D134=189,'A.0_Tablas salariales SC'!$E$217,IF(D134=400,'A.0_Tablas salariales SC'!$E$218,IF(D134=450,'A.0_Tablas salariales SC'!$E$219,IF(D134=401,'A.0_Tablas salariales SC'!$E$220,IF(D134=451,'A.0_Tablas salariales SC'!$E$221,'A.0_Tablas salariales SC'!$E$215)))))))</f>
        <v>0.34420000000000001</v>
      </c>
      <c r="R134" s="183">
        <f t="shared" si="12"/>
        <v>908.96680200000003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'A.1.0_TablaAntigüedad_Sub'!K135</f>
        <v>128</v>
      </c>
      <c r="I135" s="183">
        <f>'A.1.0_TablaAntigüedad_Sub'!Y135</f>
        <v>480.93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7213.95</v>
      </c>
      <c r="O135" s="183">
        <f>'A.0_Tablas salariales SC'!$K$68</f>
        <v>24796.26</v>
      </c>
      <c r="P135" s="183">
        <f>(O135+N135)*G135+'A.0_Tablas salariales SC'!$R$82*(100%-G135)</f>
        <v>2640.81</v>
      </c>
      <c r="Q135" s="184">
        <f>IF(D135=100,'A.0_Tablas salariales SC'!$E$215,IF(D135=150,'A.0_Tablas salariales SC'!$E$216,IF(D135=189,'A.0_Tablas salariales SC'!$E$217,IF(D135=400,'A.0_Tablas salariales SC'!$E$218,IF(D135=450,'A.0_Tablas salariales SC'!$E$219,IF(D135=401,'A.0_Tablas salariales SC'!$E$220,IF(D135=451,'A.0_Tablas salariales SC'!$E$221,'A.0_Tablas salariales SC'!$E$215)))))))</f>
        <v>0.34420000000000001</v>
      </c>
      <c r="R135" s="183">
        <f t="shared" si="12"/>
        <v>908.96680200000003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'A.1.0_TablaAntigüedad_Sub'!K136</f>
        <v>128</v>
      </c>
      <c r="I136" s="183">
        <f>'A.1.0_TablaAntigüedad_Sub'!Y136</f>
        <v>480.93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7213.95</v>
      </c>
      <c r="O136" s="183">
        <f>'A.0_Tablas salariales SC'!$K$68</f>
        <v>24796.26</v>
      </c>
      <c r="P136" s="183">
        <f>(O136+N136)*G136+'A.0_Tablas salariales SC'!$R$82*(100%-G136)</f>
        <v>2640.81</v>
      </c>
      <c r="Q136" s="184">
        <f>IF(D136=100,'A.0_Tablas salariales SC'!$E$215,IF(D136=150,'A.0_Tablas salariales SC'!$E$216,IF(D136=189,'A.0_Tablas salariales SC'!$E$217,IF(D136=400,'A.0_Tablas salariales SC'!$E$218,IF(D136=450,'A.0_Tablas salariales SC'!$E$219,IF(D136=401,'A.0_Tablas salariales SC'!$E$220,IF(D136=451,'A.0_Tablas salariales SC'!$E$221,'A.0_Tablas salariales SC'!$E$215)))))))</f>
        <v>0.34420000000000001</v>
      </c>
      <c r="R136" s="183">
        <f t="shared" si="12"/>
        <v>908.96680200000003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'A.1.0_TablaAntigüedad_Sub'!K137</f>
        <v>128</v>
      </c>
      <c r="I137" s="183">
        <f>'A.1.0_TablaAntigüedad_Sub'!Y137</f>
        <v>480.93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7213.95</v>
      </c>
      <c r="O137" s="183">
        <f>'A.0_Tablas salariales SC'!$K$68</f>
        <v>24796.26</v>
      </c>
      <c r="P137" s="183">
        <f>(O137+N137)*G137+'A.0_Tablas salariales SC'!$R$82*(100%-G137)</f>
        <v>2640.81</v>
      </c>
      <c r="Q137" s="184">
        <f>IF(D137=100,'A.0_Tablas salariales SC'!$E$215,IF(D137=150,'A.0_Tablas salariales SC'!$E$216,IF(D137=189,'A.0_Tablas salariales SC'!$E$217,IF(D137=400,'A.0_Tablas salariales SC'!$E$218,IF(D137=450,'A.0_Tablas salariales SC'!$E$219,IF(D137=401,'A.0_Tablas salariales SC'!$E$220,IF(D137=451,'A.0_Tablas salariales SC'!$E$221,'A.0_Tablas salariales SC'!$E$215)))))))</f>
        <v>0.34420000000000001</v>
      </c>
      <c r="R137" s="183">
        <f t="shared" si="12"/>
        <v>908.96680200000003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'A.1.0_TablaAntigüedad_Sub'!K138</f>
        <v>128</v>
      </c>
      <c r="I138" s="183">
        <f>'A.1.0_TablaAntigüedad_Sub'!Y138</f>
        <v>480.93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7213.95</v>
      </c>
      <c r="O138" s="183">
        <f>'A.0_Tablas salariales SC'!$K$68</f>
        <v>24796.26</v>
      </c>
      <c r="P138" s="183">
        <f>(O138+N138)*G138+'A.0_Tablas salariales SC'!$R$82*(100%-G138)</f>
        <v>2640.81</v>
      </c>
      <c r="Q138" s="184">
        <f>IF(D138=100,'A.0_Tablas salariales SC'!$E$215,IF(D138=150,'A.0_Tablas salariales SC'!$E$216,IF(D138=189,'A.0_Tablas salariales SC'!$E$217,IF(D138=400,'A.0_Tablas salariales SC'!$E$218,IF(D138=450,'A.0_Tablas salariales SC'!$E$219,IF(D138=401,'A.0_Tablas salariales SC'!$E$220,IF(D138=451,'A.0_Tablas salariales SC'!$E$221,'A.0_Tablas salariales SC'!$E$215)))))))</f>
        <v>0.34420000000000001</v>
      </c>
      <c r="R138" s="183">
        <f t="shared" si="10"/>
        <v>908.96680200000003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7"/>
      <c r="Q139" s="174"/>
      <c r="R139" s="174"/>
      <c r="S139" s="174"/>
      <c r="T139" s="180">
        <f>SUM(S115:S138)</f>
        <v>0</v>
      </c>
    </row>
    <row r="140" spans="1:20">
      <c r="A140" s="508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2">
        <f>'A.1. Plantilla_Subrogacion'!F140</f>
        <v>0</v>
      </c>
      <c r="H140" s="181">
        <f>'A.1.0_TablaAntigüedad_Sub'!K140</f>
        <v>128</v>
      </c>
      <c r="I140" s="183">
        <f>'A.1.0_TablaAntigüedad_Sub'!Y140</f>
        <v>480.93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7213.95</v>
      </c>
      <c r="O140" s="183">
        <f>'A.0_Tablas salariales SC'!$K$68</f>
        <v>24796.26</v>
      </c>
      <c r="P140" s="183">
        <f>(O140+N140)*G140+'A.0_Tablas salariales SC'!$R$82*(100%-G140)</f>
        <v>2640.81</v>
      </c>
      <c r="Q140" s="492">
        <f>IF(D140=100,'A.0_Tablas salariales SC'!$E$227,IF(D140=150,'A.0_Tablas salariales SC'!$E$228,IF(D140=189,'A.0_Tablas salariales SC'!$E$229,IF(D140=400,'A.0_Tablas salariales SC'!$E$230,IF(D140=450,'A.0_Tablas salariales SC'!$E$231,IF(D140=401,'A.0_Tablas salariales SC'!$E$232,IF(D140=451,'A.0_Tablas salariales SC'!$E$233,'A.0_Tablas salariales SC'!$E$227)))))))</f>
        <v>0.37519999999999998</v>
      </c>
      <c r="R140" s="183">
        <f t="shared" si="10"/>
        <v>990.83191199999987</v>
      </c>
      <c r="S140" s="183">
        <f t="shared" si="11"/>
        <v>0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'A.1.0_TablaAntigüedad_Sub'!K141</f>
        <v>128</v>
      </c>
      <c r="I141" s="183">
        <f>'A.1.0_TablaAntigüedad_Sub'!Y141</f>
        <v>480.93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7213.95</v>
      </c>
      <c r="O141" s="183">
        <f>'A.0_Tablas salariales SC'!$K$68</f>
        <v>24796.26</v>
      </c>
      <c r="P141" s="183">
        <f>(O141+N141)*G141+'A.0_Tablas salariales SC'!$R$82*(100%-G141)</f>
        <v>2640.81</v>
      </c>
      <c r="Q141" s="492">
        <f>IF(D141=100,'A.0_Tablas salariales SC'!$E$227,IF(D141=150,'A.0_Tablas salariales SC'!$E$228,IF(D141=189,'A.0_Tablas salariales SC'!$E$229,IF(D141=400,'A.0_Tablas salariales SC'!$E$230,IF(D141=450,'A.0_Tablas salariales SC'!$E$231,IF(D141=401,'A.0_Tablas salariales SC'!$E$232,IF(D141=451,'A.0_Tablas salariales SC'!$E$233,'A.0_Tablas salariales SC'!$E$227)))))))</f>
        <v>0.37519999999999998</v>
      </c>
      <c r="R141" s="183">
        <f t="shared" si="10"/>
        <v>990.83191199999987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'A.1.0_TablaAntigüedad_Sub'!K142</f>
        <v>128</v>
      </c>
      <c r="I142" s="183">
        <f>'A.1.0_TablaAntigüedad_Sub'!Y142</f>
        <v>480.93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7213.95</v>
      </c>
      <c r="O142" s="183">
        <f>'A.0_Tablas salariales SC'!$K$68</f>
        <v>24796.26</v>
      </c>
      <c r="P142" s="183">
        <f>(O142+N142)*G142+'A.0_Tablas salariales SC'!$R$82*(100%-G142)</f>
        <v>2640.81</v>
      </c>
      <c r="Q142" s="492">
        <f>IF(D142=100,'A.0_Tablas salariales SC'!$E$227,IF(D142=150,'A.0_Tablas salariales SC'!$E$228,IF(D142=189,'A.0_Tablas salariales SC'!$E$229,IF(D142=400,'A.0_Tablas salariales SC'!$E$230,IF(D142=450,'A.0_Tablas salariales SC'!$E$231,IF(D142=401,'A.0_Tablas salariales SC'!$E$232,IF(D142=451,'A.0_Tablas salariales SC'!$E$233,'A.0_Tablas salariales SC'!$E$227)))))))</f>
        <v>0.37519999999999998</v>
      </c>
      <c r="R142" s="183">
        <f t="shared" si="10"/>
        <v>990.83191199999987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'A.1.0_TablaAntigüedad_Sub'!K143</f>
        <v>128</v>
      </c>
      <c r="I143" s="183">
        <f>'A.1.0_TablaAntigüedad_Sub'!Y143</f>
        <v>480.93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7213.95</v>
      </c>
      <c r="O143" s="183">
        <f>'A.0_Tablas salariales SC'!$K$68</f>
        <v>24796.26</v>
      </c>
      <c r="P143" s="183">
        <f>(O143+N143)*G143+'A.0_Tablas salariales SC'!$R$82*(100%-G143)</f>
        <v>2640.81</v>
      </c>
      <c r="Q143" s="492">
        <f>IF(D143=100,'A.0_Tablas salariales SC'!$E$227,IF(D143=150,'A.0_Tablas salariales SC'!$E$228,IF(D143=189,'A.0_Tablas salariales SC'!$E$229,IF(D143=400,'A.0_Tablas salariales SC'!$E$230,IF(D143=450,'A.0_Tablas salariales SC'!$E$231,IF(D143=401,'A.0_Tablas salariales SC'!$E$232,IF(D143=451,'A.0_Tablas salariales SC'!$E$233,'A.0_Tablas salariales SC'!$E$227)))))))</f>
        <v>0.37519999999999998</v>
      </c>
      <c r="R143" s="183">
        <f t="shared" ref="R143:R150" si="15">Q143*P143</f>
        <v>990.83191199999987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'A.1.0_TablaAntigüedad_Sub'!K144</f>
        <v>128</v>
      </c>
      <c r="I144" s="183">
        <f>'A.1.0_TablaAntigüedad_Sub'!Y144</f>
        <v>480.93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7213.95</v>
      </c>
      <c r="O144" s="183">
        <f>'A.0_Tablas salariales SC'!$K$68</f>
        <v>24796.26</v>
      </c>
      <c r="P144" s="183">
        <f>(O144+N144)*G144+'A.0_Tablas salariales SC'!$R$82*(100%-G144)</f>
        <v>2640.81</v>
      </c>
      <c r="Q144" s="492">
        <f>IF(D144=100,'A.0_Tablas salariales SC'!$E$227,IF(D144=150,'A.0_Tablas salariales SC'!$E$228,IF(D144=189,'A.0_Tablas salariales SC'!$E$229,IF(D144=400,'A.0_Tablas salariales SC'!$E$230,IF(D144=450,'A.0_Tablas salariales SC'!$E$231,IF(D144=401,'A.0_Tablas salariales SC'!$E$232,IF(D144=451,'A.0_Tablas salariales SC'!$E$233,'A.0_Tablas salariales SC'!$E$227)))))))</f>
        <v>0.37519999999999998</v>
      </c>
      <c r="R144" s="183">
        <f t="shared" si="15"/>
        <v>990.83191199999987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'A.1.0_TablaAntigüedad_Sub'!K145</f>
        <v>128</v>
      </c>
      <c r="I145" s="183">
        <f>'A.1.0_TablaAntigüedad_Sub'!Y145</f>
        <v>480.93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7213.95</v>
      </c>
      <c r="O145" s="183">
        <f>'A.0_Tablas salariales SC'!$K$68</f>
        <v>24796.26</v>
      </c>
      <c r="P145" s="183">
        <f>(O145+N145)*G145+'A.0_Tablas salariales SC'!$R$82*(100%-G145)</f>
        <v>2640.81</v>
      </c>
      <c r="Q145" s="492">
        <f>IF(D145=100,'A.0_Tablas salariales SC'!$E$227,IF(D145=150,'A.0_Tablas salariales SC'!$E$228,IF(D145=189,'A.0_Tablas salariales SC'!$E$229,IF(D145=400,'A.0_Tablas salariales SC'!$E$230,IF(D145=450,'A.0_Tablas salariales SC'!$E$231,IF(D145=401,'A.0_Tablas salariales SC'!$E$232,IF(D145=451,'A.0_Tablas salariales SC'!$E$233,'A.0_Tablas salariales SC'!$E$227)))))))</f>
        <v>0.37519999999999998</v>
      </c>
      <c r="R145" s="183">
        <f t="shared" si="15"/>
        <v>990.83191199999987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'A.1.0_TablaAntigüedad_Sub'!K146</f>
        <v>128</v>
      </c>
      <c r="I146" s="183">
        <f>'A.1.0_TablaAntigüedad_Sub'!Y146</f>
        <v>480.93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7213.95</v>
      </c>
      <c r="O146" s="183">
        <f>'A.0_Tablas salariales SC'!$K$68</f>
        <v>24796.26</v>
      </c>
      <c r="P146" s="183">
        <f>(O146+N146)*G146+'A.0_Tablas salariales SC'!$R$82*(100%-G146)</f>
        <v>2640.81</v>
      </c>
      <c r="Q146" s="492">
        <f>IF(D146=100,'A.0_Tablas salariales SC'!$E$227,IF(D146=150,'A.0_Tablas salariales SC'!$E$228,IF(D146=189,'A.0_Tablas salariales SC'!$E$229,IF(D146=400,'A.0_Tablas salariales SC'!$E$230,IF(D146=450,'A.0_Tablas salariales SC'!$E$231,IF(D146=401,'A.0_Tablas salariales SC'!$E$232,IF(D146=451,'A.0_Tablas salariales SC'!$E$233,'A.0_Tablas salariales SC'!$E$227)))))))</f>
        <v>0.37519999999999998</v>
      </c>
      <c r="R146" s="183">
        <f t="shared" si="15"/>
        <v>990.83191199999987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'A.1.0_TablaAntigüedad_Sub'!K147</f>
        <v>128</v>
      </c>
      <c r="I147" s="183">
        <f>'A.1.0_TablaAntigüedad_Sub'!Y147</f>
        <v>480.93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7213.95</v>
      </c>
      <c r="O147" s="183">
        <f>'A.0_Tablas salariales SC'!$K$68</f>
        <v>24796.26</v>
      </c>
      <c r="P147" s="183">
        <f>(O147+N147)*G147+'A.0_Tablas salariales SC'!$R$82*(100%-G147)</f>
        <v>2640.81</v>
      </c>
      <c r="Q147" s="492">
        <f>IF(D147=100,'A.0_Tablas salariales SC'!$E$227,IF(D147=150,'A.0_Tablas salariales SC'!$E$228,IF(D147=189,'A.0_Tablas salariales SC'!$E$229,IF(D147=400,'A.0_Tablas salariales SC'!$E$230,IF(D147=450,'A.0_Tablas salariales SC'!$E$231,IF(D147=401,'A.0_Tablas salariales SC'!$E$232,IF(D147=451,'A.0_Tablas salariales SC'!$E$233,'A.0_Tablas salariales SC'!$E$227)))))))</f>
        <v>0.37519999999999998</v>
      </c>
      <c r="R147" s="183">
        <f t="shared" si="15"/>
        <v>990.83191199999987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'A.1.0_TablaAntigüedad_Sub'!K148</f>
        <v>128</v>
      </c>
      <c r="I148" s="183">
        <f>'A.1.0_TablaAntigüedad_Sub'!Y148</f>
        <v>480.93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7213.95</v>
      </c>
      <c r="O148" s="183">
        <f>'A.0_Tablas salariales SC'!$K$68</f>
        <v>24796.26</v>
      </c>
      <c r="P148" s="183">
        <f>(O148+N148)*G148+'A.0_Tablas salariales SC'!$R$82*(100%-G148)</f>
        <v>2640.81</v>
      </c>
      <c r="Q148" s="492">
        <f>IF(D148=100,'A.0_Tablas salariales SC'!$E$227,IF(D148=150,'A.0_Tablas salariales SC'!$E$228,IF(D148=189,'A.0_Tablas salariales SC'!$E$229,IF(D148=400,'A.0_Tablas salariales SC'!$E$230,IF(D148=450,'A.0_Tablas salariales SC'!$E$231,IF(D148=401,'A.0_Tablas salariales SC'!$E$232,IF(D148=451,'A.0_Tablas salariales SC'!$E$233,'A.0_Tablas salariales SC'!$E$227)))))))</f>
        <v>0.37519999999999998</v>
      </c>
      <c r="R148" s="183">
        <f t="shared" si="15"/>
        <v>990.83191199999987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'A.1.0_TablaAntigüedad_Sub'!K149</f>
        <v>128</v>
      </c>
      <c r="I149" s="183">
        <f>'A.1.0_TablaAntigüedad_Sub'!Y149</f>
        <v>480.93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7213.95</v>
      </c>
      <c r="O149" s="183">
        <f>'A.0_Tablas salariales SC'!$K$68</f>
        <v>24796.26</v>
      </c>
      <c r="P149" s="183">
        <f>(O149+N149)*G149+'A.0_Tablas salariales SC'!$R$82*(100%-G149)</f>
        <v>2640.81</v>
      </c>
      <c r="Q149" s="492">
        <f>IF(D149=100,'A.0_Tablas salariales SC'!$E$227,IF(D149=150,'A.0_Tablas salariales SC'!$E$228,IF(D149=189,'A.0_Tablas salariales SC'!$E$229,IF(D149=400,'A.0_Tablas salariales SC'!$E$230,IF(D149=450,'A.0_Tablas salariales SC'!$E$231,IF(D149=401,'A.0_Tablas salariales SC'!$E$232,IF(D149=451,'A.0_Tablas salariales SC'!$E$233,'A.0_Tablas salariales SC'!$E$227)))))))</f>
        <v>0.37519999999999998</v>
      </c>
      <c r="R149" s="183">
        <f t="shared" si="15"/>
        <v>990.83191199999987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'A.1.0_TablaAntigüedad_Sub'!K150</f>
        <v>128</v>
      </c>
      <c r="I150" s="183">
        <f>'A.1.0_TablaAntigüedad_Sub'!Y150</f>
        <v>480.93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7213.95</v>
      </c>
      <c r="O150" s="183">
        <f>'A.0_Tablas salariales SC'!$K$68</f>
        <v>24796.26</v>
      </c>
      <c r="P150" s="183">
        <f>(O150+N150)*G150+'A.0_Tablas salariales SC'!$R$82*(100%-G150)</f>
        <v>2640.81</v>
      </c>
      <c r="Q150" s="492">
        <f>IF(D150=100,'A.0_Tablas salariales SC'!$E$227,IF(D150=150,'A.0_Tablas salariales SC'!$E$228,IF(D150=189,'A.0_Tablas salariales SC'!$E$229,IF(D150=400,'A.0_Tablas salariales SC'!$E$230,IF(D150=450,'A.0_Tablas salariales SC'!$E$231,IF(D150=401,'A.0_Tablas salariales SC'!$E$232,IF(D150=451,'A.0_Tablas salariales SC'!$E$233,'A.0_Tablas salariales SC'!$E$227)))))))</f>
        <v>0.37519999999999998</v>
      </c>
      <c r="R150" s="183">
        <f t="shared" si="15"/>
        <v>990.83191199999987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'A.1.0_TablaAntigüedad_Sub'!K151</f>
        <v>128</v>
      </c>
      <c r="I151" s="183">
        <f>'A.1.0_TablaAntigüedad_Sub'!Y151</f>
        <v>480.93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7213.95</v>
      </c>
      <c r="O151" s="183">
        <f>'A.0_Tablas salariales SC'!$K$68</f>
        <v>24796.26</v>
      </c>
      <c r="P151" s="183">
        <f>(O151+N151)*G151+'A.0_Tablas salariales SC'!$R$82*(100%-G151)</f>
        <v>2640.81</v>
      </c>
      <c r="Q151" s="492">
        <f>IF(D151=100,'A.0_Tablas salariales SC'!$E$227,IF(D151=150,'A.0_Tablas salariales SC'!$E$228,IF(D151=189,'A.0_Tablas salariales SC'!$E$229,IF(D151=400,'A.0_Tablas salariales SC'!$E$230,IF(D151=450,'A.0_Tablas salariales SC'!$E$231,IF(D151=401,'A.0_Tablas salariales SC'!$E$232,IF(D151=451,'A.0_Tablas salariales SC'!$E$233,'A.0_Tablas salariales SC'!$E$227)))))))</f>
        <v>0.37519999999999998</v>
      </c>
      <c r="R151" s="183">
        <f t="shared" si="10"/>
        <v>990.83191199999987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7"/>
      <c r="Q152" s="174"/>
      <c r="R152" s="174"/>
      <c r="S152" s="174"/>
      <c r="T152" s="180">
        <f>SUM(S140:S151)</f>
        <v>0</v>
      </c>
    </row>
    <row r="153" spans="1:20">
      <c r="A153" s="508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2">
        <f>'A.1. Plantilla_Subrogacion'!F153</f>
        <v>0</v>
      </c>
      <c r="H153" s="181">
        <f>'A.1.0_TablaAntigüedad_Sub'!K153</f>
        <v>128</v>
      </c>
      <c r="I153" s="183">
        <f>'A.1.0_TablaAntigüedad_Sub'!Y153</f>
        <v>480.93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7213.95</v>
      </c>
      <c r="O153" s="183">
        <f>'A.0_Tablas salariales SC'!$K$71</f>
        <v>25806.66</v>
      </c>
      <c r="P153" s="183">
        <f>(O153+N153)*G153+'A.0_Tablas salariales SC'!$R$82*(100%-G153)</f>
        <v>2640.81</v>
      </c>
      <c r="Q153" s="184">
        <f>IF(D153=100,'A.0_Tablas salariales SC'!$E$215,IF(D153=150,'A.0_Tablas salariales SC'!$E$216,IF(D153=189,'A.0_Tablas salariales SC'!$E$217,IF(D153=400,'A.0_Tablas salariales SC'!$E$218,IF(D153=450,'A.0_Tablas salariales SC'!$E$219,IF(D153=401,'A.0_Tablas salariales SC'!$E$220,IF(D153=451,'A.0_Tablas salariales SC'!$E$221,'A.0_Tablas salariales SC'!$E$215)))))))</f>
        <v>0.34420000000000001</v>
      </c>
      <c r="R153" s="183">
        <f t="shared" si="10"/>
        <v>908.96680200000003</v>
      </c>
      <c r="S153" s="183">
        <f t="shared" si="11"/>
        <v>0</v>
      </c>
      <c r="T153" s="179"/>
    </row>
    <row r="154" spans="1:20">
      <c r="A154" s="508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2">
        <f>'A.1. Plantilla_Subrogacion'!F154</f>
        <v>0</v>
      </c>
      <c r="H154" s="181">
        <f>'A.1.0_TablaAntigüedad_Sub'!K154</f>
        <v>128</v>
      </c>
      <c r="I154" s="183">
        <f>'A.1.0_TablaAntigüedad_Sub'!Y154</f>
        <v>480.93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7213.95</v>
      </c>
      <c r="O154" s="183">
        <f>'A.0_Tablas salariales SC'!$K$71</f>
        <v>25806.66</v>
      </c>
      <c r="P154" s="183">
        <f>(O154+N154)*G154+'A.0_Tablas salariales SC'!$R$82*(100%-G154)</f>
        <v>2640.81</v>
      </c>
      <c r="Q154" s="184">
        <f>IF(D154=100,'A.0_Tablas salariales SC'!$E$215,IF(D154=150,'A.0_Tablas salariales SC'!$E$216,IF(D154=189,'A.0_Tablas salariales SC'!$E$217,IF(D154=400,'A.0_Tablas salariales SC'!$E$218,IF(D154=450,'A.0_Tablas salariales SC'!$E$219,IF(D154=401,'A.0_Tablas salariales SC'!$E$220,IF(D154=451,'A.0_Tablas salariales SC'!$E$221,'A.0_Tablas salariales SC'!$E$215)))))))</f>
        <v>0.34420000000000001</v>
      </c>
      <c r="R154" s="183">
        <f t="shared" ref="R154:R161" si="17">Q154*P154</f>
        <v>908.96680200000003</v>
      </c>
      <c r="S154" s="183">
        <f t="shared" ref="S154:S161" si="18">(R154+P154)*A154</f>
        <v>0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'A.1.0_TablaAntigüedad_Sub'!K155</f>
        <v>128</v>
      </c>
      <c r="I155" s="183">
        <f>'A.1.0_TablaAntigüedad_Sub'!Y155</f>
        <v>480.93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7213.95</v>
      </c>
      <c r="O155" s="183">
        <f>'A.0_Tablas salariales SC'!$K$71</f>
        <v>25806.66</v>
      </c>
      <c r="P155" s="183">
        <f>(O155+N155)*G155+'A.0_Tablas salariales SC'!$R$82*(100%-G155)</f>
        <v>2640.81</v>
      </c>
      <c r="Q155" s="184">
        <f>IF(D155=100,'A.0_Tablas salariales SC'!$E$215,IF(D155=150,'A.0_Tablas salariales SC'!$E$216,IF(D155=189,'A.0_Tablas salariales SC'!$E$217,IF(D155=400,'A.0_Tablas salariales SC'!$E$218,IF(D155=450,'A.0_Tablas salariales SC'!$E$219,IF(D155=401,'A.0_Tablas salariales SC'!$E$220,IF(D155=451,'A.0_Tablas salariales SC'!$E$221,'A.0_Tablas salariales SC'!$E$215)))))))</f>
        <v>0.34420000000000001</v>
      </c>
      <c r="R155" s="183">
        <f t="shared" si="17"/>
        <v>908.96680200000003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'A.1.0_TablaAntigüedad_Sub'!K156</f>
        <v>128</v>
      </c>
      <c r="I156" s="183">
        <f>'A.1.0_TablaAntigüedad_Sub'!Y156</f>
        <v>480.93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7213.95</v>
      </c>
      <c r="O156" s="183">
        <f>'A.0_Tablas salariales SC'!$K$71</f>
        <v>25806.66</v>
      </c>
      <c r="P156" s="183">
        <f>(O156+N156)*G156+'A.0_Tablas salariales SC'!$R$82*(100%-G156)</f>
        <v>2640.81</v>
      </c>
      <c r="Q156" s="184">
        <f>IF(D156=100,'A.0_Tablas salariales SC'!$E$215,IF(D156=150,'A.0_Tablas salariales SC'!$E$216,IF(D156=189,'A.0_Tablas salariales SC'!$E$217,IF(D156=400,'A.0_Tablas salariales SC'!$E$218,IF(D156=450,'A.0_Tablas salariales SC'!$E$219,IF(D156=401,'A.0_Tablas salariales SC'!$E$220,IF(D156=451,'A.0_Tablas salariales SC'!$E$221,'A.0_Tablas salariales SC'!$E$215)))))))</f>
        <v>0.34420000000000001</v>
      </c>
      <c r="R156" s="183">
        <f t="shared" si="17"/>
        <v>908.96680200000003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'A.1.0_TablaAntigüedad_Sub'!K157</f>
        <v>128</v>
      </c>
      <c r="I157" s="183">
        <f>'A.1.0_TablaAntigüedad_Sub'!Y157</f>
        <v>480.93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7213.95</v>
      </c>
      <c r="O157" s="183">
        <f>'A.0_Tablas salariales SC'!$K$71</f>
        <v>25806.66</v>
      </c>
      <c r="P157" s="183">
        <f>(O157+N157)*G157+'A.0_Tablas salariales SC'!$R$82*(100%-G157)</f>
        <v>2640.81</v>
      </c>
      <c r="Q157" s="184">
        <f>IF(D157=100,'A.0_Tablas salariales SC'!$E$215,IF(D157=150,'A.0_Tablas salariales SC'!$E$216,IF(D157=189,'A.0_Tablas salariales SC'!$E$217,IF(D157=400,'A.0_Tablas salariales SC'!$E$218,IF(D157=450,'A.0_Tablas salariales SC'!$E$219,IF(D157=401,'A.0_Tablas salariales SC'!$E$220,IF(D157=451,'A.0_Tablas salariales SC'!$E$221,'A.0_Tablas salariales SC'!$E$215)))))))</f>
        <v>0.34420000000000001</v>
      </c>
      <c r="R157" s="183">
        <f t="shared" si="17"/>
        <v>908.96680200000003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'A.1.0_TablaAntigüedad_Sub'!K158</f>
        <v>128</v>
      </c>
      <c r="I158" s="183">
        <f>'A.1.0_TablaAntigüedad_Sub'!Y158</f>
        <v>480.93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7213.95</v>
      </c>
      <c r="O158" s="183">
        <f>'A.0_Tablas salariales SC'!$K$71</f>
        <v>25806.66</v>
      </c>
      <c r="P158" s="183">
        <f>(O158+N158)*G158+'A.0_Tablas salariales SC'!$R$82*(100%-G158)</f>
        <v>2640.81</v>
      </c>
      <c r="Q158" s="184">
        <f>IF(D158=100,'A.0_Tablas salariales SC'!$E$215,IF(D158=150,'A.0_Tablas salariales SC'!$E$216,IF(D158=189,'A.0_Tablas salariales SC'!$E$217,IF(D158=400,'A.0_Tablas salariales SC'!$E$218,IF(D158=450,'A.0_Tablas salariales SC'!$E$219,IF(D158=401,'A.0_Tablas salariales SC'!$E$220,IF(D158=451,'A.0_Tablas salariales SC'!$E$221,'A.0_Tablas salariales SC'!$E$215)))))))</f>
        <v>0.34420000000000001</v>
      </c>
      <c r="R158" s="183">
        <f t="shared" si="17"/>
        <v>908.96680200000003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'A.1.0_TablaAntigüedad_Sub'!K159</f>
        <v>128</v>
      </c>
      <c r="I159" s="183">
        <f>'A.1.0_TablaAntigüedad_Sub'!Y159</f>
        <v>480.93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7213.95</v>
      </c>
      <c r="O159" s="183">
        <f>'A.0_Tablas salariales SC'!$K$71</f>
        <v>25806.66</v>
      </c>
      <c r="P159" s="183">
        <f>(O159+N159)*G159+'A.0_Tablas salariales SC'!$R$82*(100%-G159)</f>
        <v>2640.81</v>
      </c>
      <c r="Q159" s="184">
        <f>IF(D159=100,'A.0_Tablas salariales SC'!$E$215,IF(D159=150,'A.0_Tablas salariales SC'!$E$216,IF(D159=189,'A.0_Tablas salariales SC'!$E$217,IF(D159=400,'A.0_Tablas salariales SC'!$E$218,IF(D159=450,'A.0_Tablas salariales SC'!$E$219,IF(D159=401,'A.0_Tablas salariales SC'!$E$220,IF(D159=451,'A.0_Tablas salariales SC'!$E$221,'A.0_Tablas salariales SC'!$E$215)))))))</f>
        <v>0.34420000000000001</v>
      </c>
      <c r="R159" s="183">
        <f t="shared" si="17"/>
        <v>908.96680200000003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'A.1.0_TablaAntigüedad_Sub'!K160</f>
        <v>128</v>
      </c>
      <c r="I160" s="183">
        <f>'A.1.0_TablaAntigüedad_Sub'!Y160</f>
        <v>480.93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7213.95</v>
      </c>
      <c r="O160" s="183">
        <f>'A.0_Tablas salariales SC'!$K$71</f>
        <v>25806.66</v>
      </c>
      <c r="P160" s="183">
        <f>(O160+N160)*G160+'A.0_Tablas salariales SC'!$R$82*(100%-G160)</f>
        <v>2640.81</v>
      </c>
      <c r="Q160" s="184">
        <f>IF(D160=100,'A.0_Tablas salariales SC'!$E$215,IF(D160=150,'A.0_Tablas salariales SC'!$E$216,IF(D160=189,'A.0_Tablas salariales SC'!$E$217,IF(D160=400,'A.0_Tablas salariales SC'!$E$218,IF(D160=450,'A.0_Tablas salariales SC'!$E$219,IF(D160=401,'A.0_Tablas salariales SC'!$E$220,IF(D160=451,'A.0_Tablas salariales SC'!$E$221,'A.0_Tablas salariales SC'!$E$215)))))))</f>
        <v>0.34420000000000001</v>
      </c>
      <c r="R160" s="183">
        <f t="shared" si="17"/>
        <v>908.96680200000003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'A.1.0_TablaAntigüedad_Sub'!K161</f>
        <v>128</v>
      </c>
      <c r="I161" s="183">
        <f>'A.1.0_TablaAntigüedad_Sub'!Y161</f>
        <v>480.93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7213.95</v>
      </c>
      <c r="O161" s="183">
        <f>'A.0_Tablas salariales SC'!$K$71</f>
        <v>25806.66</v>
      </c>
      <c r="P161" s="183">
        <f>(O161+N161)*G161+'A.0_Tablas salariales SC'!$R$82*(100%-G161)</f>
        <v>2640.81</v>
      </c>
      <c r="Q161" s="184">
        <f>IF(D161=100,'A.0_Tablas salariales SC'!$E$215,IF(D161=150,'A.0_Tablas salariales SC'!$E$216,IF(D161=189,'A.0_Tablas salariales SC'!$E$217,IF(D161=400,'A.0_Tablas salariales SC'!$E$218,IF(D161=450,'A.0_Tablas salariales SC'!$E$219,IF(D161=401,'A.0_Tablas salariales SC'!$E$220,IF(D161=451,'A.0_Tablas salariales SC'!$E$221,'A.0_Tablas salariales SC'!$E$215)))))))</f>
        <v>0.34420000000000001</v>
      </c>
      <c r="R161" s="183">
        <f t="shared" si="17"/>
        <v>908.96680200000003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'A.1.0_TablaAntigüedad_Sub'!K162</f>
        <v>128</v>
      </c>
      <c r="I162" s="183">
        <f>'A.1.0_TablaAntigüedad_Sub'!Y162</f>
        <v>480.93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7213.95</v>
      </c>
      <c r="O162" s="183">
        <f>'A.0_Tablas salariales SC'!$K$71</f>
        <v>25806.66</v>
      </c>
      <c r="P162" s="183">
        <f>(O162+N162)*G162+'A.0_Tablas salariales SC'!$R$82*(100%-G162)</f>
        <v>2640.81</v>
      </c>
      <c r="Q162" s="184">
        <f>IF(D162=100,'A.0_Tablas salariales SC'!$E$215,IF(D162=150,'A.0_Tablas salariales SC'!$E$216,IF(D162=189,'A.0_Tablas salariales SC'!$E$217,IF(D162=400,'A.0_Tablas salariales SC'!$E$218,IF(D162=450,'A.0_Tablas salariales SC'!$E$219,IF(D162=401,'A.0_Tablas salariales SC'!$E$220,IF(D162=451,'A.0_Tablas salariales SC'!$E$221,'A.0_Tablas salariales SC'!$E$215)))))))</f>
        <v>0.34420000000000001</v>
      </c>
      <c r="R162" s="183">
        <f t="shared" si="10"/>
        <v>908.96680200000003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7"/>
      <c r="Q163" s="174"/>
      <c r="R163" s="174"/>
      <c r="S163" s="174"/>
      <c r="T163" s="180">
        <f>SUM(S153:S162)</f>
        <v>0</v>
      </c>
    </row>
    <row r="164" spans="1:20">
      <c r="A164" s="508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2">
        <f>'A.1. Plantilla_Subrogacion'!F164</f>
        <v>0</v>
      </c>
      <c r="H164" s="181">
        <f>'A.1.0_TablaAntigüedad_Sub'!K164</f>
        <v>128</v>
      </c>
      <c r="I164" s="183">
        <f>'A.1.0_TablaAntigüedad_Sub'!Y164</f>
        <v>658.71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9880.6500000000015</v>
      </c>
      <c r="O164" s="183">
        <f>'A.0_Tablas salariales SC'!$K$81</f>
        <v>32372.010000000002</v>
      </c>
      <c r="P164" s="183">
        <f>(O164+N164)*G164+'A.0_Tablas salariales SC'!$R$82*(100%-G164)</f>
        <v>2640.81</v>
      </c>
      <c r="Q164" s="184">
        <f>IF(D164=100,'A.0_Tablas salariales SC'!$E$215,IF(D164=150,'A.0_Tablas salariales SC'!$E$216,IF(D164=189,'A.0_Tablas salariales SC'!$E$217,IF(D164=400,'A.0_Tablas salariales SC'!$E$218,IF(D164=450,'A.0_Tablas salariales SC'!$E$219,IF(D164=401,'A.0_Tablas salariales SC'!$E$220,IF(D164=451,'A.0_Tablas salariales SC'!$E$221,'A.0_Tablas salariales SC'!$E$215)))))))</f>
        <v>0.34420000000000001</v>
      </c>
      <c r="R164" s="183">
        <f>Q164*P164</f>
        <v>908.96680200000003</v>
      </c>
      <c r="S164" s="183">
        <f t="shared" si="11"/>
        <v>0</v>
      </c>
      <c r="T164" s="179"/>
    </row>
    <row r="165" spans="1:20">
      <c r="A165" s="508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2">
        <f>'A.1. Plantilla_Subrogacion'!F165</f>
        <v>0</v>
      </c>
      <c r="H165" s="181">
        <f>'A.1.0_TablaAntigüedad_Sub'!K165</f>
        <v>128</v>
      </c>
      <c r="I165" s="183">
        <f>'A.1.0_TablaAntigüedad_Sub'!Y165</f>
        <v>658.71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9880.6500000000015</v>
      </c>
      <c r="O165" s="183">
        <f>'A.0_Tablas salariales SC'!$K$81</f>
        <v>32372.010000000002</v>
      </c>
      <c r="P165" s="183">
        <f>(O165+N165)*G165+'A.0_Tablas salariales SC'!$R$82*(100%-G165)</f>
        <v>2640.81</v>
      </c>
      <c r="Q165" s="184">
        <f>IF(D165=100,'A.0_Tablas salariales SC'!$E$215,IF(D165=150,'A.0_Tablas salariales SC'!$E$216,IF(D165=189,'A.0_Tablas salariales SC'!$E$217,IF(D165=400,'A.0_Tablas salariales SC'!$E$218,IF(D165=450,'A.0_Tablas salariales SC'!$E$219,IF(D165=401,'A.0_Tablas salariales SC'!$E$220,IF(D165=451,'A.0_Tablas salariales SC'!$E$221,'A.0_Tablas salariales SC'!$E$215)))))))</f>
        <v>0.34420000000000001</v>
      </c>
      <c r="R165" s="183">
        <f t="shared" ref="R165:R171" si="19">Q165*P165</f>
        <v>908.96680200000003</v>
      </c>
      <c r="S165" s="183">
        <f t="shared" ref="S165:S171" si="20">(R165+P165)*A165</f>
        <v>0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'A.1.0_TablaAntigüedad_Sub'!K166</f>
        <v>128</v>
      </c>
      <c r="I166" s="183">
        <f>'A.1.0_TablaAntigüedad_Sub'!Y166</f>
        <v>658.71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9880.6500000000015</v>
      </c>
      <c r="O166" s="183">
        <f>'A.0_Tablas salariales SC'!$K$81</f>
        <v>32372.010000000002</v>
      </c>
      <c r="P166" s="183">
        <f>(O166+N166)*G166+'A.0_Tablas salariales SC'!$R$82*(100%-G166)</f>
        <v>2640.81</v>
      </c>
      <c r="Q166" s="184">
        <f>IF(D166=100,'A.0_Tablas salariales SC'!$E$215,IF(D166=150,'A.0_Tablas salariales SC'!$E$216,IF(D166=189,'A.0_Tablas salariales SC'!$E$217,IF(D166=400,'A.0_Tablas salariales SC'!$E$218,IF(D166=450,'A.0_Tablas salariales SC'!$E$219,IF(D166=401,'A.0_Tablas salariales SC'!$E$220,IF(D166=451,'A.0_Tablas salariales SC'!$E$221,'A.0_Tablas salariales SC'!$E$215)))))))</f>
        <v>0.34420000000000001</v>
      </c>
      <c r="R166" s="183">
        <f t="shared" si="19"/>
        <v>908.96680200000003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'A.1.0_TablaAntigüedad_Sub'!K167</f>
        <v>128</v>
      </c>
      <c r="I167" s="183">
        <f>'A.1.0_TablaAntigüedad_Sub'!Y167</f>
        <v>658.71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9880.6500000000015</v>
      </c>
      <c r="O167" s="183">
        <f>'A.0_Tablas salariales SC'!$K$81</f>
        <v>32372.010000000002</v>
      </c>
      <c r="P167" s="183">
        <f>(O167+N167)*G167+'A.0_Tablas salariales SC'!$R$82*(100%-G167)</f>
        <v>2640.81</v>
      </c>
      <c r="Q167" s="184">
        <f>IF(D167=100,'A.0_Tablas salariales SC'!$E$215,IF(D167=150,'A.0_Tablas salariales SC'!$E$216,IF(D167=189,'A.0_Tablas salariales SC'!$E$217,IF(D167=400,'A.0_Tablas salariales SC'!$E$218,IF(D167=450,'A.0_Tablas salariales SC'!$E$219,IF(D167=401,'A.0_Tablas salariales SC'!$E$220,IF(D167=451,'A.0_Tablas salariales SC'!$E$221,'A.0_Tablas salariales SC'!$E$215)))))))</f>
        <v>0.34420000000000001</v>
      </c>
      <c r="R167" s="183">
        <f t="shared" si="19"/>
        <v>908.96680200000003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'A.1.0_TablaAntigüedad_Sub'!K168</f>
        <v>128</v>
      </c>
      <c r="I168" s="183">
        <f>'A.1.0_TablaAntigüedad_Sub'!Y168</f>
        <v>658.71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9880.6500000000015</v>
      </c>
      <c r="O168" s="183">
        <f>'A.0_Tablas salariales SC'!$K$81</f>
        <v>32372.010000000002</v>
      </c>
      <c r="P168" s="183">
        <f>(O168+N168)*G168+'A.0_Tablas salariales SC'!$R$82*(100%-G168)</f>
        <v>2640.81</v>
      </c>
      <c r="Q168" s="184">
        <f>IF(D168=100,'A.0_Tablas salariales SC'!$E$215,IF(D168=150,'A.0_Tablas salariales SC'!$E$216,IF(D168=189,'A.0_Tablas salariales SC'!$E$217,IF(D168=400,'A.0_Tablas salariales SC'!$E$218,IF(D168=450,'A.0_Tablas salariales SC'!$E$219,IF(D168=401,'A.0_Tablas salariales SC'!$E$220,IF(D168=451,'A.0_Tablas salariales SC'!$E$221,'A.0_Tablas salariales SC'!$E$215)))))))</f>
        <v>0.34420000000000001</v>
      </c>
      <c r="R168" s="183">
        <f t="shared" si="19"/>
        <v>908.96680200000003</v>
      </c>
      <c r="S168" s="183">
        <f t="shared" si="20"/>
        <v>0</v>
      </c>
      <c r="T168" s="179"/>
    </row>
    <row r="169" spans="1:20">
      <c r="A169" s="508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2">
        <f>'A.1. Plantilla_Subrogacion'!F169</f>
        <v>0</v>
      </c>
      <c r="H169" s="181">
        <f>'A.1.0_TablaAntigüedad_Sub'!K169</f>
        <v>128</v>
      </c>
      <c r="I169" s="183">
        <f>'A.1.0_TablaAntigüedad_Sub'!Y169</f>
        <v>658.71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9880.6500000000015</v>
      </c>
      <c r="O169" s="183">
        <f>'A.0_Tablas salariales SC'!$K$82</f>
        <v>36674.160000000003</v>
      </c>
      <c r="P169" s="183">
        <f>(O169+N169)*G169+'A.0_Tablas salariales SC'!$R$82*(100%-G169)</f>
        <v>2640.81</v>
      </c>
      <c r="Q169" s="184">
        <f>IF(D169=100,'A.0_Tablas salariales SC'!$E$215,IF(D169=150,'A.0_Tablas salariales SC'!$E$216,IF(D169=189,'A.0_Tablas salariales SC'!$E$217,IF(D169=400,'A.0_Tablas salariales SC'!$E$218,IF(D169=450,'A.0_Tablas salariales SC'!$E$219,IF(D169=401,'A.0_Tablas salariales SC'!$E$220,IF(D169=451,'A.0_Tablas salariales SC'!$E$221,'A.0_Tablas salariales SC'!$E$215)))))))</f>
        <v>0.34420000000000001</v>
      </c>
      <c r="R169" s="183">
        <f t="shared" si="19"/>
        <v>908.96680200000003</v>
      </c>
      <c r="S169" s="183">
        <f t="shared" si="20"/>
        <v>0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'A.1.0_TablaAntigüedad_Sub'!K170</f>
        <v>128</v>
      </c>
      <c r="I170" s="183">
        <f>'A.1.0_TablaAntigüedad_Sub'!Y170</f>
        <v>658.71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9880.6500000000015</v>
      </c>
      <c r="O170" s="183">
        <f>'A.0_Tablas salariales SC'!$K$82</f>
        <v>36674.160000000003</v>
      </c>
      <c r="P170" s="183">
        <f>(O170+N170)*G170+'A.0_Tablas salariales SC'!$R$82*(100%-G170)</f>
        <v>2640.81</v>
      </c>
      <c r="Q170" s="184">
        <f>IF(D170=100,'A.0_Tablas salariales SC'!$E$215,IF(D170=150,'A.0_Tablas salariales SC'!$E$216,IF(D170=189,'A.0_Tablas salariales SC'!$E$217,IF(D170=400,'A.0_Tablas salariales SC'!$E$218,IF(D170=450,'A.0_Tablas salariales SC'!$E$219,IF(D170=401,'A.0_Tablas salariales SC'!$E$220,IF(D170=451,'A.0_Tablas salariales SC'!$E$221,'A.0_Tablas salariales SC'!$E$215)))))))</f>
        <v>0.34420000000000001</v>
      </c>
      <c r="R170" s="183">
        <f t="shared" si="19"/>
        <v>908.96680200000003</v>
      </c>
      <c r="S170" s="183">
        <f t="shared" si="20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'A.1.0_TablaAntigüedad_Sub'!K171</f>
        <v>128</v>
      </c>
      <c r="I171" s="183">
        <f>'A.1.0_TablaAntigüedad_Sub'!Y171</f>
        <v>658.71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9880.6500000000015</v>
      </c>
      <c r="O171" s="183">
        <f>'A.0_Tablas salariales SC'!$K$82</f>
        <v>36674.160000000003</v>
      </c>
      <c r="P171" s="183">
        <f>(O171+N171)*G171+'A.0_Tablas salariales SC'!$R$82*(100%-G171)</f>
        <v>2640.81</v>
      </c>
      <c r="Q171" s="184">
        <f>IF(D171=100,'A.0_Tablas salariales SC'!$E$215,IF(D171=150,'A.0_Tablas salariales SC'!$E$216,IF(D171=189,'A.0_Tablas salariales SC'!$E$217,IF(D171=400,'A.0_Tablas salariales SC'!$E$218,IF(D171=450,'A.0_Tablas salariales SC'!$E$219,IF(D171=401,'A.0_Tablas salariales SC'!$E$220,IF(D171=451,'A.0_Tablas salariales SC'!$E$221,'A.0_Tablas salariales SC'!$E$215)))))))</f>
        <v>0.34420000000000001</v>
      </c>
      <c r="R171" s="183">
        <f t="shared" si="19"/>
        <v>908.96680200000003</v>
      </c>
      <c r="S171" s="183">
        <f t="shared" si="20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'A.1.0_TablaAntigüedad_Sub'!K172</f>
        <v>128</v>
      </c>
      <c r="I172" s="183">
        <f>'A.1.0_TablaAntigüedad_Sub'!Y172</f>
        <v>658.71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9880.6500000000015</v>
      </c>
      <c r="O172" s="183">
        <f>'A.0_Tablas salariales SC'!$K$82</f>
        <v>36674.160000000003</v>
      </c>
      <c r="P172" s="183">
        <f>(O172+N172)*G172+'A.0_Tablas salariales SC'!$R$82*(100%-G172)</f>
        <v>2640.81</v>
      </c>
      <c r="Q172" s="184">
        <f>IF(D172=100,'A.0_Tablas salariales SC'!$E$215,IF(D172=150,'A.0_Tablas salariales SC'!$E$216,IF(D172=189,'A.0_Tablas salariales SC'!$E$217,IF(D172=400,'A.0_Tablas salariales SC'!$E$218,IF(D172=450,'A.0_Tablas salariales SC'!$E$219,IF(D172=401,'A.0_Tablas salariales SC'!$E$220,IF(D172=451,'A.0_Tablas salariales SC'!$E$221,'A.0_Tablas salariales SC'!$E$215)))))))</f>
        <v>0.34420000000000001</v>
      </c>
      <c r="R172" s="183">
        <f t="shared" si="10"/>
        <v>908.96680200000003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7"/>
      <c r="Q173" s="174"/>
      <c r="R173" s="174"/>
      <c r="S173" s="174"/>
      <c r="T173" s="180">
        <f>SUM(S164:S172)</f>
        <v>0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'A.1.0_TablaAntigüedad_Sub'!K174</f>
        <v>128</v>
      </c>
      <c r="I174" s="183">
        <f>'A.1.0_TablaAntigüedad_Sub'!Y174</f>
        <v>519.02</v>
      </c>
      <c r="J174" s="183"/>
      <c r="K174" s="183"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7785.2999999999993</v>
      </c>
      <c r="O174" s="183">
        <f>'A.0_Tablas salariales SC'!K74</f>
        <v>23767.560000000005</v>
      </c>
      <c r="P174" s="183">
        <f>(O174+N174)*G174+'A.0_Tablas salariales SC'!$R$82*(100%-G174)</f>
        <v>2640.81</v>
      </c>
      <c r="Q174" s="184">
        <f>IF(D174=100,'A.0_Tablas salariales SC'!$E$215,IF(D174=150,'A.0_Tablas salariales SC'!$E$216,IF(D174=189,'A.0_Tablas salariales SC'!$E$217,IF(D174=400,'A.0_Tablas salariales SC'!$E$218,IF(D174=450,'A.0_Tablas salariales SC'!$E$219,IF(D174=401,'A.0_Tablas salariales SC'!$E$220,IF(D174=451,'A.0_Tablas salariales SC'!$E$221,'A.0_Tablas salariales SC'!$E$215)))))))</f>
        <v>0.34420000000000001</v>
      </c>
      <c r="R174" s="183">
        <f t="shared" ref="R174" si="21">Q174*P174</f>
        <v>908.96680200000003</v>
      </c>
      <c r="S174" s="183">
        <f t="shared" ref="S174" si="22">(R174+P174)*A174</f>
        <v>0</v>
      </c>
      <c r="T174" s="179"/>
    </row>
    <row r="175" spans="1:20">
      <c r="A175" s="508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2">
        <f>'A.1. Plantilla_Subrogacion'!F175</f>
        <v>0</v>
      </c>
      <c r="H175" s="181">
        <f>'A.1.0_TablaAntigüedad_Sub'!K175</f>
        <v>128</v>
      </c>
      <c r="I175" s="183">
        <f>'A.1.0_TablaAntigüedad_Sub'!Y175</f>
        <v>519.02</v>
      </c>
      <c r="J175" s="183"/>
      <c r="K175" s="183"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7785.2999999999993</v>
      </c>
      <c r="O175" s="183">
        <f>'A.0_Tablas salariales SC'!K75</f>
        <v>24708.36</v>
      </c>
      <c r="P175" s="183">
        <f>(O175+N175)*G175+'A.0_Tablas salariales SC'!$R$82*(100%-G175)</f>
        <v>2640.81</v>
      </c>
      <c r="Q175" s="184">
        <f>IF(D175=100,'A.0_Tablas salariales SC'!$E$215,IF(D175=150,'A.0_Tablas salariales SC'!$E$216,IF(D175=189,'A.0_Tablas salariales SC'!$E$217,IF(D175=400,'A.0_Tablas salariales SC'!$E$218,IF(D175=450,'A.0_Tablas salariales SC'!$E$219,IF(D175=401,'A.0_Tablas salariales SC'!$E$220,IF(D175=451,'A.0_Tablas salariales SC'!$E$221,'A.0_Tablas salariales SC'!$E$215)))))))</f>
        <v>0.34420000000000001</v>
      </c>
      <c r="R175" s="183">
        <f t="shared" si="10"/>
        <v>908.96680200000003</v>
      </c>
      <c r="S175" s="183">
        <f t="shared" si="11"/>
        <v>0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'A.1.0_TablaAntigüedad_Sub'!K176</f>
        <v>128</v>
      </c>
      <c r="I176" s="183">
        <f>'A.1.0_TablaAntigüedad_Sub'!Y176</f>
        <v>519.02</v>
      </c>
      <c r="J176" s="183"/>
      <c r="K176" s="183"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7785.2999999999993</v>
      </c>
      <c r="O176" s="183">
        <f>'A.0_Tablas salariales SC'!K77</f>
        <v>27920.01</v>
      </c>
      <c r="P176" s="183">
        <f>(O176+N176)*G176+'A.0_Tablas salariales SC'!$R$82*(100%-G176)</f>
        <v>2640.81</v>
      </c>
      <c r="Q176" s="184">
        <f>IF(D176=100,'A.0_Tablas salariales SC'!$E$215,IF(D176=150,'A.0_Tablas salariales SC'!$E$216,IF(D176=189,'A.0_Tablas salariales SC'!$E$217,IF(D176=400,'A.0_Tablas salariales SC'!$E$218,IF(D176=450,'A.0_Tablas salariales SC'!$E$219,IF(D176=401,'A.0_Tablas salariales SC'!$E$220,IF(D176=451,'A.0_Tablas salariales SC'!$E$221,'A.0_Tablas salariales SC'!$E$215)))))))</f>
        <v>0.34420000000000001</v>
      </c>
      <c r="R176" s="183">
        <f t="shared" ref="R176" si="23">Q176*P176</f>
        <v>908.96680200000003</v>
      </c>
      <c r="S176" s="183">
        <f t="shared" ref="S176" si="24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0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'A.1.0_TablaAntigüedad_Sub'!K178</f>
        <v>128</v>
      </c>
      <c r="I178" s="183">
        <f>'A.1.0_TablaAntigüedad_Sub'!Y178</f>
        <v>480.93</v>
      </c>
      <c r="J178" s="183"/>
      <c r="K178" s="183"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7213.95</v>
      </c>
      <c r="O178" s="183">
        <f>'A.0_Tablas salariales SC'!K66</f>
        <v>23580.360000000004</v>
      </c>
      <c r="P178" s="183">
        <f>(O178+N178)*G178+'A.0_Tablas salariales SC'!$R$82*(100%-G178)</f>
        <v>2640.81</v>
      </c>
      <c r="Q178" s="184">
        <f>IF(D178=100,'A.0_Tablas salariales SC'!$E$215,IF(D178=150,'A.0_Tablas salariales SC'!$E$216,IF(D178=189,'A.0_Tablas salariales SC'!$E$217,IF(D178=400,'A.0_Tablas salariales SC'!$E$218,IF(D178=450,'A.0_Tablas salariales SC'!$E$219,IF(D178=401,'A.0_Tablas salariales SC'!$E$220,IF(D178=451,'A.0_Tablas salariales SC'!$E$221,'A.0_Tablas salariales SC'!$E$215)))))))</f>
        <v>0.34420000000000001</v>
      </c>
      <c r="R178" s="183">
        <f t="shared" ref="R178:R179" si="25">Q178*P178</f>
        <v>908.96680200000003</v>
      </c>
      <c r="S178" s="183">
        <f t="shared" ref="S178:S179" si="26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'A.1.0_TablaAntigüedad_Sub'!K179</f>
        <v>128</v>
      </c>
      <c r="I179" s="183">
        <f>'A.1.0_TablaAntigüedad_Sub'!Y179</f>
        <v>480.93</v>
      </c>
      <c r="J179" s="183"/>
      <c r="K179" s="183"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7213.95</v>
      </c>
      <c r="O179" s="183">
        <f>'A.0_Tablas salariales SC'!K65</f>
        <v>22832.460000000003</v>
      </c>
      <c r="P179" s="183">
        <f>(O179+N179)*G179+'A.0_Tablas salariales SC'!$R$82*(100%-G179)</f>
        <v>2640.81</v>
      </c>
      <c r="Q179" s="184">
        <f>IF(D179=100,'A.0_Tablas salariales SC'!$E$215,IF(D179=150,'A.0_Tablas salariales SC'!$E$216,IF(D179=189,'A.0_Tablas salariales SC'!$E$217,IF(D179=400,'A.0_Tablas salariales SC'!$E$218,IF(D179=450,'A.0_Tablas salariales SC'!$E$219,IF(D179=401,'A.0_Tablas salariales SC'!$E$220,IF(D179=451,'A.0_Tablas salariales SC'!$E$221,'A.0_Tablas salariales SC'!$E$215)))))))</f>
        <v>0.34420000000000001</v>
      </c>
      <c r="R179" s="183">
        <f t="shared" si="25"/>
        <v>908.96680200000003</v>
      </c>
      <c r="S179" s="183">
        <f t="shared" si="26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0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97" priority="21" operator="equal">
      <formula>0</formula>
    </cfRule>
  </conditionalFormatting>
  <conditionalFormatting sqref="A139:K139">
    <cfRule type="cellIs" dxfId="96" priority="20" operator="equal">
      <formula>0</formula>
    </cfRule>
  </conditionalFormatting>
  <conditionalFormatting sqref="G5:K12 G14:K85 G87:K113 G153:K162 G164:K172 G174:K176">
    <cfRule type="cellIs" dxfId="95" priority="23" operator="equal">
      <formula>0</formula>
    </cfRule>
  </conditionalFormatting>
  <conditionalFormatting sqref="G115:K138 G140:K151">
    <cfRule type="cellIs" dxfId="94" priority="28" operator="equal">
      <formula>0</formula>
    </cfRule>
  </conditionalFormatting>
  <conditionalFormatting sqref="G178:S179">
    <cfRule type="cellIs" dxfId="93" priority="1" operator="equal">
      <formula>0</formula>
    </cfRule>
  </conditionalFormatting>
  <conditionalFormatting sqref="L5:S176">
    <cfRule type="cellIs" dxfId="92" priority="7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E41E-8B54-4754-9363-5D535539B20D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4" sqref="M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950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951</v>
      </c>
      <c r="I3" s="241" t="s">
        <v>952</v>
      </c>
      <c r="J3" s="241" t="s">
        <v>953</v>
      </c>
      <c r="K3" s="241" t="s">
        <v>1003</v>
      </c>
      <c r="L3" s="241" t="s">
        <v>1103</v>
      </c>
      <c r="M3" s="241" t="s">
        <v>954</v>
      </c>
      <c r="N3" s="241" t="s">
        <v>955</v>
      </c>
      <c r="O3" s="241" t="s">
        <v>956</v>
      </c>
      <c r="P3" s="241" t="s">
        <v>957</v>
      </c>
      <c r="Q3" s="241" t="s">
        <v>958</v>
      </c>
      <c r="R3" s="241" t="s">
        <v>959</v>
      </c>
      <c r="S3" s="241" t="s">
        <v>960</v>
      </c>
      <c r="T3" s="241" t="s">
        <v>961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L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M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2">
        <f>'A.1. Plantilla_Subrogacion'!F5</f>
        <v>0</v>
      </c>
      <c r="H5" s="181">
        <f>'A.1.0_TablaAntigüedad_Sub'!L5</f>
        <v>129</v>
      </c>
      <c r="I5" s="183">
        <f>'A.1.0_TablaAntigüedad_Sub'!Z5</f>
        <v>502.58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7538.7</v>
      </c>
      <c r="O5" s="183">
        <f>'A.0_Tablas salariales SC'!$K$90</f>
        <v>23156.259999999995</v>
      </c>
      <c r="P5" s="183">
        <f>(O5+N5)*G5+'A.0_Tablas salariales SC'!$R$109*(100%-G5)</f>
        <v>2993.71</v>
      </c>
      <c r="Q5" s="184">
        <f>IF(D5=100,'A.0_Tablas salariales SC'!$F$215,IF(D5=150,'A.0_Tablas salariales SC'!$F$216,IF(D5=189,'A.0_Tablas salariales SC'!$F$217,IF(D5=400,'A.0_Tablas salariales SC'!$F$218,IF(D5=450,'A.0_Tablas salariales SC'!$F$219,IF(D5=401,'A.0_Tablas salariales SC'!$F$220,IF(D5=451,'A.0_Tablas salariales SC'!$F$221,'A.0_Tablas salariales SC'!$F$215)))))))</f>
        <v>0.34499999999999997</v>
      </c>
      <c r="R5" s="183">
        <f>Q5*P5</f>
        <v>1032.8299499999998</v>
      </c>
      <c r="S5" s="183">
        <f>(R5+P5)*A5</f>
        <v>0</v>
      </c>
      <c r="T5" s="179"/>
    </row>
    <row r="6" spans="1:20">
      <c r="A6" s="508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2">
        <f>'A.1. Plantilla_Subrogacion'!F6</f>
        <v>0</v>
      </c>
      <c r="H6" s="181">
        <f>'A.1.0_TablaAntigüedad_Sub'!L6</f>
        <v>129</v>
      </c>
      <c r="I6" s="183">
        <f>'A.1.0_TablaAntigüedad_Sub'!Z6</f>
        <v>502.58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7538.7</v>
      </c>
      <c r="O6" s="183">
        <f>'A.0_Tablas salariales SC'!$K$90</f>
        <v>23156.259999999995</v>
      </c>
      <c r="P6" s="183">
        <f>(O6+N6)*G6+'A.0_Tablas salariales SC'!$R$109*(100%-G6)</f>
        <v>2993.71</v>
      </c>
      <c r="Q6" s="184">
        <f>IF(D6=100,'A.0_Tablas salariales SC'!$F$215,IF(D6=150,'A.0_Tablas salariales SC'!$F$216,IF(D6=189,'A.0_Tablas salariales SC'!$F$217,IF(D6=400,'A.0_Tablas salariales SC'!$F$218,IF(D6=450,'A.0_Tablas salariales SC'!$F$219,IF(D6=401,'A.0_Tablas salariales SC'!$F$220,IF(D6=451,'A.0_Tablas salariales SC'!$F$221,'A.0_Tablas salariales SC'!$F$215)))))))</f>
        <v>0.34499999999999997</v>
      </c>
      <c r="R6" s="183">
        <f t="shared" ref="R6:R113" si="1">Q6*P6</f>
        <v>1032.8299499999998</v>
      </c>
      <c r="S6" s="183">
        <f t="shared" ref="S6:S113" si="2">(R6+P6)*A6</f>
        <v>0</v>
      </c>
      <c r="T6" s="179"/>
    </row>
    <row r="7" spans="1:20">
      <c r="A7" s="508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2">
        <f>'A.1. Plantilla_Subrogacion'!F7</f>
        <v>0</v>
      </c>
      <c r="H7" s="181">
        <f>'A.1.0_TablaAntigüedad_Sub'!L7</f>
        <v>129</v>
      </c>
      <c r="I7" s="183">
        <f>'A.1.0_TablaAntigüedad_Sub'!Z7</f>
        <v>502.58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7538.7</v>
      </c>
      <c r="O7" s="183">
        <f>'A.0_Tablas salariales SC'!$K$90</f>
        <v>23156.259999999995</v>
      </c>
      <c r="P7" s="183">
        <f>(O7+N7)*G7+'A.0_Tablas salariales SC'!$R$109*(100%-G7)</f>
        <v>2993.71</v>
      </c>
      <c r="Q7" s="184">
        <f>IF(D7=100,'A.0_Tablas salariales SC'!$F$215,IF(D7=150,'A.0_Tablas salariales SC'!$F$216,IF(D7=189,'A.0_Tablas salariales SC'!$F$217,IF(D7=400,'A.0_Tablas salariales SC'!$F$218,IF(D7=450,'A.0_Tablas salariales SC'!$F$219,IF(D7=401,'A.0_Tablas salariales SC'!$F$220,IF(D7=451,'A.0_Tablas salariales SC'!$F$221,'A.0_Tablas salariales SC'!$F$215)))))))</f>
        <v>0.34499999999999997</v>
      </c>
      <c r="R7" s="183">
        <f t="shared" si="1"/>
        <v>1032.8299499999998</v>
      </c>
      <c r="S7" s="183">
        <f t="shared" si="2"/>
        <v>0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'A.1.0_TablaAntigüedad_Sub'!L8</f>
        <v>129</v>
      </c>
      <c r="I8" s="183">
        <f>'A.1.0_TablaAntigüedad_Sub'!Z8</f>
        <v>502.58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7538.7</v>
      </c>
      <c r="O8" s="183">
        <f>'A.0_Tablas salariales SC'!$K$90</f>
        <v>23156.259999999995</v>
      </c>
      <c r="P8" s="183">
        <f>(O8+N8)*G8+'A.0_Tablas salariales SC'!$R$109*(100%-G8)</f>
        <v>2993.71</v>
      </c>
      <c r="Q8" s="184">
        <f>IF(D8=100,'A.0_Tablas salariales SC'!$F$215,IF(D8=150,'A.0_Tablas salariales SC'!$F$216,IF(D8=189,'A.0_Tablas salariales SC'!$F$217,IF(D8=400,'A.0_Tablas salariales SC'!$F$218,IF(D8=450,'A.0_Tablas salariales SC'!$F$219,IF(D8=401,'A.0_Tablas salariales SC'!$F$220,IF(D8=451,'A.0_Tablas salariales SC'!$F$221,'A.0_Tablas salariales SC'!$F$215)))))))</f>
        <v>0.34499999999999997</v>
      </c>
      <c r="R8" s="183">
        <f t="shared" ref="R8:R12" si="3">Q8*P8</f>
        <v>1032.8299499999998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'A.1.0_TablaAntigüedad_Sub'!L9</f>
        <v>129</v>
      </c>
      <c r="I9" s="183">
        <f>'A.1.0_TablaAntigüedad_Sub'!Z9</f>
        <v>502.58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7538.7</v>
      </c>
      <c r="O9" s="183">
        <f>'A.0_Tablas salariales SC'!$K$90</f>
        <v>23156.259999999995</v>
      </c>
      <c r="P9" s="183">
        <f>(O9+N9)*G9+'A.0_Tablas salariales SC'!$R$109*(100%-G9)</f>
        <v>2993.71</v>
      </c>
      <c r="Q9" s="184">
        <f>IF(D9=100,'A.0_Tablas salariales SC'!$F$215,IF(D9=150,'A.0_Tablas salariales SC'!$F$216,IF(D9=189,'A.0_Tablas salariales SC'!$F$217,IF(D9=400,'A.0_Tablas salariales SC'!$F$218,IF(D9=450,'A.0_Tablas salariales SC'!$F$219,IF(D9=401,'A.0_Tablas salariales SC'!$F$220,IF(D9=451,'A.0_Tablas salariales SC'!$F$221,'A.0_Tablas salariales SC'!$F$215)))))))</f>
        <v>0.34499999999999997</v>
      </c>
      <c r="R9" s="183">
        <f t="shared" si="3"/>
        <v>1032.8299499999998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'A.1.0_TablaAntigüedad_Sub'!L10</f>
        <v>129</v>
      </c>
      <c r="I10" s="183">
        <f>'A.1.0_TablaAntigüedad_Sub'!Z10</f>
        <v>502.58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7538.7</v>
      </c>
      <c r="O10" s="183">
        <f>'A.0_Tablas salariales SC'!$K$90</f>
        <v>23156.259999999995</v>
      </c>
      <c r="P10" s="183">
        <f>(O10+N10)*G10+'A.0_Tablas salariales SC'!$R$109*(100%-G10)</f>
        <v>2993.71</v>
      </c>
      <c r="Q10" s="184">
        <f>IF(D10=100,'A.0_Tablas salariales SC'!$F$215,IF(D10=150,'A.0_Tablas salariales SC'!$F$216,IF(D10=189,'A.0_Tablas salariales SC'!$F$217,IF(D10=400,'A.0_Tablas salariales SC'!$F$218,IF(D10=450,'A.0_Tablas salariales SC'!$F$219,IF(D10=401,'A.0_Tablas salariales SC'!$F$220,IF(D10=451,'A.0_Tablas salariales SC'!$F$221,'A.0_Tablas salariales SC'!$F$215)))))))</f>
        <v>0.34499999999999997</v>
      </c>
      <c r="R10" s="183">
        <f t="shared" si="3"/>
        <v>1032.8299499999998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'A.1.0_TablaAntigüedad_Sub'!L11</f>
        <v>129</v>
      </c>
      <c r="I11" s="183">
        <f>'A.1.0_TablaAntigüedad_Sub'!Z11</f>
        <v>502.58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7538.7</v>
      </c>
      <c r="O11" s="183">
        <f>'A.0_Tablas salariales SC'!$K$90</f>
        <v>23156.259999999995</v>
      </c>
      <c r="P11" s="183">
        <f>(O11+N11)*G11+'A.0_Tablas salariales SC'!$R$109*(100%-G11)</f>
        <v>2993.71</v>
      </c>
      <c r="Q11" s="184">
        <f>IF(D11=100,'A.0_Tablas salariales SC'!$F$215,IF(D11=150,'A.0_Tablas salariales SC'!$F$216,IF(D11=189,'A.0_Tablas salariales SC'!$F$217,IF(D11=400,'A.0_Tablas salariales SC'!$F$218,IF(D11=450,'A.0_Tablas salariales SC'!$F$219,IF(D11=401,'A.0_Tablas salariales SC'!$F$220,IF(D11=451,'A.0_Tablas salariales SC'!$F$221,'A.0_Tablas salariales SC'!$F$215)))))))</f>
        <v>0.34499999999999997</v>
      </c>
      <c r="R11" s="183">
        <f t="shared" si="3"/>
        <v>1032.8299499999998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'A.1.0_TablaAntigüedad_Sub'!L12</f>
        <v>129</v>
      </c>
      <c r="I12" s="183">
        <f>'A.1.0_TablaAntigüedad_Sub'!Z12</f>
        <v>502.58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7538.7</v>
      </c>
      <c r="O12" s="183">
        <f>'A.0_Tablas salariales SC'!$K$90</f>
        <v>23156.259999999995</v>
      </c>
      <c r="P12" s="183">
        <f>(O12+N12)*G12+'A.0_Tablas salariales SC'!$R$109*(100%-G12)</f>
        <v>2993.71</v>
      </c>
      <c r="Q12" s="184">
        <f>IF(D12=100,'A.0_Tablas salariales SC'!$F$215,IF(D12=150,'A.0_Tablas salariales SC'!$F$216,IF(D12=189,'A.0_Tablas salariales SC'!$F$217,IF(D12=400,'A.0_Tablas salariales SC'!$F$218,IF(D12=450,'A.0_Tablas salariales SC'!$F$219,IF(D12=401,'A.0_Tablas salariales SC'!$F$220,IF(D12=451,'A.0_Tablas salariales SC'!$F$221,'A.0_Tablas salariales SC'!$F$215)))))))</f>
        <v>0.34499999999999997</v>
      </c>
      <c r="R12" s="183">
        <f t="shared" si="3"/>
        <v>1032.8299499999998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0</v>
      </c>
    </row>
    <row r="14" spans="1:20">
      <c r="A14" s="508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2">
        <f>'A.1. Plantilla_Subrogacion'!F14</f>
        <v>0</v>
      </c>
      <c r="H14" s="181">
        <f>'A.1.0_TablaAntigüedad_Sub'!L14</f>
        <v>129</v>
      </c>
      <c r="I14" s="183">
        <f>'A.1.0_TablaAntigüedad_Sub'!Z14</f>
        <v>502.58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7538.7</v>
      </c>
      <c r="O14" s="183">
        <f>'A.0_Tablas salariales SC'!$K$91</f>
        <v>24309.610000000004</v>
      </c>
      <c r="P14" s="183">
        <f>(O14+N14)*G14+'A.0_Tablas salariales SC'!$R$109*(100%-G14)</f>
        <v>2993.71</v>
      </c>
      <c r="Q14" s="184">
        <f>IF(D14=100,'A.0_Tablas salariales SC'!$F$215,IF(D14=150,'A.0_Tablas salariales SC'!$F$216,IF(D14=189,'A.0_Tablas salariales SC'!$F$217,IF(D14=400,'A.0_Tablas salariales SC'!$F$218,IF(D14=450,'A.0_Tablas salariales SC'!$F$219,IF(D14=401,'A.0_Tablas salariales SC'!$F$220,IF(D14=451,'A.0_Tablas salariales SC'!$F$221,'A.0_Tablas salariales SC'!$F$215)))))))</f>
        <v>0.34499999999999997</v>
      </c>
      <c r="R14" s="183">
        <f t="shared" si="1"/>
        <v>1032.8299499999998</v>
      </c>
      <c r="S14" s="183">
        <f t="shared" si="2"/>
        <v>0</v>
      </c>
      <c r="T14" s="179"/>
    </row>
    <row r="15" spans="1:20">
      <c r="A15" s="508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2">
        <f>'A.1. Plantilla_Subrogacion'!F15</f>
        <v>0</v>
      </c>
      <c r="H15" s="181">
        <f>'A.1.0_TablaAntigüedad_Sub'!L15</f>
        <v>129</v>
      </c>
      <c r="I15" s="183">
        <f>'A.1.0_TablaAntigüedad_Sub'!Z15</f>
        <v>502.58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7538.7</v>
      </c>
      <c r="O15" s="183">
        <f>'A.0_Tablas salariales SC'!$K$91</f>
        <v>24309.610000000004</v>
      </c>
      <c r="P15" s="183">
        <f>(O15+N15)*G15+'A.0_Tablas salariales SC'!$R$109*(100%-G15)</f>
        <v>2993.71</v>
      </c>
      <c r="Q15" s="184">
        <f>IF(D15=100,'A.0_Tablas salariales SC'!$F$215,IF(D15=150,'A.0_Tablas salariales SC'!$F$216,IF(D15=189,'A.0_Tablas salariales SC'!$F$217,IF(D15=400,'A.0_Tablas salariales SC'!$F$218,IF(D15=450,'A.0_Tablas salariales SC'!$F$219,IF(D15=401,'A.0_Tablas salariales SC'!$F$220,IF(D15=451,'A.0_Tablas salariales SC'!$F$221,'A.0_Tablas salariales SC'!$F$215)))))))</f>
        <v>0.34499999999999997</v>
      </c>
      <c r="R15" s="183">
        <f t="shared" si="1"/>
        <v>1032.8299499999998</v>
      </c>
      <c r="S15" s="183">
        <f t="shared" si="2"/>
        <v>0</v>
      </c>
      <c r="T15" s="179"/>
    </row>
    <row r="16" spans="1:20">
      <c r="A16" s="508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2">
        <f>'A.1. Plantilla_Subrogacion'!F16</f>
        <v>0</v>
      </c>
      <c r="H16" s="181">
        <f>'A.1.0_TablaAntigüedad_Sub'!L16</f>
        <v>129</v>
      </c>
      <c r="I16" s="183">
        <f>'A.1.0_TablaAntigüedad_Sub'!Z16</f>
        <v>502.58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7538.7</v>
      </c>
      <c r="O16" s="183">
        <f>'A.0_Tablas salariales SC'!$K$91</f>
        <v>24309.610000000004</v>
      </c>
      <c r="P16" s="183">
        <f>(O16+N16)*G16+'A.0_Tablas salariales SC'!$R$109*(100%-G16)</f>
        <v>2993.71</v>
      </c>
      <c r="Q16" s="184">
        <f>IF(D16=100,'A.0_Tablas salariales SC'!$F$215,IF(D16=150,'A.0_Tablas salariales SC'!$F$216,IF(D16=189,'A.0_Tablas salariales SC'!$F$217,IF(D16=400,'A.0_Tablas salariales SC'!$F$218,IF(D16=450,'A.0_Tablas salariales SC'!$F$219,IF(D16=401,'A.0_Tablas salariales SC'!$F$220,IF(D16=451,'A.0_Tablas salariales SC'!$F$221,'A.0_Tablas salariales SC'!$F$215)))))))</f>
        <v>0.34499999999999997</v>
      </c>
      <c r="R16" s="183">
        <f t="shared" si="1"/>
        <v>1032.8299499999998</v>
      </c>
      <c r="S16" s="183">
        <f t="shared" si="2"/>
        <v>0</v>
      </c>
      <c r="T16" s="179"/>
    </row>
    <row r="17" spans="1:20">
      <c r="A17" s="508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2">
        <f>'A.1. Plantilla_Subrogacion'!F17</f>
        <v>0</v>
      </c>
      <c r="H17" s="181">
        <f>'A.1.0_TablaAntigüedad_Sub'!L17</f>
        <v>129</v>
      </c>
      <c r="I17" s="183">
        <f>'A.1.0_TablaAntigüedad_Sub'!Z17</f>
        <v>502.58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7538.7</v>
      </c>
      <c r="O17" s="183">
        <f>'A.0_Tablas salariales SC'!$K$91</f>
        <v>24309.610000000004</v>
      </c>
      <c r="P17" s="183">
        <f>(O17+N17)*G17+'A.0_Tablas salariales SC'!$R$109*(100%-G17)</f>
        <v>2993.71</v>
      </c>
      <c r="Q17" s="184">
        <f>IF(D17=100,'A.0_Tablas salariales SC'!$F$215,IF(D17=150,'A.0_Tablas salariales SC'!$F$216,IF(D17=189,'A.0_Tablas salariales SC'!$F$217,IF(D17=400,'A.0_Tablas salariales SC'!$F$218,IF(D17=450,'A.0_Tablas salariales SC'!$F$219,IF(D17=401,'A.0_Tablas salariales SC'!$F$220,IF(D17=451,'A.0_Tablas salariales SC'!$F$221,'A.0_Tablas salariales SC'!$F$215)))))))</f>
        <v>0.34499999999999997</v>
      </c>
      <c r="R17" s="183">
        <f t="shared" si="1"/>
        <v>1032.8299499999998</v>
      </c>
      <c r="S17" s="183">
        <f t="shared" si="2"/>
        <v>0</v>
      </c>
      <c r="T17" s="179"/>
    </row>
    <row r="18" spans="1:20">
      <c r="A18" s="508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2">
        <f>'A.1. Plantilla_Subrogacion'!F18</f>
        <v>0</v>
      </c>
      <c r="H18" s="181">
        <f>'A.1.0_TablaAntigüedad_Sub'!L18</f>
        <v>129</v>
      </c>
      <c r="I18" s="183">
        <f>'A.1.0_TablaAntigüedad_Sub'!Z18</f>
        <v>502.58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7538.7</v>
      </c>
      <c r="O18" s="183">
        <f>'A.0_Tablas salariales SC'!$K$91</f>
        <v>24309.610000000004</v>
      </c>
      <c r="P18" s="183">
        <f>(O18+N18)*G18+'A.0_Tablas salariales SC'!$R$109*(100%-G18)</f>
        <v>2993.71</v>
      </c>
      <c r="Q18" s="184">
        <f>IF(D18=100,'A.0_Tablas salariales SC'!$F$215,IF(D18=150,'A.0_Tablas salariales SC'!$F$216,IF(D18=189,'A.0_Tablas salariales SC'!$F$217,IF(D18=400,'A.0_Tablas salariales SC'!$F$218,IF(D18=450,'A.0_Tablas salariales SC'!$F$219,IF(D18=401,'A.0_Tablas salariales SC'!$F$220,IF(D18=451,'A.0_Tablas salariales SC'!$F$221,'A.0_Tablas salariales SC'!$F$215)))))))</f>
        <v>0.34499999999999997</v>
      </c>
      <c r="R18" s="183">
        <f t="shared" si="1"/>
        <v>1032.8299499999998</v>
      </c>
      <c r="S18" s="183">
        <f t="shared" si="2"/>
        <v>0</v>
      </c>
      <c r="T18" s="179"/>
    </row>
    <row r="19" spans="1:20">
      <c r="A19" s="508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2">
        <f>'A.1. Plantilla_Subrogacion'!F19</f>
        <v>0</v>
      </c>
      <c r="H19" s="181">
        <f>'A.1.0_TablaAntigüedad_Sub'!L19</f>
        <v>129</v>
      </c>
      <c r="I19" s="183">
        <f>'A.1.0_TablaAntigüedad_Sub'!Z19</f>
        <v>502.58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7538.7</v>
      </c>
      <c r="O19" s="183">
        <f>'A.0_Tablas salariales SC'!$K$91</f>
        <v>24309.610000000004</v>
      </c>
      <c r="P19" s="183">
        <f>(O19+N19)*G19+'A.0_Tablas salariales SC'!$R$109*(100%-G19)</f>
        <v>2993.71</v>
      </c>
      <c r="Q19" s="184">
        <f>IF(D19=100,'A.0_Tablas salariales SC'!$F$215,IF(D19=150,'A.0_Tablas salariales SC'!$F$216,IF(D19=189,'A.0_Tablas salariales SC'!$F$217,IF(D19=400,'A.0_Tablas salariales SC'!$F$218,IF(D19=450,'A.0_Tablas salariales SC'!$F$219,IF(D19=401,'A.0_Tablas salariales SC'!$F$220,IF(D19=451,'A.0_Tablas salariales SC'!$F$221,'A.0_Tablas salariales SC'!$F$215)))))))</f>
        <v>0.34499999999999997</v>
      </c>
      <c r="R19" s="183">
        <f t="shared" si="1"/>
        <v>1032.8299499999998</v>
      </c>
      <c r="S19" s="183">
        <f t="shared" si="2"/>
        <v>0</v>
      </c>
      <c r="T19" s="179"/>
    </row>
    <row r="20" spans="1:20">
      <c r="A20" s="508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2">
        <f>'A.1. Plantilla_Subrogacion'!F20</f>
        <v>0</v>
      </c>
      <c r="H20" s="181">
        <f>'A.1.0_TablaAntigüedad_Sub'!L20</f>
        <v>129</v>
      </c>
      <c r="I20" s="183">
        <f>'A.1.0_TablaAntigüedad_Sub'!Z20</f>
        <v>502.58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7538.7</v>
      </c>
      <c r="O20" s="183">
        <f>'A.0_Tablas salariales SC'!$K$91</f>
        <v>24309.610000000004</v>
      </c>
      <c r="P20" s="183">
        <f>(O20+N20)*G20+'A.0_Tablas salariales SC'!$R$109*(100%-G20)</f>
        <v>2993.71</v>
      </c>
      <c r="Q20" s="184">
        <f>IF(D20=100,'A.0_Tablas salariales SC'!$F$215,IF(D20=150,'A.0_Tablas salariales SC'!$F$216,IF(D20=189,'A.0_Tablas salariales SC'!$F$217,IF(D20=400,'A.0_Tablas salariales SC'!$F$218,IF(D20=450,'A.0_Tablas salariales SC'!$F$219,IF(D20=401,'A.0_Tablas salariales SC'!$F$220,IF(D20=451,'A.0_Tablas salariales SC'!$F$221,'A.0_Tablas salariales SC'!$F$215)))))))</f>
        <v>0.34499999999999997</v>
      </c>
      <c r="R20" s="183">
        <f t="shared" si="1"/>
        <v>1032.8299499999998</v>
      </c>
      <c r="S20" s="183">
        <f t="shared" si="2"/>
        <v>0</v>
      </c>
      <c r="T20" s="179"/>
    </row>
    <row r="21" spans="1:20">
      <c r="A21" s="508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2">
        <f>'A.1. Plantilla_Subrogacion'!F21</f>
        <v>0</v>
      </c>
      <c r="H21" s="181">
        <f>'A.1.0_TablaAntigüedad_Sub'!L21</f>
        <v>129</v>
      </c>
      <c r="I21" s="183">
        <f>'A.1.0_TablaAntigüedad_Sub'!Z21</f>
        <v>502.58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7538.7</v>
      </c>
      <c r="O21" s="183">
        <f>'A.0_Tablas salariales SC'!$K$91</f>
        <v>24309.610000000004</v>
      </c>
      <c r="P21" s="183">
        <f>(O21+N21)*G21+'A.0_Tablas salariales SC'!$R$109*(100%-G21)</f>
        <v>2993.71</v>
      </c>
      <c r="Q21" s="184">
        <f>IF(D21=100,'A.0_Tablas salariales SC'!$F$215,IF(D21=150,'A.0_Tablas salariales SC'!$F$216,IF(D21=189,'A.0_Tablas salariales SC'!$F$217,IF(D21=400,'A.0_Tablas salariales SC'!$F$218,IF(D21=450,'A.0_Tablas salariales SC'!$F$219,IF(D21=401,'A.0_Tablas salariales SC'!$F$220,IF(D21=451,'A.0_Tablas salariales SC'!$F$221,'A.0_Tablas salariales SC'!$F$215)))))))</f>
        <v>0.34499999999999997</v>
      </c>
      <c r="R21" s="183">
        <f t="shared" si="1"/>
        <v>1032.8299499999998</v>
      </c>
      <c r="S21" s="183">
        <f t="shared" si="2"/>
        <v>0</v>
      </c>
      <c r="T21" s="179"/>
    </row>
    <row r="22" spans="1:20">
      <c r="A22" s="508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2">
        <f>'A.1. Plantilla_Subrogacion'!F22</f>
        <v>0</v>
      </c>
      <c r="H22" s="181">
        <f>'A.1.0_TablaAntigüedad_Sub'!L22</f>
        <v>129</v>
      </c>
      <c r="I22" s="183">
        <f>'A.1.0_TablaAntigüedad_Sub'!Z22</f>
        <v>502.58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7538.7</v>
      </c>
      <c r="O22" s="183">
        <f>'A.0_Tablas salariales SC'!$K$91</f>
        <v>24309.610000000004</v>
      </c>
      <c r="P22" s="183">
        <f>(O22+N22)*G22+'A.0_Tablas salariales SC'!$R$109*(100%-G22)</f>
        <v>2993.71</v>
      </c>
      <c r="Q22" s="184">
        <f>IF(D22=100,'A.0_Tablas salariales SC'!$F$215,IF(D22=150,'A.0_Tablas salariales SC'!$F$216,IF(D22=189,'A.0_Tablas salariales SC'!$F$217,IF(D22=400,'A.0_Tablas salariales SC'!$F$218,IF(D22=450,'A.0_Tablas salariales SC'!$F$219,IF(D22=401,'A.0_Tablas salariales SC'!$F$220,IF(D22=451,'A.0_Tablas salariales SC'!$F$221,'A.0_Tablas salariales SC'!$F$215)))))))</f>
        <v>0.34499999999999997</v>
      </c>
      <c r="R22" s="183">
        <f t="shared" si="1"/>
        <v>1032.8299499999998</v>
      </c>
      <c r="S22" s="183">
        <f t="shared" si="2"/>
        <v>0</v>
      </c>
      <c r="T22" s="179"/>
    </row>
    <row r="23" spans="1:20">
      <c r="A23" s="508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2">
        <f>'A.1. Plantilla_Subrogacion'!F23</f>
        <v>0</v>
      </c>
      <c r="H23" s="181">
        <f>'A.1.0_TablaAntigüedad_Sub'!L23</f>
        <v>129</v>
      </c>
      <c r="I23" s="183">
        <f>'A.1.0_TablaAntigüedad_Sub'!Z23</f>
        <v>502.58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7538.7</v>
      </c>
      <c r="O23" s="183">
        <f>'A.0_Tablas salariales SC'!$K$91</f>
        <v>24309.610000000004</v>
      </c>
      <c r="P23" s="183">
        <f>(O23+N23)*G23+'A.0_Tablas salariales SC'!$R$109*(100%-G23)</f>
        <v>2993.71</v>
      </c>
      <c r="Q23" s="184">
        <f>IF(D23=100,'A.0_Tablas salariales SC'!$F$215,IF(D23=150,'A.0_Tablas salariales SC'!$F$216,IF(D23=189,'A.0_Tablas salariales SC'!$F$217,IF(D23=400,'A.0_Tablas salariales SC'!$F$218,IF(D23=450,'A.0_Tablas salariales SC'!$F$219,IF(D23=401,'A.0_Tablas salariales SC'!$F$220,IF(D23=451,'A.0_Tablas salariales SC'!$F$221,'A.0_Tablas salariales SC'!$F$215)))))))</f>
        <v>0.34499999999999997</v>
      </c>
      <c r="R23" s="183">
        <f t="shared" si="1"/>
        <v>1032.8299499999998</v>
      </c>
      <c r="S23" s="183">
        <f t="shared" si="2"/>
        <v>0</v>
      </c>
      <c r="T23" s="179"/>
    </row>
    <row r="24" spans="1:20">
      <c r="A24" s="508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2">
        <f>'A.1. Plantilla_Subrogacion'!F24</f>
        <v>0</v>
      </c>
      <c r="H24" s="181">
        <f>'A.1.0_TablaAntigüedad_Sub'!L24</f>
        <v>129</v>
      </c>
      <c r="I24" s="183">
        <f>'A.1.0_TablaAntigüedad_Sub'!Z24</f>
        <v>502.58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7538.7</v>
      </c>
      <c r="O24" s="183">
        <f>'A.0_Tablas salariales SC'!$K$91</f>
        <v>24309.610000000004</v>
      </c>
      <c r="P24" s="183">
        <f>(O24+N24)*G24+'A.0_Tablas salariales SC'!$R$109*(100%-G24)</f>
        <v>2993.71</v>
      </c>
      <c r="Q24" s="184">
        <f>IF(D24=100,'A.0_Tablas salariales SC'!$F$215,IF(D24=150,'A.0_Tablas salariales SC'!$F$216,IF(D24=189,'A.0_Tablas salariales SC'!$F$217,IF(D24=400,'A.0_Tablas salariales SC'!$F$218,IF(D24=450,'A.0_Tablas salariales SC'!$F$219,IF(D24=401,'A.0_Tablas salariales SC'!$F$220,IF(D24=451,'A.0_Tablas salariales SC'!$F$221,'A.0_Tablas salariales SC'!$F$215)))))))</f>
        <v>0.34499999999999997</v>
      </c>
      <c r="R24" s="183">
        <f t="shared" si="1"/>
        <v>1032.8299499999998</v>
      </c>
      <c r="S24" s="183">
        <f t="shared" si="2"/>
        <v>0</v>
      </c>
      <c r="T24" s="179"/>
    </row>
    <row r="25" spans="1:20">
      <c r="A25" s="508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2">
        <f>'A.1. Plantilla_Subrogacion'!F25</f>
        <v>0</v>
      </c>
      <c r="H25" s="181">
        <f>'A.1.0_TablaAntigüedad_Sub'!L25</f>
        <v>129</v>
      </c>
      <c r="I25" s="183">
        <f>'A.1.0_TablaAntigüedad_Sub'!Z25</f>
        <v>502.58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7538.7</v>
      </c>
      <c r="O25" s="183">
        <f>'A.0_Tablas salariales SC'!$K$91</f>
        <v>24309.610000000004</v>
      </c>
      <c r="P25" s="183">
        <f>(O25+N25)*G25+'A.0_Tablas salariales SC'!$R$109*(100%-G25)</f>
        <v>2993.71</v>
      </c>
      <c r="Q25" s="184">
        <f>IF(D25=100,'A.0_Tablas salariales SC'!$F$215,IF(D25=150,'A.0_Tablas salariales SC'!$F$216,IF(D25=189,'A.0_Tablas salariales SC'!$F$217,IF(D25=400,'A.0_Tablas salariales SC'!$F$218,IF(D25=450,'A.0_Tablas salariales SC'!$F$219,IF(D25=401,'A.0_Tablas salariales SC'!$F$220,IF(D25=451,'A.0_Tablas salariales SC'!$F$221,'A.0_Tablas salariales SC'!$F$215)))))))</f>
        <v>0.34499999999999997</v>
      </c>
      <c r="R25" s="183">
        <f t="shared" si="1"/>
        <v>1032.8299499999998</v>
      </c>
      <c r="S25" s="183">
        <f t="shared" si="2"/>
        <v>0</v>
      </c>
      <c r="T25" s="179"/>
    </row>
    <row r="26" spans="1:20">
      <c r="A26" s="508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2">
        <f>'A.1. Plantilla_Subrogacion'!F26</f>
        <v>0</v>
      </c>
      <c r="H26" s="181">
        <f>'A.1.0_TablaAntigüedad_Sub'!L26</f>
        <v>129</v>
      </c>
      <c r="I26" s="183">
        <f>'A.1.0_TablaAntigüedad_Sub'!Z26</f>
        <v>502.58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7538.7</v>
      </c>
      <c r="O26" s="183">
        <f>'A.0_Tablas salariales SC'!$K$91</f>
        <v>24309.610000000004</v>
      </c>
      <c r="P26" s="183">
        <f>(O26+N26)*G26+'A.0_Tablas salariales SC'!$R$109*(100%-G26)</f>
        <v>2993.71</v>
      </c>
      <c r="Q26" s="184">
        <f>IF(D26=100,'A.0_Tablas salariales SC'!$F$215,IF(D26=150,'A.0_Tablas salariales SC'!$F$216,IF(D26=189,'A.0_Tablas salariales SC'!$F$217,IF(D26=400,'A.0_Tablas salariales SC'!$F$218,IF(D26=450,'A.0_Tablas salariales SC'!$F$219,IF(D26=401,'A.0_Tablas salariales SC'!$F$220,IF(D26=451,'A.0_Tablas salariales SC'!$F$221,'A.0_Tablas salariales SC'!$F$215)))))))</f>
        <v>0.34499999999999997</v>
      </c>
      <c r="R26" s="183">
        <f t="shared" si="1"/>
        <v>1032.8299499999998</v>
      </c>
      <c r="S26" s="183">
        <f t="shared" si="2"/>
        <v>0</v>
      </c>
      <c r="T26" s="179"/>
    </row>
    <row r="27" spans="1:20">
      <c r="A27" s="508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2">
        <f>'A.1. Plantilla_Subrogacion'!F27</f>
        <v>0</v>
      </c>
      <c r="H27" s="181">
        <f>'A.1.0_TablaAntigüedad_Sub'!L27</f>
        <v>129</v>
      </c>
      <c r="I27" s="183">
        <f>'A.1.0_TablaAntigüedad_Sub'!Z27</f>
        <v>502.58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7538.7</v>
      </c>
      <c r="O27" s="183">
        <f>'A.0_Tablas salariales SC'!$K$91</f>
        <v>24309.610000000004</v>
      </c>
      <c r="P27" s="183">
        <f>(O27+N27)*G27+'A.0_Tablas salariales SC'!$R$109*(100%-G27)</f>
        <v>2993.71</v>
      </c>
      <c r="Q27" s="184">
        <f>IF(D27=100,'A.0_Tablas salariales SC'!$F$215,IF(D27=150,'A.0_Tablas salariales SC'!$F$216,IF(D27=189,'A.0_Tablas salariales SC'!$F$217,IF(D27=400,'A.0_Tablas salariales SC'!$F$218,IF(D27=450,'A.0_Tablas salariales SC'!$F$219,IF(D27=401,'A.0_Tablas salariales SC'!$F$220,IF(D27=451,'A.0_Tablas salariales SC'!$F$221,'A.0_Tablas salariales SC'!$F$215)))))))</f>
        <v>0.34499999999999997</v>
      </c>
      <c r="R27" s="183">
        <f t="shared" si="1"/>
        <v>1032.8299499999998</v>
      </c>
      <c r="S27" s="183">
        <f t="shared" si="2"/>
        <v>0</v>
      </c>
      <c r="T27" s="179"/>
    </row>
    <row r="28" spans="1:20">
      <c r="A28" s="508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2">
        <f>'A.1. Plantilla_Subrogacion'!F28</f>
        <v>0</v>
      </c>
      <c r="H28" s="181">
        <f>'A.1.0_TablaAntigüedad_Sub'!L28</f>
        <v>129</v>
      </c>
      <c r="I28" s="183">
        <f>'A.1.0_TablaAntigüedad_Sub'!Z28</f>
        <v>502.58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7538.7</v>
      </c>
      <c r="O28" s="183">
        <f>'A.0_Tablas salariales SC'!$K$91</f>
        <v>24309.610000000004</v>
      </c>
      <c r="P28" s="183">
        <f>(O28+N28)*G28+'A.0_Tablas salariales SC'!$R$109*(100%-G28)</f>
        <v>2993.71</v>
      </c>
      <c r="Q28" s="184">
        <f>IF(D28=100,'A.0_Tablas salariales SC'!$F$215,IF(D28=150,'A.0_Tablas salariales SC'!$F$216,IF(D28=189,'A.0_Tablas salariales SC'!$F$217,IF(D28=400,'A.0_Tablas salariales SC'!$F$218,IF(D28=450,'A.0_Tablas salariales SC'!$F$219,IF(D28=401,'A.0_Tablas salariales SC'!$F$220,IF(D28=451,'A.0_Tablas salariales SC'!$F$221,'A.0_Tablas salariales SC'!$F$215)))))))</f>
        <v>0.34499999999999997</v>
      </c>
      <c r="R28" s="183">
        <f t="shared" si="1"/>
        <v>1032.8299499999998</v>
      </c>
      <c r="S28" s="183">
        <f t="shared" si="2"/>
        <v>0</v>
      </c>
      <c r="T28" s="179"/>
    </row>
    <row r="29" spans="1:20">
      <c r="A29" s="508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2">
        <f>'A.1. Plantilla_Subrogacion'!F29</f>
        <v>0</v>
      </c>
      <c r="H29" s="181">
        <f>'A.1.0_TablaAntigüedad_Sub'!L29</f>
        <v>129</v>
      </c>
      <c r="I29" s="183">
        <f>'A.1.0_TablaAntigüedad_Sub'!Z29</f>
        <v>502.58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7538.7</v>
      </c>
      <c r="O29" s="183">
        <f>'A.0_Tablas salariales SC'!$K$91</f>
        <v>24309.610000000004</v>
      </c>
      <c r="P29" s="183">
        <f>(O29+N29)*G29+'A.0_Tablas salariales SC'!$R$109*(100%-G29)</f>
        <v>2993.71</v>
      </c>
      <c r="Q29" s="184">
        <f>IF(D29=100,'A.0_Tablas salariales SC'!$F$215,IF(D29=150,'A.0_Tablas salariales SC'!$F$216,IF(D29=189,'A.0_Tablas salariales SC'!$F$217,IF(D29=400,'A.0_Tablas salariales SC'!$F$218,IF(D29=450,'A.0_Tablas salariales SC'!$F$219,IF(D29=401,'A.0_Tablas salariales SC'!$F$220,IF(D29=451,'A.0_Tablas salariales SC'!$F$221,'A.0_Tablas salariales SC'!$F$215)))))))</f>
        <v>0.34499999999999997</v>
      </c>
      <c r="R29" s="183">
        <f t="shared" si="1"/>
        <v>1032.8299499999998</v>
      </c>
      <c r="S29" s="183">
        <f t="shared" si="2"/>
        <v>0</v>
      </c>
      <c r="T29" s="179"/>
    </row>
    <row r="30" spans="1:20">
      <c r="A30" s="508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2">
        <f>'A.1. Plantilla_Subrogacion'!F30</f>
        <v>0</v>
      </c>
      <c r="H30" s="181">
        <f>'A.1.0_TablaAntigüedad_Sub'!L30</f>
        <v>129</v>
      </c>
      <c r="I30" s="183">
        <f>'A.1.0_TablaAntigüedad_Sub'!Z30</f>
        <v>502.58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7538.7</v>
      </c>
      <c r="O30" s="183">
        <f>'A.0_Tablas salariales SC'!$K$91</f>
        <v>24309.610000000004</v>
      </c>
      <c r="P30" s="183">
        <f>(O30+N30)*G30+'A.0_Tablas salariales SC'!$R$109*(100%-G30)</f>
        <v>2993.71</v>
      </c>
      <c r="Q30" s="184">
        <f>IF(D30=100,'A.0_Tablas salariales SC'!$F$215,IF(D30=150,'A.0_Tablas salariales SC'!$F$216,IF(D30=189,'A.0_Tablas salariales SC'!$F$217,IF(D30=400,'A.0_Tablas salariales SC'!$F$218,IF(D30=450,'A.0_Tablas salariales SC'!$F$219,IF(D30=401,'A.0_Tablas salariales SC'!$F$220,IF(D30=451,'A.0_Tablas salariales SC'!$F$221,'A.0_Tablas salariales SC'!$F$215)))))))</f>
        <v>0.34499999999999997</v>
      </c>
      <c r="R30" s="183">
        <f t="shared" si="1"/>
        <v>1032.8299499999998</v>
      </c>
      <c r="S30" s="183">
        <f t="shared" si="2"/>
        <v>0</v>
      </c>
      <c r="T30" s="179"/>
    </row>
    <row r="31" spans="1:20">
      <c r="A31" s="508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2">
        <f>'A.1. Plantilla_Subrogacion'!F31</f>
        <v>0</v>
      </c>
      <c r="H31" s="181">
        <f>'A.1.0_TablaAntigüedad_Sub'!L31</f>
        <v>129</v>
      </c>
      <c r="I31" s="183">
        <f>'A.1.0_TablaAntigüedad_Sub'!Z31</f>
        <v>502.58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7538.7</v>
      </c>
      <c r="O31" s="183">
        <f>'A.0_Tablas salariales SC'!$K$91</f>
        <v>24309.610000000004</v>
      </c>
      <c r="P31" s="183">
        <f>(O31+N31)*G31+'A.0_Tablas salariales SC'!$R$109*(100%-G31)</f>
        <v>2993.71</v>
      </c>
      <c r="Q31" s="184">
        <f>IF(D31=100,'A.0_Tablas salariales SC'!$F$215,IF(D31=150,'A.0_Tablas salariales SC'!$F$216,IF(D31=189,'A.0_Tablas salariales SC'!$F$217,IF(D31=400,'A.0_Tablas salariales SC'!$F$218,IF(D31=450,'A.0_Tablas salariales SC'!$F$219,IF(D31=401,'A.0_Tablas salariales SC'!$F$220,IF(D31=451,'A.0_Tablas salariales SC'!$F$221,'A.0_Tablas salariales SC'!$F$215)))))))</f>
        <v>0.34499999999999997</v>
      </c>
      <c r="R31" s="183">
        <f t="shared" si="1"/>
        <v>1032.8299499999998</v>
      </c>
      <c r="S31" s="183">
        <f t="shared" si="2"/>
        <v>0</v>
      </c>
      <c r="T31" s="179"/>
    </row>
    <row r="32" spans="1:20">
      <c r="A32" s="508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2">
        <f>'A.1. Plantilla_Subrogacion'!F32</f>
        <v>0</v>
      </c>
      <c r="H32" s="181">
        <f>'A.1.0_TablaAntigüedad_Sub'!L32</f>
        <v>129</v>
      </c>
      <c r="I32" s="183">
        <f>'A.1.0_TablaAntigüedad_Sub'!Z32</f>
        <v>502.58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7538.7</v>
      </c>
      <c r="O32" s="183">
        <f>'A.0_Tablas salariales SC'!$K$91</f>
        <v>24309.610000000004</v>
      </c>
      <c r="P32" s="183">
        <f>(O32+N32)*G32+'A.0_Tablas salariales SC'!$R$109*(100%-G32)</f>
        <v>2993.71</v>
      </c>
      <c r="Q32" s="184">
        <f>IF(D32=100,'A.0_Tablas salariales SC'!$F$215,IF(D32=150,'A.0_Tablas salariales SC'!$F$216,IF(D32=189,'A.0_Tablas salariales SC'!$F$217,IF(D32=400,'A.0_Tablas salariales SC'!$F$218,IF(D32=450,'A.0_Tablas salariales SC'!$F$219,IF(D32=401,'A.0_Tablas salariales SC'!$F$220,IF(D32=451,'A.0_Tablas salariales SC'!$F$221,'A.0_Tablas salariales SC'!$F$215)))))))</f>
        <v>0.34499999999999997</v>
      </c>
      <c r="R32" s="183">
        <f t="shared" si="1"/>
        <v>1032.8299499999998</v>
      </c>
      <c r="S32" s="183">
        <f t="shared" si="2"/>
        <v>0</v>
      </c>
      <c r="T32" s="179"/>
    </row>
    <row r="33" spans="1:20">
      <c r="A33" s="508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2">
        <f>'A.1. Plantilla_Subrogacion'!F33</f>
        <v>0</v>
      </c>
      <c r="H33" s="181">
        <f>'A.1.0_TablaAntigüedad_Sub'!L33</f>
        <v>129</v>
      </c>
      <c r="I33" s="183">
        <f>'A.1.0_TablaAntigüedad_Sub'!Z33</f>
        <v>502.58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7538.7</v>
      </c>
      <c r="O33" s="183">
        <f>'A.0_Tablas salariales SC'!$K$91</f>
        <v>24309.610000000004</v>
      </c>
      <c r="P33" s="183">
        <f>(O33+N33)*G33+'A.0_Tablas salariales SC'!$R$109*(100%-G33)</f>
        <v>2993.71</v>
      </c>
      <c r="Q33" s="184">
        <f>IF(D33=100,'A.0_Tablas salariales SC'!$F$215,IF(D33=150,'A.0_Tablas salariales SC'!$F$216,IF(D33=189,'A.0_Tablas salariales SC'!$F$217,IF(D33=400,'A.0_Tablas salariales SC'!$F$218,IF(D33=450,'A.0_Tablas salariales SC'!$F$219,IF(D33=401,'A.0_Tablas salariales SC'!$F$220,IF(D33=451,'A.0_Tablas salariales SC'!$F$221,'A.0_Tablas salariales SC'!$F$215)))))))</f>
        <v>0.34499999999999997</v>
      </c>
      <c r="R33" s="183">
        <f t="shared" si="1"/>
        <v>1032.8299499999998</v>
      </c>
      <c r="S33" s="183">
        <f t="shared" si="2"/>
        <v>0</v>
      </c>
      <c r="T33" s="179"/>
    </row>
    <row r="34" spans="1:20">
      <c r="A34" s="508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2">
        <f>'A.1. Plantilla_Subrogacion'!F34</f>
        <v>0</v>
      </c>
      <c r="H34" s="181">
        <f>'A.1.0_TablaAntigüedad_Sub'!L34</f>
        <v>129</v>
      </c>
      <c r="I34" s="183">
        <f>'A.1.0_TablaAntigüedad_Sub'!Z34</f>
        <v>502.58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7538.7</v>
      </c>
      <c r="O34" s="183">
        <f>'A.0_Tablas salariales SC'!$K$91</f>
        <v>24309.610000000004</v>
      </c>
      <c r="P34" s="183">
        <f>(O34+N34)*G34+'A.0_Tablas salariales SC'!$R$109*(100%-G34)</f>
        <v>2993.71</v>
      </c>
      <c r="Q34" s="184">
        <f>IF(D34=100,'A.0_Tablas salariales SC'!$F$215,IF(D34=150,'A.0_Tablas salariales SC'!$F$216,IF(D34=189,'A.0_Tablas salariales SC'!$F$217,IF(D34=400,'A.0_Tablas salariales SC'!$F$218,IF(D34=450,'A.0_Tablas salariales SC'!$F$219,IF(D34=401,'A.0_Tablas salariales SC'!$F$220,IF(D34=451,'A.0_Tablas salariales SC'!$F$221,'A.0_Tablas salariales SC'!$F$215)))))))</f>
        <v>0.34499999999999997</v>
      </c>
      <c r="R34" s="183">
        <f t="shared" si="1"/>
        <v>1032.8299499999998</v>
      </c>
      <c r="S34" s="183">
        <f t="shared" si="2"/>
        <v>0</v>
      </c>
      <c r="T34" s="179"/>
    </row>
    <row r="35" spans="1:20">
      <c r="A35" s="508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2">
        <f>'A.1. Plantilla_Subrogacion'!F35</f>
        <v>0</v>
      </c>
      <c r="H35" s="181">
        <f>'A.1.0_TablaAntigüedad_Sub'!L35</f>
        <v>129</v>
      </c>
      <c r="I35" s="183">
        <f>'A.1.0_TablaAntigüedad_Sub'!Z35</f>
        <v>502.58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7538.7</v>
      </c>
      <c r="O35" s="183">
        <f>'A.0_Tablas salariales SC'!$K$91</f>
        <v>24309.610000000004</v>
      </c>
      <c r="P35" s="183">
        <f>(O35+N35)*G35+'A.0_Tablas salariales SC'!$R$109*(100%-G35)</f>
        <v>2993.71</v>
      </c>
      <c r="Q35" s="184">
        <f>IF(D35=100,'A.0_Tablas salariales SC'!$F$215,IF(D35=150,'A.0_Tablas salariales SC'!$F$216,IF(D35=189,'A.0_Tablas salariales SC'!$F$217,IF(D35=400,'A.0_Tablas salariales SC'!$F$218,IF(D35=450,'A.0_Tablas salariales SC'!$F$219,IF(D35=401,'A.0_Tablas salariales SC'!$F$220,IF(D35=451,'A.0_Tablas salariales SC'!$F$221,'A.0_Tablas salariales SC'!$F$215)))))))</f>
        <v>0.34499999999999997</v>
      </c>
      <c r="R35" s="183">
        <f t="shared" si="1"/>
        <v>1032.8299499999998</v>
      </c>
      <c r="S35" s="183">
        <f t="shared" si="2"/>
        <v>0</v>
      </c>
      <c r="T35" s="179"/>
    </row>
    <row r="36" spans="1:20">
      <c r="A36" s="508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2">
        <f>'A.1. Plantilla_Subrogacion'!F36</f>
        <v>0</v>
      </c>
      <c r="H36" s="181">
        <f>'A.1.0_TablaAntigüedad_Sub'!L36</f>
        <v>129</v>
      </c>
      <c r="I36" s="183">
        <f>'A.1.0_TablaAntigüedad_Sub'!Z36</f>
        <v>502.58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7538.7</v>
      </c>
      <c r="O36" s="183">
        <f>'A.0_Tablas salariales SC'!$K$91</f>
        <v>24309.610000000004</v>
      </c>
      <c r="P36" s="183">
        <f>(O36+N36)*G36+'A.0_Tablas salariales SC'!$R$109*(100%-G36)</f>
        <v>2993.71</v>
      </c>
      <c r="Q36" s="184">
        <f>IF(D36=100,'A.0_Tablas salariales SC'!$F$215,IF(D36=150,'A.0_Tablas salariales SC'!$F$216,IF(D36=189,'A.0_Tablas salariales SC'!$F$217,IF(D36=400,'A.0_Tablas salariales SC'!$F$218,IF(D36=450,'A.0_Tablas salariales SC'!$F$219,IF(D36=401,'A.0_Tablas salariales SC'!$F$220,IF(D36=451,'A.0_Tablas salariales SC'!$F$221,'A.0_Tablas salariales SC'!$F$215)))))))</f>
        <v>0.34499999999999997</v>
      </c>
      <c r="R36" s="183">
        <f t="shared" si="1"/>
        <v>1032.8299499999998</v>
      </c>
      <c r="S36" s="183">
        <f t="shared" si="2"/>
        <v>0</v>
      </c>
      <c r="T36" s="179"/>
    </row>
    <row r="37" spans="1:20">
      <c r="A37" s="508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2">
        <f>'A.1. Plantilla_Subrogacion'!F37</f>
        <v>0</v>
      </c>
      <c r="H37" s="181">
        <f>'A.1.0_TablaAntigüedad_Sub'!L37</f>
        <v>129</v>
      </c>
      <c r="I37" s="183">
        <f>'A.1.0_TablaAntigüedad_Sub'!Z37</f>
        <v>502.58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7538.7</v>
      </c>
      <c r="O37" s="183">
        <f>'A.0_Tablas salariales SC'!$K$91</f>
        <v>24309.610000000004</v>
      </c>
      <c r="P37" s="183">
        <f>(O37+N37)*G37+'A.0_Tablas salariales SC'!$R$109*(100%-G37)</f>
        <v>2993.71</v>
      </c>
      <c r="Q37" s="184">
        <f>IF(D37=100,'A.0_Tablas salariales SC'!$F$215,IF(D37=150,'A.0_Tablas salariales SC'!$F$216,IF(D37=189,'A.0_Tablas salariales SC'!$F$217,IF(D37=400,'A.0_Tablas salariales SC'!$F$218,IF(D37=450,'A.0_Tablas salariales SC'!$F$219,IF(D37=401,'A.0_Tablas salariales SC'!$F$220,IF(D37=451,'A.0_Tablas salariales SC'!$F$221,'A.0_Tablas salariales SC'!$F$215)))))))</f>
        <v>0.34499999999999997</v>
      </c>
      <c r="R37" s="183">
        <f t="shared" si="1"/>
        <v>1032.8299499999998</v>
      </c>
      <c r="S37" s="183">
        <f t="shared" si="2"/>
        <v>0</v>
      </c>
      <c r="T37" s="179"/>
    </row>
    <row r="38" spans="1:20">
      <c r="A38" s="508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2">
        <f>'A.1. Plantilla_Subrogacion'!F38</f>
        <v>0</v>
      </c>
      <c r="H38" s="181">
        <f>'A.1.0_TablaAntigüedad_Sub'!L38</f>
        <v>129</v>
      </c>
      <c r="I38" s="183">
        <f>'A.1.0_TablaAntigüedad_Sub'!Z38</f>
        <v>502.58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7538.7</v>
      </c>
      <c r="O38" s="183">
        <f>'A.0_Tablas salariales SC'!$K$91</f>
        <v>24309.610000000004</v>
      </c>
      <c r="P38" s="183">
        <f>(O38+N38)*G38+'A.0_Tablas salariales SC'!$R$109*(100%-G38)</f>
        <v>2993.71</v>
      </c>
      <c r="Q38" s="184">
        <f>IF(D38=100,'A.0_Tablas salariales SC'!$F$215,IF(D38=150,'A.0_Tablas salariales SC'!$F$216,IF(D38=189,'A.0_Tablas salariales SC'!$F$217,IF(D38=400,'A.0_Tablas salariales SC'!$F$218,IF(D38=450,'A.0_Tablas salariales SC'!$F$219,IF(D38=401,'A.0_Tablas salariales SC'!$F$220,IF(D38=451,'A.0_Tablas salariales SC'!$F$221,'A.0_Tablas salariales SC'!$F$215)))))))</f>
        <v>0.34499999999999997</v>
      </c>
      <c r="R38" s="183">
        <f t="shared" si="1"/>
        <v>1032.8299499999998</v>
      </c>
      <c r="S38" s="183">
        <f t="shared" si="2"/>
        <v>0</v>
      </c>
      <c r="T38" s="179"/>
    </row>
    <row r="39" spans="1:20">
      <c r="A39" s="508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2">
        <f>'A.1. Plantilla_Subrogacion'!F39</f>
        <v>0</v>
      </c>
      <c r="H39" s="181">
        <f>'A.1.0_TablaAntigüedad_Sub'!L39</f>
        <v>129</v>
      </c>
      <c r="I39" s="183">
        <f>'A.1.0_TablaAntigüedad_Sub'!Z39</f>
        <v>502.58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7538.7</v>
      </c>
      <c r="O39" s="183">
        <f>'A.0_Tablas salariales SC'!$K$91</f>
        <v>24309.610000000004</v>
      </c>
      <c r="P39" s="183">
        <f>(O39+N39)*G39+'A.0_Tablas salariales SC'!$R$109*(100%-G39)</f>
        <v>2993.71</v>
      </c>
      <c r="Q39" s="184">
        <f>IF(D39=100,'A.0_Tablas salariales SC'!$F$215,IF(D39=150,'A.0_Tablas salariales SC'!$F$216,IF(D39=189,'A.0_Tablas salariales SC'!$F$217,IF(D39=400,'A.0_Tablas salariales SC'!$F$218,IF(D39=450,'A.0_Tablas salariales SC'!$F$219,IF(D39=401,'A.0_Tablas salariales SC'!$F$220,IF(D39=451,'A.0_Tablas salariales SC'!$F$221,'A.0_Tablas salariales SC'!$F$215)))))))</f>
        <v>0.34499999999999997</v>
      </c>
      <c r="R39" s="183">
        <f t="shared" si="1"/>
        <v>1032.8299499999998</v>
      </c>
      <c r="S39" s="183">
        <f t="shared" si="2"/>
        <v>0</v>
      </c>
      <c r="T39" s="179"/>
    </row>
    <row r="40" spans="1:20">
      <c r="A40" s="508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2">
        <f>'A.1. Plantilla_Subrogacion'!F40</f>
        <v>0</v>
      </c>
      <c r="H40" s="181">
        <f>'A.1.0_TablaAntigüedad_Sub'!L40</f>
        <v>129</v>
      </c>
      <c r="I40" s="183">
        <f>'A.1.0_TablaAntigüedad_Sub'!Z40</f>
        <v>502.58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7538.7</v>
      </c>
      <c r="O40" s="183">
        <f>'A.0_Tablas salariales SC'!$K$91</f>
        <v>24309.610000000004</v>
      </c>
      <c r="P40" s="183">
        <f>(O40+N40)*G40+'A.0_Tablas salariales SC'!$R$109*(100%-G40)</f>
        <v>2993.71</v>
      </c>
      <c r="Q40" s="184">
        <f>IF(D40=100,'A.0_Tablas salariales SC'!$F$215,IF(D40=150,'A.0_Tablas salariales SC'!$F$216,IF(D40=189,'A.0_Tablas salariales SC'!$F$217,IF(D40=400,'A.0_Tablas salariales SC'!$F$218,IF(D40=450,'A.0_Tablas salariales SC'!$F$219,IF(D40=401,'A.0_Tablas salariales SC'!$F$220,IF(D40=451,'A.0_Tablas salariales SC'!$F$221,'A.0_Tablas salariales SC'!$F$215)))))))</f>
        <v>0.34499999999999997</v>
      </c>
      <c r="R40" s="183">
        <f t="shared" si="1"/>
        <v>1032.8299499999998</v>
      </c>
      <c r="S40" s="183">
        <f t="shared" si="2"/>
        <v>0</v>
      </c>
      <c r="T40" s="179"/>
    </row>
    <row r="41" spans="1:20">
      <c r="A41" s="508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2">
        <f>'A.1. Plantilla_Subrogacion'!F41</f>
        <v>0</v>
      </c>
      <c r="H41" s="181">
        <f>'A.1.0_TablaAntigüedad_Sub'!L41</f>
        <v>129</v>
      </c>
      <c r="I41" s="183">
        <f>'A.1.0_TablaAntigüedad_Sub'!Z41</f>
        <v>502.58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7538.7</v>
      </c>
      <c r="O41" s="183">
        <f>'A.0_Tablas salariales SC'!$K$91</f>
        <v>24309.610000000004</v>
      </c>
      <c r="P41" s="183">
        <f>(O41+N41)*G41+'A.0_Tablas salariales SC'!$R$109*(100%-G41)</f>
        <v>2993.71</v>
      </c>
      <c r="Q41" s="184">
        <f>IF(D41=100,'A.0_Tablas salariales SC'!$F$215,IF(D41=150,'A.0_Tablas salariales SC'!$F$216,IF(D41=189,'A.0_Tablas salariales SC'!$F$217,IF(D41=400,'A.0_Tablas salariales SC'!$F$218,IF(D41=450,'A.0_Tablas salariales SC'!$F$219,IF(D41=401,'A.0_Tablas salariales SC'!$F$220,IF(D41=451,'A.0_Tablas salariales SC'!$F$221,'A.0_Tablas salariales SC'!$F$215)))))))</f>
        <v>0.34499999999999997</v>
      </c>
      <c r="R41" s="183">
        <f t="shared" si="1"/>
        <v>1032.8299499999998</v>
      </c>
      <c r="S41" s="183">
        <f t="shared" si="2"/>
        <v>0</v>
      </c>
      <c r="T41" s="179"/>
    </row>
    <row r="42" spans="1:20">
      <c r="A42" s="508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2">
        <f>'A.1. Plantilla_Subrogacion'!F42</f>
        <v>0</v>
      </c>
      <c r="H42" s="181">
        <f>'A.1.0_TablaAntigüedad_Sub'!L42</f>
        <v>129</v>
      </c>
      <c r="I42" s="183">
        <f>'A.1.0_TablaAntigüedad_Sub'!Z42</f>
        <v>502.58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7538.7</v>
      </c>
      <c r="O42" s="183">
        <f>'A.0_Tablas salariales SC'!$K$91</f>
        <v>24309.610000000004</v>
      </c>
      <c r="P42" s="183">
        <f>(O42+N42)*G42+'A.0_Tablas salariales SC'!$R$109*(100%-G42)</f>
        <v>2993.71</v>
      </c>
      <c r="Q42" s="184">
        <f>IF(D42=100,'A.0_Tablas salariales SC'!$F$215,IF(D42=150,'A.0_Tablas salariales SC'!$F$216,IF(D42=189,'A.0_Tablas salariales SC'!$F$217,IF(D42=400,'A.0_Tablas salariales SC'!$F$218,IF(D42=450,'A.0_Tablas salariales SC'!$F$219,IF(D42=401,'A.0_Tablas salariales SC'!$F$220,IF(D42=451,'A.0_Tablas salariales SC'!$F$221,'A.0_Tablas salariales SC'!$F$215)))))))</f>
        <v>0.34499999999999997</v>
      </c>
      <c r="R42" s="183">
        <f t="shared" si="1"/>
        <v>1032.8299499999998</v>
      </c>
      <c r="S42" s="183">
        <f t="shared" si="2"/>
        <v>0</v>
      </c>
      <c r="T42" s="179"/>
    </row>
    <row r="43" spans="1:20">
      <c r="A43" s="508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2">
        <f>'A.1. Plantilla_Subrogacion'!F43</f>
        <v>0</v>
      </c>
      <c r="H43" s="181">
        <f>'A.1.0_TablaAntigüedad_Sub'!L43</f>
        <v>129</v>
      </c>
      <c r="I43" s="183">
        <f>'A.1.0_TablaAntigüedad_Sub'!Z43</f>
        <v>502.58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7538.7</v>
      </c>
      <c r="O43" s="183">
        <f>'A.0_Tablas salariales SC'!$K$91</f>
        <v>24309.610000000004</v>
      </c>
      <c r="P43" s="183">
        <f>(O43+N43)*G43+'A.0_Tablas salariales SC'!$R$109*(100%-G43)</f>
        <v>2993.71</v>
      </c>
      <c r="Q43" s="184">
        <f>IF(D43=100,'A.0_Tablas salariales SC'!$F$215,IF(D43=150,'A.0_Tablas salariales SC'!$F$216,IF(D43=189,'A.0_Tablas salariales SC'!$F$217,IF(D43=400,'A.0_Tablas salariales SC'!$F$218,IF(D43=450,'A.0_Tablas salariales SC'!$F$219,IF(D43=401,'A.0_Tablas salariales SC'!$F$220,IF(D43=451,'A.0_Tablas salariales SC'!$F$221,'A.0_Tablas salariales SC'!$F$215)))))))</f>
        <v>0.34499999999999997</v>
      </c>
      <c r="R43" s="183">
        <f t="shared" si="1"/>
        <v>1032.8299499999998</v>
      </c>
      <c r="S43" s="183">
        <f t="shared" si="2"/>
        <v>0</v>
      </c>
      <c r="T43" s="179"/>
    </row>
    <row r="44" spans="1:20">
      <c r="A44" s="508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2">
        <f>'A.1. Plantilla_Subrogacion'!F44</f>
        <v>0</v>
      </c>
      <c r="H44" s="181">
        <f>'A.1.0_TablaAntigüedad_Sub'!L44</f>
        <v>129</v>
      </c>
      <c r="I44" s="183">
        <f>'A.1.0_TablaAntigüedad_Sub'!Z44</f>
        <v>502.58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7538.7</v>
      </c>
      <c r="O44" s="183">
        <f>'A.0_Tablas salariales SC'!$K$91</f>
        <v>24309.610000000004</v>
      </c>
      <c r="P44" s="183">
        <f>(O44+N44)*G44+'A.0_Tablas salariales SC'!$R$109*(100%-G44)</f>
        <v>2993.71</v>
      </c>
      <c r="Q44" s="184">
        <f>IF(D44=100,'A.0_Tablas salariales SC'!$F$215,IF(D44=150,'A.0_Tablas salariales SC'!$F$216,IF(D44=189,'A.0_Tablas salariales SC'!$F$217,IF(D44=400,'A.0_Tablas salariales SC'!$F$218,IF(D44=450,'A.0_Tablas salariales SC'!$F$219,IF(D44=401,'A.0_Tablas salariales SC'!$F$220,IF(D44=451,'A.0_Tablas salariales SC'!$F$221,'A.0_Tablas salariales SC'!$F$215)))))))</f>
        <v>0.34499999999999997</v>
      </c>
      <c r="R44" s="183">
        <f t="shared" si="1"/>
        <v>1032.8299499999998</v>
      </c>
      <c r="S44" s="183">
        <f t="shared" si="2"/>
        <v>0</v>
      </c>
      <c r="T44" s="179"/>
    </row>
    <row r="45" spans="1:20">
      <c r="A45" s="508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2">
        <f>'A.1. Plantilla_Subrogacion'!F45</f>
        <v>0</v>
      </c>
      <c r="H45" s="181">
        <f>'A.1.0_TablaAntigüedad_Sub'!L45</f>
        <v>129</v>
      </c>
      <c r="I45" s="183">
        <f>'A.1.0_TablaAntigüedad_Sub'!Z45</f>
        <v>502.58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7538.7</v>
      </c>
      <c r="O45" s="183">
        <f>'A.0_Tablas salariales SC'!$K$91</f>
        <v>24309.610000000004</v>
      </c>
      <c r="P45" s="183">
        <f>(O45+N45)*G45+'A.0_Tablas salariales SC'!$R$109*(100%-G45)</f>
        <v>2993.71</v>
      </c>
      <c r="Q45" s="184">
        <f>IF(D45=100,'A.0_Tablas salariales SC'!$F$215,IF(D45=150,'A.0_Tablas salariales SC'!$F$216,IF(D45=189,'A.0_Tablas salariales SC'!$F$217,IF(D45=400,'A.0_Tablas salariales SC'!$F$218,IF(D45=450,'A.0_Tablas salariales SC'!$F$219,IF(D45=401,'A.0_Tablas salariales SC'!$F$220,IF(D45=451,'A.0_Tablas salariales SC'!$F$221,'A.0_Tablas salariales SC'!$F$215)))))))</f>
        <v>0.34499999999999997</v>
      </c>
      <c r="R45" s="183">
        <f t="shared" si="1"/>
        <v>1032.8299499999998</v>
      </c>
      <c r="S45" s="183">
        <f t="shared" si="2"/>
        <v>0</v>
      </c>
      <c r="T45" s="179"/>
    </row>
    <row r="46" spans="1:20">
      <c r="A46" s="508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2">
        <f>'A.1. Plantilla_Subrogacion'!F46</f>
        <v>0</v>
      </c>
      <c r="H46" s="181">
        <f>'A.1.0_TablaAntigüedad_Sub'!L46</f>
        <v>129</v>
      </c>
      <c r="I46" s="183">
        <f>'A.1.0_TablaAntigüedad_Sub'!Z46</f>
        <v>502.58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7538.7</v>
      </c>
      <c r="O46" s="183">
        <f>'A.0_Tablas salariales SC'!$K$91</f>
        <v>24309.610000000004</v>
      </c>
      <c r="P46" s="183">
        <f>(O46+N46)*G46+'A.0_Tablas salariales SC'!$R$109*(100%-G46)</f>
        <v>2993.71</v>
      </c>
      <c r="Q46" s="184">
        <f>IF(D46=100,'A.0_Tablas salariales SC'!$F$215,IF(D46=150,'A.0_Tablas salariales SC'!$F$216,IF(D46=189,'A.0_Tablas salariales SC'!$F$217,IF(D46=400,'A.0_Tablas salariales SC'!$F$218,IF(D46=450,'A.0_Tablas salariales SC'!$F$219,IF(D46=401,'A.0_Tablas salariales SC'!$F$220,IF(D46=451,'A.0_Tablas salariales SC'!$F$221,'A.0_Tablas salariales SC'!$F$215)))))))</f>
        <v>0.34499999999999997</v>
      </c>
      <c r="R46" s="183">
        <f t="shared" si="1"/>
        <v>1032.8299499999998</v>
      </c>
      <c r="S46" s="183">
        <f t="shared" si="2"/>
        <v>0</v>
      </c>
      <c r="T46" s="179"/>
    </row>
    <row r="47" spans="1:20">
      <c r="A47" s="508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2">
        <f>'A.1. Plantilla_Subrogacion'!F47</f>
        <v>0</v>
      </c>
      <c r="H47" s="181">
        <f>'A.1.0_TablaAntigüedad_Sub'!L47</f>
        <v>129</v>
      </c>
      <c r="I47" s="183">
        <f>'A.1.0_TablaAntigüedad_Sub'!Z47</f>
        <v>502.58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7538.7</v>
      </c>
      <c r="O47" s="183">
        <f>'A.0_Tablas salariales SC'!$K$91</f>
        <v>24309.610000000004</v>
      </c>
      <c r="P47" s="183">
        <f>(O47+N47)*G47+'A.0_Tablas salariales SC'!$R$109*(100%-G47)</f>
        <v>2993.71</v>
      </c>
      <c r="Q47" s="184">
        <f>IF(D47=100,'A.0_Tablas salariales SC'!$F$215,IF(D47=150,'A.0_Tablas salariales SC'!$F$216,IF(D47=189,'A.0_Tablas salariales SC'!$F$217,IF(D47=400,'A.0_Tablas salariales SC'!$F$218,IF(D47=450,'A.0_Tablas salariales SC'!$F$219,IF(D47=401,'A.0_Tablas salariales SC'!$F$220,IF(D47=451,'A.0_Tablas salariales SC'!$F$221,'A.0_Tablas salariales SC'!$F$215)))))))</f>
        <v>0.34499999999999997</v>
      </c>
      <c r="R47" s="183">
        <f t="shared" si="1"/>
        <v>1032.8299499999998</v>
      </c>
      <c r="S47" s="183">
        <f t="shared" si="2"/>
        <v>0</v>
      </c>
      <c r="T47" s="179"/>
    </row>
    <row r="48" spans="1:20">
      <c r="A48" s="508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2">
        <f>'A.1. Plantilla_Subrogacion'!F48</f>
        <v>0</v>
      </c>
      <c r="H48" s="181">
        <f>'A.1.0_TablaAntigüedad_Sub'!L48</f>
        <v>129</v>
      </c>
      <c r="I48" s="183">
        <f>'A.1.0_TablaAntigüedad_Sub'!Z48</f>
        <v>502.58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7538.7</v>
      </c>
      <c r="O48" s="183">
        <f>'A.0_Tablas salariales SC'!$K$91</f>
        <v>24309.610000000004</v>
      </c>
      <c r="P48" s="183">
        <f>(O48+N48)*G48+'A.0_Tablas salariales SC'!$R$109*(100%-G48)</f>
        <v>2993.71</v>
      </c>
      <c r="Q48" s="184">
        <f>IF(D48=100,'A.0_Tablas salariales SC'!$F$215,IF(D48=150,'A.0_Tablas salariales SC'!$F$216,IF(D48=189,'A.0_Tablas salariales SC'!$F$217,IF(D48=400,'A.0_Tablas salariales SC'!$F$218,IF(D48=450,'A.0_Tablas salariales SC'!$F$219,IF(D48=401,'A.0_Tablas salariales SC'!$F$220,IF(D48=451,'A.0_Tablas salariales SC'!$F$221,'A.0_Tablas salariales SC'!$F$215)))))))</f>
        <v>0.34499999999999997</v>
      </c>
      <c r="R48" s="183">
        <f t="shared" si="1"/>
        <v>1032.8299499999998</v>
      </c>
      <c r="S48" s="183">
        <f t="shared" si="2"/>
        <v>0</v>
      </c>
      <c r="T48" s="179"/>
    </row>
    <row r="49" spans="1:20">
      <c r="A49" s="508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2">
        <f>'A.1. Plantilla_Subrogacion'!F49</f>
        <v>0</v>
      </c>
      <c r="H49" s="181">
        <f>'A.1.0_TablaAntigüedad_Sub'!L49</f>
        <v>129</v>
      </c>
      <c r="I49" s="183">
        <f>'A.1.0_TablaAntigüedad_Sub'!Z49</f>
        <v>502.58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7538.7</v>
      </c>
      <c r="O49" s="183">
        <f>'A.0_Tablas salariales SC'!$K$91</f>
        <v>24309.610000000004</v>
      </c>
      <c r="P49" s="183">
        <f>(O49+N49)*G49+'A.0_Tablas salariales SC'!$R$109*(100%-G49)</f>
        <v>2993.71</v>
      </c>
      <c r="Q49" s="184">
        <f>IF(D49=100,'A.0_Tablas salariales SC'!$F$215,IF(D49=150,'A.0_Tablas salariales SC'!$F$216,IF(D49=189,'A.0_Tablas salariales SC'!$F$217,IF(D49=400,'A.0_Tablas salariales SC'!$F$218,IF(D49=450,'A.0_Tablas salariales SC'!$F$219,IF(D49=401,'A.0_Tablas salariales SC'!$F$220,IF(D49=451,'A.0_Tablas salariales SC'!$F$221,'A.0_Tablas salariales SC'!$F$215)))))))</f>
        <v>0.34499999999999997</v>
      </c>
      <c r="R49" s="183">
        <f t="shared" si="1"/>
        <v>1032.8299499999998</v>
      </c>
      <c r="S49" s="183">
        <f t="shared" si="2"/>
        <v>0</v>
      </c>
      <c r="T49" s="179"/>
    </row>
    <row r="50" spans="1:20">
      <c r="A50" s="508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2">
        <f>'A.1. Plantilla_Subrogacion'!F50</f>
        <v>0</v>
      </c>
      <c r="H50" s="181">
        <f>'A.1.0_TablaAntigüedad_Sub'!L50</f>
        <v>129</v>
      </c>
      <c r="I50" s="183">
        <f>'A.1.0_TablaAntigüedad_Sub'!Z50</f>
        <v>502.58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7538.7</v>
      </c>
      <c r="O50" s="183">
        <f>'A.0_Tablas salariales SC'!$K$91</f>
        <v>24309.610000000004</v>
      </c>
      <c r="P50" s="183">
        <f>(O50+N50)*G50+'A.0_Tablas salariales SC'!$R$109*(100%-G50)</f>
        <v>2993.71</v>
      </c>
      <c r="Q50" s="184">
        <f>IF(D50=100,'A.0_Tablas salariales SC'!$F$215,IF(D50=150,'A.0_Tablas salariales SC'!$F$216,IF(D50=189,'A.0_Tablas salariales SC'!$F$217,IF(D50=400,'A.0_Tablas salariales SC'!$F$218,IF(D50=450,'A.0_Tablas salariales SC'!$F$219,IF(D50=401,'A.0_Tablas salariales SC'!$F$220,IF(D50=451,'A.0_Tablas salariales SC'!$F$221,'A.0_Tablas salariales SC'!$F$215)))))))</f>
        <v>0.34499999999999997</v>
      </c>
      <c r="R50" s="183">
        <f t="shared" si="1"/>
        <v>1032.8299499999998</v>
      </c>
      <c r="S50" s="183">
        <f t="shared" si="2"/>
        <v>0</v>
      </c>
      <c r="T50" s="179"/>
    </row>
    <row r="51" spans="1:20">
      <c r="A51" s="508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2">
        <f>'A.1. Plantilla_Subrogacion'!F51</f>
        <v>0</v>
      </c>
      <c r="H51" s="181">
        <f>'A.1.0_TablaAntigüedad_Sub'!L51</f>
        <v>129</v>
      </c>
      <c r="I51" s="183">
        <f>'A.1.0_TablaAntigüedad_Sub'!Z51</f>
        <v>502.58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7538.7</v>
      </c>
      <c r="O51" s="183">
        <f>'A.0_Tablas salariales SC'!$K$91</f>
        <v>24309.610000000004</v>
      </c>
      <c r="P51" s="183">
        <f>(O51+N51)*G51+'A.0_Tablas salariales SC'!$R$109*(100%-G51)</f>
        <v>2993.71</v>
      </c>
      <c r="Q51" s="184">
        <f>IF(D51=100,'A.0_Tablas salariales SC'!$F$215,IF(D51=150,'A.0_Tablas salariales SC'!$F$216,IF(D51=189,'A.0_Tablas salariales SC'!$F$217,IF(D51=400,'A.0_Tablas salariales SC'!$F$218,IF(D51=450,'A.0_Tablas salariales SC'!$F$219,IF(D51=401,'A.0_Tablas salariales SC'!$F$220,IF(D51=451,'A.0_Tablas salariales SC'!$F$221,'A.0_Tablas salariales SC'!$F$215)))))))</f>
        <v>0.34499999999999997</v>
      </c>
      <c r="R51" s="183">
        <f t="shared" si="1"/>
        <v>1032.8299499999998</v>
      </c>
      <c r="S51" s="183">
        <f t="shared" si="2"/>
        <v>0</v>
      </c>
      <c r="T51" s="179"/>
    </row>
    <row r="52" spans="1:20">
      <c r="A52" s="508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2">
        <f>'A.1. Plantilla_Subrogacion'!F52</f>
        <v>0</v>
      </c>
      <c r="H52" s="181">
        <f>'A.1.0_TablaAntigüedad_Sub'!L52</f>
        <v>129</v>
      </c>
      <c r="I52" s="183">
        <f>'A.1.0_TablaAntigüedad_Sub'!Z52</f>
        <v>502.58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7538.7</v>
      </c>
      <c r="O52" s="183">
        <f>'A.0_Tablas salariales SC'!$K$91</f>
        <v>24309.610000000004</v>
      </c>
      <c r="P52" s="183">
        <f>(O52+N52)*G52+'A.0_Tablas salariales SC'!$R$109*(100%-G52)</f>
        <v>2993.71</v>
      </c>
      <c r="Q52" s="184">
        <f>IF(D52=100,'A.0_Tablas salariales SC'!$F$215,IF(D52=150,'A.0_Tablas salariales SC'!$F$216,IF(D52=189,'A.0_Tablas salariales SC'!$F$217,IF(D52=400,'A.0_Tablas salariales SC'!$F$218,IF(D52=450,'A.0_Tablas salariales SC'!$F$219,IF(D52=401,'A.0_Tablas salariales SC'!$F$220,IF(D52=451,'A.0_Tablas salariales SC'!$F$221,'A.0_Tablas salariales SC'!$F$215)))))))</f>
        <v>0.34499999999999997</v>
      </c>
      <c r="R52" s="183">
        <f t="shared" si="1"/>
        <v>1032.8299499999998</v>
      </c>
      <c r="S52" s="183">
        <f t="shared" si="2"/>
        <v>0</v>
      </c>
      <c r="T52" s="179"/>
    </row>
    <row r="53" spans="1:20">
      <c r="A53" s="508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2">
        <f>'A.1. Plantilla_Subrogacion'!F53</f>
        <v>0</v>
      </c>
      <c r="H53" s="181">
        <f>'A.1.0_TablaAntigüedad_Sub'!L53</f>
        <v>129</v>
      </c>
      <c r="I53" s="183">
        <f>'A.1.0_TablaAntigüedad_Sub'!Z53</f>
        <v>502.58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7538.7</v>
      </c>
      <c r="O53" s="183">
        <f>'A.0_Tablas salariales SC'!$K$91</f>
        <v>24309.610000000004</v>
      </c>
      <c r="P53" s="183">
        <f>(O53+N53)*G53+'A.0_Tablas salariales SC'!$R$109*(100%-G53)</f>
        <v>2993.71</v>
      </c>
      <c r="Q53" s="184">
        <f>IF(D53=100,'A.0_Tablas salariales SC'!$F$215,IF(D53=150,'A.0_Tablas salariales SC'!$F$216,IF(D53=189,'A.0_Tablas salariales SC'!$F$217,IF(D53=400,'A.0_Tablas salariales SC'!$F$218,IF(D53=450,'A.0_Tablas salariales SC'!$F$219,IF(D53=401,'A.0_Tablas salariales SC'!$F$220,IF(D53=451,'A.0_Tablas salariales SC'!$F$221,'A.0_Tablas salariales SC'!$F$215)))))))</f>
        <v>0.34499999999999997</v>
      </c>
      <c r="R53" s="183">
        <f t="shared" si="1"/>
        <v>1032.8299499999998</v>
      </c>
      <c r="S53" s="183">
        <f t="shared" si="2"/>
        <v>0</v>
      </c>
      <c r="T53" s="179"/>
    </row>
    <row r="54" spans="1:20">
      <c r="A54" s="508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2">
        <f>'A.1. Plantilla_Subrogacion'!F54</f>
        <v>0</v>
      </c>
      <c r="H54" s="181">
        <f>'A.1.0_TablaAntigüedad_Sub'!L54</f>
        <v>129</v>
      </c>
      <c r="I54" s="183">
        <f>'A.1.0_TablaAntigüedad_Sub'!Z54</f>
        <v>502.58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7538.7</v>
      </c>
      <c r="O54" s="183">
        <f>'A.0_Tablas salariales SC'!$K$91</f>
        <v>24309.610000000004</v>
      </c>
      <c r="P54" s="183">
        <f>(O54+N54)*G54+'A.0_Tablas salariales SC'!$R$109*(100%-G54)</f>
        <v>2993.71</v>
      </c>
      <c r="Q54" s="184">
        <f>IF(D54=100,'A.0_Tablas salariales SC'!$F$215,IF(D54=150,'A.0_Tablas salariales SC'!$F$216,IF(D54=189,'A.0_Tablas salariales SC'!$F$217,IF(D54=400,'A.0_Tablas salariales SC'!$F$218,IF(D54=450,'A.0_Tablas salariales SC'!$F$219,IF(D54=401,'A.0_Tablas salariales SC'!$F$220,IF(D54=451,'A.0_Tablas salariales SC'!$F$221,'A.0_Tablas salariales SC'!$F$215)))))))</f>
        <v>0.34499999999999997</v>
      </c>
      <c r="R54" s="183">
        <f t="shared" si="1"/>
        <v>1032.8299499999998</v>
      </c>
      <c r="S54" s="183">
        <f t="shared" si="2"/>
        <v>0</v>
      </c>
      <c r="T54" s="179"/>
    </row>
    <row r="55" spans="1:20">
      <c r="A55" s="508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2">
        <f>'A.1. Plantilla_Subrogacion'!F55</f>
        <v>0</v>
      </c>
      <c r="H55" s="181">
        <f>'A.1.0_TablaAntigüedad_Sub'!L55</f>
        <v>129</v>
      </c>
      <c r="I55" s="183">
        <f>'A.1.0_TablaAntigüedad_Sub'!Z55</f>
        <v>502.58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7538.7</v>
      </c>
      <c r="O55" s="183">
        <f>'A.0_Tablas salariales SC'!$K$91</f>
        <v>24309.610000000004</v>
      </c>
      <c r="P55" s="183">
        <f>(O55+N55)*G55+'A.0_Tablas salariales SC'!$R$109*(100%-G55)</f>
        <v>2993.71</v>
      </c>
      <c r="Q55" s="184">
        <f>IF(D55=100,'A.0_Tablas salariales SC'!$F$215,IF(D55=150,'A.0_Tablas salariales SC'!$F$216,IF(D55=189,'A.0_Tablas salariales SC'!$F$217,IF(D55=400,'A.0_Tablas salariales SC'!$F$218,IF(D55=450,'A.0_Tablas salariales SC'!$F$219,IF(D55=401,'A.0_Tablas salariales SC'!$F$220,IF(D55=451,'A.0_Tablas salariales SC'!$F$221,'A.0_Tablas salariales SC'!$F$215)))))))</f>
        <v>0.34499999999999997</v>
      </c>
      <c r="R55" s="183">
        <f t="shared" si="1"/>
        <v>1032.8299499999998</v>
      </c>
      <c r="S55" s="183">
        <f t="shared" si="2"/>
        <v>0</v>
      </c>
      <c r="T55" s="179"/>
    </row>
    <row r="56" spans="1:20">
      <c r="A56" s="508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2">
        <f>'A.1. Plantilla_Subrogacion'!F56</f>
        <v>0</v>
      </c>
      <c r="H56" s="181">
        <f>'A.1.0_TablaAntigüedad_Sub'!L56</f>
        <v>129</v>
      </c>
      <c r="I56" s="183">
        <f>'A.1.0_TablaAntigüedad_Sub'!Z56</f>
        <v>502.58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7538.7</v>
      </c>
      <c r="O56" s="183">
        <f>'A.0_Tablas salariales SC'!$K$91</f>
        <v>24309.610000000004</v>
      </c>
      <c r="P56" s="183">
        <f>(O56+N56)*G56+'A.0_Tablas salariales SC'!$R$109*(100%-G56)</f>
        <v>2993.71</v>
      </c>
      <c r="Q56" s="184">
        <f>IF(D56=100,'A.0_Tablas salariales SC'!$F$215,IF(D56=150,'A.0_Tablas salariales SC'!$F$216,IF(D56=189,'A.0_Tablas salariales SC'!$F$217,IF(D56=400,'A.0_Tablas salariales SC'!$F$218,IF(D56=450,'A.0_Tablas salariales SC'!$F$219,IF(D56=401,'A.0_Tablas salariales SC'!$F$220,IF(D56=451,'A.0_Tablas salariales SC'!$F$221,'A.0_Tablas salariales SC'!$F$215)))))))</f>
        <v>0.34499999999999997</v>
      </c>
      <c r="R56" s="183">
        <f t="shared" si="1"/>
        <v>1032.8299499999998</v>
      </c>
      <c r="S56" s="183">
        <f t="shared" si="2"/>
        <v>0</v>
      </c>
      <c r="T56" s="179"/>
    </row>
    <row r="57" spans="1:20">
      <c r="A57" s="508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2">
        <f>'A.1. Plantilla_Subrogacion'!F57</f>
        <v>0</v>
      </c>
      <c r="H57" s="181">
        <f>'A.1.0_TablaAntigüedad_Sub'!L57</f>
        <v>129</v>
      </c>
      <c r="I57" s="183">
        <f>'A.1.0_TablaAntigüedad_Sub'!Z57</f>
        <v>502.58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7538.7</v>
      </c>
      <c r="O57" s="183">
        <f>'A.0_Tablas salariales SC'!$K$91</f>
        <v>24309.610000000004</v>
      </c>
      <c r="P57" s="183">
        <f>(O57+N57)*G57+'A.0_Tablas salariales SC'!$R$109*(100%-G57)</f>
        <v>2993.71</v>
      </c>
      <c r="Q57" s="184">
        <f>IF(D57=100,'A.0_Tablas salariales SC'!$F$215,IF(D57=150,'A.0_Tablas salariales SC'!$F$216,IF(D57=189,'A.0_Tablas salariales SC'!$F$217,IF(D57=400,'A.0_Tablas salariales SC'!$F$218,IF(D57=450,'A.0_Tablas salariales SC'!$F$219,IF(D57=401,'A.0_Tablas salariales SC'!$F$220,IF(D57=451,'A.0_Tablas salariales SC'!$F$221,'A.0_Tablas salariales SC'!$F$215)))))))</f>
        <v>0.34499999999999997</v>
      </c>
      <c r="R57" s="183">
        <f t="shared" si="1"/>
        <v>1032.8299499999998</v>
      </c>
      <c r="S57" s="183">
        <f t="shared" si="2"/>
        <v>0</v>
      </c>
      <c r="T57" s="179"/>
    </row>
    <row r="58" spans="1:20">
      <c r="A58" s="508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2">
        <f>'A.1. Plantilla_Subrogacion'!F58</f>
        <v>0</v>
      </c>
      <c r="H58" s="181">
        <f>'A.1.0_TablaAntigüedad_Sub'!L58</f>
        <v>129</v>
      </c>
      <c r="I58" s="183">
        <f>'A.1.0_TablaAntigüedad_Sub'!Z58</f>
        <v>502.58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7538.7</v>
      </c>
      <c r="O58" s="183">
        <f>'A.0_Tablas salariales SC'!$K$91</f>
        <v>24309.610000000004</v>
      </c>
      <c r="P58" s="183">
        <f>(O58+N58)*G58+'A.0_Tablas salariales SC'!$R$109*(100%-G58)</f>
        <v>2993.71</v>
      </c>
      <c r="Q58" s="184">
        <f>IF(D58=100,'A.0_Tablas salariales SC'!$F$215,IF(D58=150,'A.0_Tablas salariales SC'!$F$216,IF(D58=189,'A.0_Tablas salariales SC'!$F$217,IF(D58=400,'A.0_Tablas salariales SC'!$F$218,IF(D58=450,'A.0_Tablas salariales SC'!$F$219,IF(D58=401,'A.0_Tablas salariales SC'!$F$220,IF(D58=451,'A.0_Tablas salariales SC'!$F$221,'A.0_Tablas salariales SC'!$F$215)))))))</f>
        <v>0.34499999999999997</v>
      </c>
      <c r="R58" s="183">
        <f t="shared" si="1"/>
        <v>1032.8299499999998</v>
      </c>
      <c r="S58" s="183">
        <f t="shared" si="2"/>
        <v>0</v>
      </c>
      <c r="T58" s="179"/>
    </row>
    <row r="59" spans="1:20">
      <c r="A59" s="508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2">
        <f>'A.1. Plantilla_Subrogacion'!F59</f>
        <v>0</v>
      </c>
      <c r="H59" s="181">
        <f>'A.1.0_TablaAntigüedad_Sub'!L59</f>
        <v>129</v>
      </c>
      <c r="I59" s="183">
        <f>'A.1.0_TablaAntigüedad_Sub'!Z59</f>
        <v>502.58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7538.7</v>
      </c>
      <c r="O59" s="183">
        <f>'A.0_Tablas salariales SC'!$K$91</f>
        <v>24309.610000000004</v>
      </c>
      <c r="P59" s="183">
        <f>(O59+N59)*G59+'A.0_Tablas salariales SC'!$R$109*(100%-G59)</f>
        <v>2993.71</v>
      </c>
      <c r="Q59" s="184">
        <f>IF(D59=100,'A.0_Tablas salariales SC'!$F$215,IF(D59=150,'A.0_Tablas salariales SC'!$F$216,IF(D59=189,'A.0_Tablas salariales SC'!$F$217,IF(D59=400,'A.0_Tablas salariales SC'!$F$218,IF(D59=450,'A.0_Tablas salariales SC'!$F$219,IF(D59=401,'A.0_Tablas salariales SC'!$F$220,IF(D59=451,'A.0_Tablas salariales SC'!$F$221,'A.0_Tablas salariales SC'!$F$215)))))))</f>
        <v>0.34499999999999997</v>
      </c>
      <c r="R59" s="183">
        <f t="shared" si="1"/>
        <v>1032.8299499999998</v>
      </c>
      <c r="S59" s="183">
        <f t="shared" si="2"/>
        <v>0</v>
      </c>
      <c r="T59" s="179"/>
    </row>
    <row r="60" spans="1:20">
      <c r="A60" s="508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2">
        <f>'A.1. Plantilla_Subrogacion'!F60</f>
        <v>0</v>
      </c>
      <c r="H60" s="181">
        <f>'A.1.0_TablaAntigüedad_Sub'!L60</f>
        <v>129</v>
      </c>
      <c r="I60" s="183">
        <f>'A.1.0_TablaAntigüedad_Sub'!Z60</f>
        <v>502.58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7538.7</v>
      </c>
      <c r="O60" s="183">
        <f>'A.0_Tablas salariales SC'!$K$91</f>
        <v>24309.610000000004</v>
      </c>
      <c r="P60" s="183">
        <f>(O60+N60)*G60+'A.0_Tablas salariales SC'!$R$109*(100%-G60)</f>
        <v>2993.71</v>
      </c>
      <c r="Q60" s="184">
        <f>IF(D60=100,'A.0_Tablas salariales SC'!$F$215,IF(D60=150,'A.0_Tablas salariales SC'!$F$216,IF(D60=189,'A.0_Tablas salariales SC'!$F$217,IF(D60=400,'A.0_Tablas salariales SC'!$F$218,IF(D60=450,'A.0_Tablas salariales SC'!$F$219,IF(D60=401,'A.0_Tablas salariales SC'!$F$220,IF(D60=451,'A.0_Tablas salariales SC'!$F$221,'A.0_Tablas salariales SC'!$F$215)))))))</f>
        <v>0.34499999999999997</v>
      </c>
      <c r="R60" s="183">
        <f t="shared" si="1"/>
        <v>1032.8299499999998</v>
      </c>
      <c r="S60" s="183">
        <f t="shared" si="2"/>
        <v>0</v>
      </c>
      <c r="T60" s="179"/>
    </row>
    <row r="61" spans="1:20">
      <c r="A61" s="508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2">
        <f>'A.1. Plantilla_Subrogacion'!F61</f>
        <v>0</v>
      </c>
      <c r="H61" s="181">
        <f>'A.1.0_TablaAntigüedad_Sub'!L61</f>
        <v>129</v>
      </c>
      <c r="I61" s="183">
        <f>'A.1.0_TablaAntigüedad_Sub'!Z61</f>
        <v>502.58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7538.7</v>
      </c>
      <c r="O61" s="183">
        <f>'A.0_Tablas salariales SC'!$K$91</f>
        <v>24309.610000000004</v>
      </c>
      <c r="P61" s="183">
        <f>(O61+N61)*G61+'A.0_Tablas salariales SC'!$R$109*(100%-G61)</f>
        <v>2993.71</v>
      </c>
      <c r="Q61" s="184">
        <f>IF(D61=100,'A.0_Tablas salariales SC'!$F$215,IF(D61=150,'A.0_Tablas salariales SC'!$F$216,IF(D61=189,'A.0_Tablas salariales SC'!$F$217,IF(D61=400,'A.0_Tablas salariales SC'!$F$218,IF(D61=450,'A.0_Tablas salariales SC'!$F$219,IF(D61=401,'A.0_Tablas salariales SC'!$F$220,IF(D61=451,'A.0_Tablas salariales SC'!$F$221,'A.0_Tablas salariales SC'!$F$215)))))))</f>
        <v>0.34499999999999997</v>
      </c>
      <c r="R61" s="183">
        <f t="shared" si="1"/>
        <v>1032.8299499999998</v>
      </c>
      <c r="S61" s="183">
        <f t="shared" si="2"/>
        <v>0</v>
      </c>
      <c r="T61" s="179"/>
    </row>
    <row r="62" spans="1:20">
      <c r="A62" s="508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2">
        <f>'A.1. Plantilla_Subrogacion'!F62</f>
        <v>0</v>
      </c>
      <c r="H62" s="181">
        <f>'A.1.0_TablaAntigüedad_Sub'!L62</f>
        <v>129</v>
      </c>
      <c r="I62" s="183">
        <f>'A.1.0_TablaAntigüedad_Sub'!Z62</f>
        <v>502.58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7538.7</v>
      </c>
      <c r="O62" s="183">
        <f>'A.0_Tablas salariales SC'!$K$91</f>
        <v>24309.610000000004</v>
      </c>
      <c r="P62" s="183">
        <f>(O62+N62)*G62+'A.0_Tablas salariales SC'!$R$109*(100%-G62)</f>
        <v>2993.71</v>
      </c>
      <c r="Q62" s="184">
        <f>IF(D62=100,'A.0_Tablas salariales SC'!$F$215,IF(D62=150,'A.0_Tablas salariales SC'!$F$216,IF(D62=189,'A.0_Tablas salariales SC'!$F$217,IF(D62=400,'A.0_Tablas salariales SC'!$F$218,IF(D62=450,'A.0_Tablas salariales SC'!$F$219,IF(D62=401,'A.0_Tablas salariales SC'!$F$220,IF(D62=451,'A.0_Tablas salariales SC'!$F$221,'A.0_Tablas salariales SC'!$F$215)))))))</f>
        <v>0.34499999999999997</v>
      </c>
      <c r="R62" s="183">
        <f t="shared" si="1"/>
        <v>1032.8299499999998</v>
      </c>
      <c r="S62" s="183">
        <f t="shared" si="2"/>
        <v>0</v>
      </c>
      <c r="T62" s="179"/>
    </row>
    <row r="63" spans="1:20">
      <c r="A63" s="508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2">
        <f>'A.1. Plantilla_Subrogacion'!F63</f>
        <v>0</v>
      </c>
      <c r="H63" s="181">
        <f>'A.1.0_TablaAntigüedad_Sub'!L63</f>
        <v>129</v>
      </c>
      <c r="I63" s="183">
        <f>'A.1.0_TablaAntigüedad_Sub'!Z63</f>
        <v>502.58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7538.7</v>
      </c>
      <c r="O63" s="183">
        <f>'A.0_Tablas salariales SC'!$K$91</f>
        <v>24309.610000000004</v>
      </c>
      <c r="P63" s="183">
        <f>(O63+N63)*G63+'A.0_Tablas salariales SC'!$R$109*(100%-G63)</f>
        <v>2993.71</v>
      </c>
      <c r="Q63" s="184">
        <f>IF(D63=100,'A.0_Tablas salariales SC'!$F$215,IF(D63=150,'A.0_Tablas salariales SC'!$F$216,IF(D63=189,'A.0_Tablas salariales SC'!$F$217,IF(D63=400,'A.0_Tablas salariales SC'!$F$218,IF(D63=450,'A.0_Tablas salariales SC'!$F$219,IF(D63=401,'A.0_Tablas salariales SC'!$F$220,IF(D63=451,'A.0_Tablas salariales SC'!$F$221,'A.0_Tablas salariales SC'!$F$215)))))))</f>
        <v>0.34499999999999997</v>
      </c>
      <c r="R63" s="183">
        <f t="shared" si="1"/>
        <v>1032.8299499999998</v>
      </c>
      <c r="S63" s="183">
        <f t="shared" si="2"/>
        <v>0</v>
      </c>
      <c r="T63" s="179"/>
    </row>
    <row r="64" spans="1:20">
      <c r="A64" s="508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2">
        <f>'A.1. Plantilla_Subrogacion'!F64</f>
        <v>0</v>
      </c>
      <c r="H64" s="181">
        <f>'A.1.0_TablaAntigüedad_Sub'!L64</f>
        <v>129</v>
      </c>
      <c r="I64" s="183">
        <f>'A.1.0_TablaAntigüedad_Sub'!Z64</f>
        <v>502.58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7538.7</v>
      </c>
      <c r="O64" s="183">
        <f>'A.0_Tablas salariales SC'!$K$91</f>
        <v>24309.610000000004</v>
      </c>
      <c r="P64" s="183">
        <f>(O64+N64)*G64+'A.0_Tablas salariales SC'!$R$109*(100%-G64)</f>
        <v>2993.71</v>
      </c>
      <c r="Q64" s="184">
        <f>IF(D64=100,'A.0_Tablas salariales SC'!$F$215,IF(D64=150,'A.0_Tablas salariales SC'!$F$216,IF(D64=189,'A.0_Tablas salariales SC'!$F$217,IF(D64=400,'A.0_Tablas salariales SC'!$F$218,IF(D64=450,'A.0_Tablas salariales SC'!$F$219,IF(D64=401,'A.0_Tablas salariales SC'!$F$220,IF(D64=451,'A.0_Tablas salariales SC'!$F$221,'A.0_Tablas salariales SC'!$F$215)))))))</f>
        <v>0.34499999999999997</v>
      </c>
      <c r="R64" s="183">
        <f t="shared" si="1"/>
        <v>1032.8299499999998</v>
      </c>
      <c r="S64" s="183">
        <f t="shared" si="2"/>
        <v>0</v>
      </c>
      <c r="T64" s="179"/>
    </row>
    <row r="65" spans="1:20">
      <c r="A65" s="508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2">
        <f>'A.1. Plantilla_Subrogacion'!F65</f>
        <v>0</v>
      </c>
      <c r="H65" s="181">
        <f>'A.1.0_TablaAntigüedad_Sub'!L65</f>
        <v>129</v>
      </c>
      <c r="I65" s="183">
        <f>'A.1.0_TablaAntigüedad_Sub'!Z65</f>
        <v>502.58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7538.7</v>
      </c>
      <c r="O65" s="183">
        <f>'A.0_Tablas salariales SC'!$K$91</f>
        <v>24309.610000000004</v>
      </c>
      <c r="P65" s="183">
        <f>(O65+N65)*G65+'A.0_Tablas salariales SC'!$R$109*(100%-G65)</f>
        <v>2993.71</v>
      </c>
      <c r="Q65" s="184">
        <f>IF(D65=100,'A.0_Tablas salariales SC'!$F$215,IF(D65=150,'A.0_Tablas salariales SC'!$F$216,IF(D65=189,'A.0_Tablas salariales SC'!$F$217,IF(D65=400,'A.0_Tablas salariales SC'!$F$218,IF(D65=450,'A.0_Tablas salariales SC'!$F$219,IF(D65=401,'A.0_Tablas salariales SC'!$F$220,IF(D65=451,'A.0_Tablas salariales SC'!$F$221,'A.0_Tablas salariales SC'!$F$215)))))))</f>
        <v>0.34499999999999997</v>
      </c>
      <c r="R65" s="183">
        <f t="shared" si="1"/>
        <v>1032.8299499999998</v>
      </c>
      <c r="S65" s="183">
        <f t="shared" si="2"/>
        <v>0</v>
      </c>
      <c r="T65" s="179"/>
    </row>
    <row r="66" spans="1:20">
      <c r="A66" s="508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2">
        <f>'A.1. Plantilla_Subrogacion'!F66</f>
        <v>0</v>
      </c>
      <c r="H66" s="181">
        <f>'A.1.0_TablaAntigüedad_Sub'!L66</f>
        <v>129</v>
      </c>
      <c r="I66" s="183">
        <f>'A.1.0_TablaAntigüedad_Sub'!Z66</f>
        <v>502.58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7538.7</v>
      </c>
      <c r="O66" s="183">
        <f>'A.0_Tablas salariales SC'!$K$91</f>
        <v>24309.610000000004</v>
      </c>
      <c r="P66" s="183">
        <f>(O66+N66)*G66+'A.0_Tablas salariales SC'!$R$109*(100%-G66)</f>
        <v>2993.71</v>
      </c>
      <c r="Q66" s="184">
        <f>IF(D66=100,'A.0_Tablas salariales SC'!$F$215,IF(D66=150,'A.0_Tablas salariales SC'!$F$216,IF(D66=189,'A.0_Tablas salariales SC'!$F$217,IF(D66=400,'A.0_Tablas salariales SC'!$F$218,IF(D66=450,'A.0_Tablas salariales SC'!$F$219,IF(D66=401,'A.0_Tablas salariales SC'!$F$220,IF(D66=451,'A.0_Tablas salariales SC'!$F$221,'A.0_Tablas salariales SC'!$F$215)))))))</f>
        <v>0.34499999999999997</v>
      </c>
      <c r="R66" s="183">
        <f t="shared" si="1"/>
        <v>1032.8299499999998</v>
      </c>
      <c r="S66" s="183">
        <f t="shared" si="2"/>
        <v>0</v>
      </c>
      <c r="T66" s="179"/>
    </row>
    <row r="67" spans="1:20">
      <c r="A67" s="508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2">
        <f>'A.1. Plantilla_Subrogacion'!F67</f>
        <v>0</v>
      </c>
      <c r="H67" s="181">
        <f>'A.1.0_TablaAntigüedad_Sub'!L67</f>
        <v>129</v>
      </c>
      <c r="I67" s="183">
        <f>'A.1.0_TablaAntigüedad_Sub'!Z67</f>
        <v>502.58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7538.7</v>
      </c>
      <c r="O67" s="183">
        <f>'A.0_Tablas salariales SC'!$K$91</f>
        <v>24309.610000000004</v>
      </c>
      <c r="P67" s="183">
        <f>(O67+N67)*G67+'A.0_Tablas salariales SC'!$R$109*(100%-G67)</f>
        <v>2993.71</v>
      </c>
      <c r="Q67" s="184">
        <f>IF(D67=100,'A.0_Tablas salariales SC'!$F$215,IF(D67=150,'A.0_Tablas salariales SC'!$F$216,IF(D67=189,'A.0_Tablas salariales SC'!$F$217,IF(D67=400,'A.0_Tablas salariales SC'!$F$218,IF(D67=450,'A.0_Tablas salariales SC'!$F$219,IF(D67=401,'A.0_Tablas salariales SC'!$F$220,IF(D67=451,'A.0_Tablas salariales SC'!$F$221,'A.0_Tablas salariales SC'!$F$215)))))))</f>
        <v>0.34499999999999997</v>
      </c>
      <c r="R67" s="183">
        <f t="shared" si="1"/>
        <v>1032.8299499999998</v>
      </c>
      <c r="S67" s="183">
        <f t="shared" si="2"/>
        <v>0</v>
      </c>
      <c r="T67" s="179"/>
    </row>
    <row r="68" spans="1:20">
      <c r="A68" s="508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2">
        <f>'A.1. Plantilla_Subrogacion'!F68</f>
        <v>0</v>
      </c>
      <c r="H68" s="181">
        <f>'A.1.0_TablaAntigüedad_Sub'!L68</f>
        <v>129</v>
      </c>
      <c r="I68" s="183">
        <f>'A.1.0_TablaAntigüedad_Sub'!Z68</f>
        <v>502.58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7538.7</v>
      </c>
      <c r="O68" s="183">
        <f>'A.0_Tablas salariales SC'!$K$91</f>
        <v>24309.610000000004</v>
      </c>
      <c r="P68" s="183">
        <f>(O68+N68)*G68+'A.0_Tablas salariales SC'!$R$109*(100%-G68)</f>
        <v>2993.71</v>
      </c>
      <c r="Q68" s="184">
        <f>IF(D68=100,'A.0_Tablas salariales SC'!$F$215,IF(D68=150,'A.0_Tablas salariales SC'!$F$216,IF(D68=189,'A.0_Tablas salariales SC'!$F$217,IF(D68=400,'A.0_Tablas salariales SC'!$F$218,IF(D68=450,'A.0_Tablas salariales SC'!$F$219,IF(D68=401,'A.0_Tablas salariales SC'!$F$220,IF(D68=451,'A.0_Tablas salariales SC'!$F$221,'A.0_Tablas salariales SC'!$F$215)))))))</f>
        <v>0.34499999999999997</v>
      </c>
      <c r="R68" s="183">
        <f t="shared" si="1"/>
        <v>1032.8299499999998</v>
      </c>
      <c r="S68" s="183">
        <f t="shared" si="2"/>
        <v>0</v>
      </c>
      <c r="T68" s="179"/>
    </row>
    <row r="69" spans="1:20">
      <c r="A69" s="508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2">
        <f>'A.1. Plantilla_Subrogacion'!F69</f>
        <v>0</v>
      </c>
      <c r="H69" s="181">
        <f>'A.1.0_TablaAntigüedad_Sub'!L69</f>
        <v>129</v>
      </c>
      <c r="I69" s="183">
        <f>'A.1.0_TablaAntigüedad_Sub'!Z69</f>
        <v>502.58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7538.7</v>
      </c>
      <c r="O69" s="183">
        <f>'A.0_Tablas salariales SC'!$K$91</f>
        <v>24309.610000000004</v>
      </c>
      <c r="P69" s="183">
        <f>(O69+N69)*G69+'A.0_Tablas salariales SC'!$R$109*(100%-G69)</f>
        <v>2993.71</v>
      </c>
      <c r="Q69" s="184">
        <f>IF(D69=100,'A.0_Tablas salariales SC'!$F$215,IF(D69=150,'A.0_Tablas salariales SC'!$F$216,IF(D69=189,'A.0_Tablas salariales SC'!$F$217,IF(D69=400,'A.0_Tablas salariales SC'!$F$218,IF(D69=450,'A.0_Tablas salariales SC'!$F$219,IF(D69=401,'A.0_Tablas salariales SC'!$F$220,IF(D69=451,'A.0_Tablas salariales SC'!$F$221,'A.0_Tablas salariales SC'!$F$215)))))))</f>
        <v>0.34499999999999997</v>
      </c>
      <c r="R69" s="183">
        <f t="shared" ref="R69:R84" si="5">Q69*P69</f>
        <v>1032.8299499999998</v>
      </c>
      <c r="S69" s="183">
        <f t="shared" ref="S69:S84" si="6">(R69+P69)*A69</f>
        <v>0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'A.1.0_TablaAntigüedad_Sub'!L70</f>
        <v>129</v>
      </c>
      <c r="I70" s="183">
        <f>'A.1.0_TablaAntigüedad_Sub'!Z70</f>
        <v>502.58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7538.7</v>
      </c>
      <c r="O70" s="183">
        <f>'A.0_Tablas salariales SC'!$K$91</f>
        <v>24309.610000000004</v>
      </c>
      <c r="P70" s="183">
        <f>(O70+N70)*G70+'A.0_Tablas salariales SC'!$R$109*(100%-G70)</f>
        <v>2993.71</v>
      </c>
      <c r="Q70" s="184">
        <f>IF(D70=100,'A.0_Tablas salariales SC'!$F$215,IF(D70=150,'A.0_Tablas salariales SC'!$F$216,IF(D70=189,'A.0_Tablas salariales SC'!$F$217,IF(D70=400,'A.0_Tablas salariales SC'!$F$218,IF(D70=450,'A.0_Tablas salariales SC'!$F$219,IF(D70=401,'A.0_Tablas salariales SC'!$F$220,IF(D70=451,'A.0_Tablas salariales SC'!$F$221,'A.0_Tablas salariales SC'!$F$215)))))))</f>
        <v>0.34499999999999997</v>
      </c>
      <c r="R70" s="183">
        <f t="shared" si="5"/>
        <v>1032.8299499999998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'A.1.0_TablaAntigüedad_Sub'!L71</f>
        <v>129</v>
      </c>
      <c r="I71" s="183">
        <f>'A.1.0_TablaAntigüedad_Sub'!Z71</f>
        <v>502.58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7538.7</v>
      </c>
      <c r="O71" s="183">
        <f>'A.0_Tablas salariales SC'!$K$91</f>
        <v>24309.610000000004</v>
      </c>
      <c r="P71" s="183">
        <f>(O71+N71)*G71+'A.0_Tablas salariales SC'!$R$109*(100%-G71)</f>
        <v>2993.71</v>
      </c>
      <c r="Q71" s="184">
        <f>IF(D71=100,'A.0_Tablas salariales SC'!$F$215,IF(D71=150,'A.0_Tablas salariales SC'!$F$216,IF(D71=189,'A.0_Tablas salariales SC'!$F$217,IF(D71=400,'A.0_Tablas salariales SC'!$F$218,IF(D71=450,'A.0_Tablas salariales SC'!$F$219,IF(D71=401,'A.0_Tablas salariales SC'!$F$220,IF(D71=451,'A.0_Tablas salariales SC'!$F$221,'A.0_Tablas salariales SC'!$F$215)))))))</f>
        <v>0.34499999999999997</v>
      </c>
      <c r="R71" s="183">
        <f t="shared" si="5"/>
        <v>1032.8299499999998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'A.1.0_TablaAntigüedad_Sub'!L72</f>
        <v>129</v>
      </c>
      <c r="I72" s="183">
        <f>'A.1.0_TablaAntigüedad_Sub'!Z72</f>
        <v>502.58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7538.7</v>
      </c>
      <c r="O72" s="183">
        <f>'A.0_Tablas salariales SC'!$K$91</f>
        <v>24309.610000000004</v>
      </c>
      <c r="P72" s="183">
        <f>(O72+N72)*G72+'A.0_Tablas salariales SC'!$R$109*(100%-G72)</f>
        <v>2993.71</v>
      </c>
      <c r="Q72" s="184">
        <f>IF(D72=100,'A.0_Tablas salariales SC'!$F$215,IF(D72=150,'A.0_Tablas salariales SC'!$F$216,IF(D72=189,'A.0_Tablas salariales SC'!$F$217,IF(D72=400,'A.0_Tablas salariales SC'!$F$218,IF(D72=450,'A.0_Tablas salariales SC'!$F$219,IF(D72=401,'A.0_Tablas salariales SC'!$F$220,IF(D72=451,'A.0_Tablas salariales SC'!$F$221,'A.0_Tablas salariales SC'!$F$215)))))))</f>
        <v>0.34499999999999997</v>
      </c>
      <c r="R72" s="183">
        <f t="shared" si="5"/>
        <v>1032.8299499999998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'A.1.0_TablaAntigüedad_Sub'!L73</f>
        <v>129</v>
      </c>
      <c r="I73" s="183">
        <f>'A.1.0_TablaAntigüedad_Sub'!Z73</f>
        <v>502.58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7538.7</v>
      </c>
      <c r="O73" s="183">
        <f>'A.0_Tablas salariales SC'!$K$91</f>
        <v>24309.610000000004</v>
      </c>
      <c r="P73" s="183">
        <f>(O73+N73)*G73+'A.0_Tablas salariales SC'!$R$109*(100%-G73)</f>
        <v>2993.71</v>
      </c>
      <c r="Q73" s="184">
        <f>IF(D73=100,'A.0_Tablas salariales SC'!$F$215,IF(D73=150,'A.0_Tablas salariales SC'!$F$216,IF(D73=189,'A.0_Tablas salariales SC'!$F$217,IF(D73=400,'A.0_Tablas salariales SC'!$F$218,IF(D73=450,'A.0_Tablas salariales SC'!$F$219,IF(D73=401,'A.0_Tablas salariales SC'!$F$220,IF(D73=451,'A.0_Tablas salariales SC'!$F$221,'A.0_Tablas salariales SC'!$F$215)))))))</f>
        <v>0.34499999999999997</v>
      </c>
      <c r="R73" s="183">
        <f t="shared" si="5"/>
        <v>1032.8299499999998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'A.1.0_TablaAntigüedad_Sub'!L74</f>
        <v>129</v>
      </c>
      <c r="I74" s="183">
        <f>'A.1.0_TablaAntigüedad_Sub'!Z74</f>
        <v>502.58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7538.7</v>
      </c>
      <c r="O74" s="183">
        <f>'A.0_Tablas salariales SC'!$K$91</f>
        <v>24309.610000000004</v>
      </c>
      <c r="P74" s="183">
        <f>(O74+N74)*G74+'A.0_Tablas salariales SC'!$R$109*(100%-G74)</f>
        <v>2993.71</v>
      </c>
      <c r="Q74" s="184">
        <f>IF(D74=100,'A.0_Tablas salariales SC'!$F$215,IF(D74=150,'A.0_Tablas salariales SC'!$F$216,IF(D74=189,'A.0_Tablas salariales SC'!$F$217,IF(D74=400,'A.0_Tablas salariales SC'!$F$218,IF(D74=450,'A.0_Tablas salariales SC'!$F$219,IF(D74=401,'A.0_Tablas salariales SC'!$F$220,IF(D74=451,'A.0_Tablas salariales SC'!$F$221,'A.0_Tablas salariales SC'!$F$215)))))))</f>
        <v>0.34499999999999997</v>
      </c>
      <c r="R74" s="183">
        <f t="shared" si="5"/>
        <v>1032.8299499999998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'A.1.0_TablaAntigüedad_Sub'!L75</f>
        <v>129</v>
      </c>
      <c r="I75" s="183">
        <f>'A.1.0_TablaAntigüedad_Sub'!Z75</f>
        <v>502.58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7538.7</v>
      </c>
      <c r="O75" s="183">
        <f>'A.0_Tablas salariales SC'!$K$91</f>
        <v>24309.610000000004</v>
      </c>
      <c r="P75" s="183">
        <f>(O75+N75)*G75+'A.0_Tablas salariales SC'!$R$109*(100%-G75)</f>
        <v>2993.71</v>
      </c>
      <c r="Q75" s="184">
        <f>IF(D75=100,'A.0_Tablas salariales SC'!$F$215,IF(D75=150,'A.0_Tablas salariales SC'!$F$216,IF(D75=189,'A.0_Tablas salariales SC'!$F$217,IF(D75=400,'A.0_Tablas salariales SC'!$F$218,IF(D75=450,'A.0_Tablas salariales SC'!$F$219,IF(D75=401,'A.0_Tablas salariales SC'!$F$220,IF(D75=451,'A.0_Tablas salariales SC'!$F$221,'A.0_Tablas salariales SC'!$F$215)))))))</f>
        <v>0.34499999999999997</v>
      </c>
      <c r="R75" s="183">
        <f t="shared" si="5"/>
        <v>1032.8299499999998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'A.1.0_TablaAntigüedad_Sub'!L76</f>
        <v>129</v>
      </c>
      <c r="I76" s="183">
        <f>'A.1.0_TablaAntigüedad_Sub'!Z76</f>
        <v>502.58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7538.7</v>
      </c>
      <c r="O76" s="183">
        <f>'A.0_Tablas salariales SC'!$K$91</f>
        <v>24309.610000000004</v>
      </c>
      <c r="P76" s="183">
        <f>(O76+N76)*G76+'A.0_Tablas salariales SC'!$R$109*(100%-G76)</f>
        <v>2993.71</v>
      </c>
      <c r="Q76" s="184">
        <f>IF(D76=100,'A.0_Tablas salariales SC'!$F$215,IF(D76=150,'A.0_Tablas salariales SC'!$F$216,IF(D76=189,'A.0_Tablas salariales SC'!$F$217,IF(D76=400,'A.0_Tablas salariales SC'!$F$218,IF(D76=450,'A.0_Tablas salariales SC'!$F$219,IF(D76=401,'A.0_Tablas salariales SC'!$F$220,IF(D76=451,'A.0_Tablas salariales SC'!$F$221,'A.0_Tablas salariales SC'!$F$215)))))))</f>
        <v>0.34499999999999997</v>
      </c>
      <c r="R76" s="183">
        <f t="shared" si="5"/>
        <v>1032.8299499999998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'A.1.0_TablaAntigüedad_Sub'!L77</f>
        <v>129</v>
      </c>
      <c r="I77" s="183">
        <f>'A.1.0_TablaAntigüedad_Sub'!Z77</f>
        <v>502.58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7538.7</v>
      </c>
      <c r="O77" s="183">
        <f>'A.0_Tablas salariales SC'!$K$91</f>
        <v>24309.610000000004</v>
      </c>
      <c r="P77" s="183">
        <f>(O77+N77)*G77+'A.0_Tablas salariales SC'!$R$109*(100%-G77)</f>
        <v>2993.71</v>
      </c>
      <c r="Q77" s="184">
        <f>IF(D77=100,'A.0_Tablas salariales SC'!$F$215,IF(D77=150,'A.0_Tablas salariales SC'!$F$216,IF(D77=189,'A.0_Tablas salariales SC'!$F$217,IF(D77=400,'A.0_Tablas salariales SC'!$F$218,IF(D77=450,'A.0_Tablas salariales SC'!$F$219,IF(D77=401,'A.0_Tablas salariales SC'!$F$220,IF(D77=451,'A.0_Tablas salariales SC'!$F$221,'A.0_Tablas salariales SC'!$F$215)))))))</f>
        <v>0.34499999999999997</v>
      </c>
      <c r="R77" s="183">
        <f t="shared" si="5"/>
        <v>1032.8299499999998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'A.1.0_TablaAntigüedad_Sub'!L78</f>
        <v>129</v>
      </c>
      <c r="I78" s="183">
        <f>'A.1.0_TablaAntigüedad_Sub'!Z78</f>
        <v>502.58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7538.7</v>
      </c>
      <c r="O78" s="183">
        <f>'A.0_Tablas salariales SC'!$K$91</f>
        <v>24309.610000000004</v>
      </c>
      <c r="P78" s="183">
        <f>(O78+N78)*G78+'A.0_Tablas salariales SC'!$R$109*(100%-G78)</f>
        <v>2993.71</v>
      </c>
      <c r="Q78" s="184">
        <f>IF(D78=100,'A.0_Tablas salariales SC'!$F$215,IF(D78=150,'A.0_Tablas salariales SC'!$F$216,IF(D78=189,'A.0_Tablas salariales SC'!$F$217,IF(D78=400,'A.0_Tablas salariales SC'!$F$218,IF(D78=450,'A.0_Tablas salariales SC'!$F$219,IF(D78=401,'A.0_Tablas salariales SC'!$F$220,IF(D78=451,'A.0_Tablas salariales SC'!$F$221,'A.0_Tablas salariales SC'!$F$215)))))))</f>
        <v>0.34499999999999997</v>
      </c>
      <c r="R78" s="183">
        <f t="shared" si="5"/>
        <v>1032.8299499999998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'A.1.0_TablaAntigüedad_Sub'!L79</f>
        <v>129</v>
      </c>
      <c r="I79" s="183">
        <f>'A.1.0_TablaAntigüedad_Sub'!Z79</f>
        <v>502.58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7538.7</v>
      </c>
      <c r="O79" s="183">
        <f>'A.0_Tablas salariales SC'!$K$91</f>
        <v>24309.610000000004</v>
      </c>
      <c r="P79" s="183">
        <f>(O79+N79)*G79+'A.0_Tablas salariales SC'!$R$109*(100%-G79)</f>
        <v>2993.71</v>
      </c>
      <c r="Q79" s="184">
        <f>IF(D79=100,'A.0_Tablas salariales SC'!$F$215,IF(D79=150,'A.0_Tablas salariales SC'!$F$216,IF(D79=189,'A.0_Tablas salariales SC'!$F$217,IF(D79=400,'A.0_Tablas salariales SC'!$F$218,IF(D79=450,'A.0_Tablas salariales SC'!$F$219,IF(D79=401,'A.0_Tablas salariales SC'!$F$220,IF(D79=451,'A.0_Tablas salariales SC'!$F$221,'A.0_Tablas salariales SC'!$F$215)))))))</f>
        <v>0.34499999999999997</v>
      </c>
      <c r="R79" s="183">
        <f t="shared" si="5"/>
        <v>1032.8299499999998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'A.1.0_TablaAntigüedad_Sub'!L80</f>
        <v>129</v>
      </c>
      <c r="I80" s="183">
        <f>'A.1.0_TablaAntigüedad_Sub'!Z80</f>
        <v>502.58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7538.7</v>
      </c>
      <c r="O80" s="183">
        <f>'A.0_Tablas salariales SC'!$K$91</f>
        <v>24309.610000000004</v>
      </c>
      <c r="P80" s="183">
        <f>(O80+N80)*G80+'A.0_Tablas salariales SC'!$R$109*(100%-G80)</f>
        <v>2993.71</v>
      </c>
      <c r="Q80" s="184">
        <f>IF(D80=100,'A.0_Tablas salariales SC'!$F$215,IF(D80=150,'A.0_Tablas salariales SC'!$F$216,IF(D80=189,'A.0_Tablas salariales SC'!$F$217,IF(D80=400,'A.0_Tablas salariales SC'!$F$218,IF(D80=450,'A.0_Tablas salariales SC'!$F$219,IF(D80=401,'A.0_Tablas salariales SC'!$F$220,IF(D80=451,'A.0_Tablas salariales SC'!$F$221,'A.0_Tablas salariales SC'!$F$215)))))))</f>
        <v>0.34499999999999997</v>
      </c>
      <c r="R80" s="183">
        <f t="shared" si="5"/>
        <v>1032.8299499999998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'A.1.0_TablaAntigüedad_Sub'!L81</f>
        <v>129</v>
      </c>
      <c r="I81" s="183">
        <f>'A.1.0_TablaAntigüedad_Sub'!Z81</f>
        <v>502.58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7538.7</v>
      </c>
      <c r="O81" s="183">
        <f>'A.0_Tablas salariales SC'!$K$91</f>
        <v>24309.610000000004</v>
      </c>
      <c r="P81" s="183">
        <f>(O81+N81)*G81+'A.0_Tablas salariales SC'!$R$109*(100%-G81)</f>
        <v>2993.71</v>
      </c>
      <c r="Q81" s="184">
        <f>IF(D81=100,'A.0_Tablas salariales SC'!$F$215,IF(D81=150,'A.0_Tablas salariales SC'!$F$216,IF(D81=189,'A.0_Tablas salariales SC'!$F$217,IF(D81=400,'A.0_Tablas salariales SC'!$F$218,IF(D81=450,'A.0_Tablas salariales SC'!$F$219,IF(D81=401,'A.0_Tablas salariales SC'!$F$220,IF(D81=451,'A.0_Tablas salariales SC'!$F$221,'A.0_Tablas salariales SC'!$F$215)))))))</f>
        <v>0.34499999999999997</v>
      </c>
      <c r="R81" s="183">
        <f t="shared" si="5"/>
        <v>1032.8299499999998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'A.1.0_TablaAntigüedad_Sub'!L82</f>
        <v>129</v>
      </c>
      <c r="I82" s="183">
        <f>'A.1.0_TablaAntigüedad_Sub'!Z82</f>
        <v>502.58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7538.7</v>
      </c>
      <c r="O82" s="183">
        <f>'A.0_Tablas salariales SC'!$K$91</f>
        <v>24309.610000000004</v>
      </c>
      <c r="P82" s="183">
        <f>(O82+N82)*G82+'A.0_Tablas salariales SC'!$R$109*(100%-G82)</f>
        <v>2993.71</v>
      </c>
      <c r="Q82" s="184">
        <f>IF(D82=100,'A.0_Tablas salariales SC'!$F$215,IF(D82=150,'A.0_Tablas salariales SC'!$F$216,IF(D82=189,'A.0_Tablas salariales SC'!$F$217,IF(D82=400,'A.0_Tablas salariales SC'!$F$218,IF(D82=450,'A.0_Tablas salariales SC'!$F$219,IF(D82=401,'A.0_Tablas salariales SC'!$F$220,IF(D82=451,'A.0_Tablas salariales SC'!$F$221,'A.0_Tablas salariales SC'!$F$215)))))))</f>
        <v>0.34499999999999997</v>
      </c>
      <c r="R82" s="183">
        <f t="shared" si="5"/>
        <v>1032.8299499999998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'A.1.0_TablaAntigüedad_Sub'!L83</f>
        <v>129</v>
      </c>
      <c r="I83" s="183">
        <f>'A.1.0_TablaAntigüedad_Sub'!Z83</f>
        <v>502.58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7538.7</v>
      </c>
      <c r="O83" s="183">
        <f>'A.0_Tablas salariales SC'!$K$91</f>
        <v>24309.610000000004</v>
      </c>
      <c r="P83" s="183">
        <f>(O83+N83)*G83+'A.0_Tablas salariales SC'!$R$109*(100%-G83)</f>
        <v>2993.71</v>
      </c>
      <c r="Q83" s="184">
        <f>IF(D83=100,'A.0_Tablas salariales SC'!$F$215,IF(D83=150,'A.0_Tablas salariales SC'!$F$216,IF(D83=189,'A.0_Tablas salariales SC'!$F$217,IF(D83=400,'A.0_Tablas salariales SC'!$F$218,IF(D83=450,'A.0_Tablas salariales SC'!$F$219,IF(D83=401,'A.0_Tablas salariales SC'!$F$220,IF(D83=451,'A.0_Tablas salariales SC'!$F$221,'A.0_Tablas salariales SC'!$F$215)))))))</f>
        <v>0.34499999999999997</v>
      </c>
      <c r="R83" s="183">
        <f t="shared" si="5"/>
        <v>1032.8299499999998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'A.1.0_TablaAntigüedad_Sub'!L84</f>
        <v>129</v>
      </c>
      <c r="I84" s="183">
        <f>'A.1.0_TablaAntigüedad_Sub'!Z84</f>
        <v>502.58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7538.7</v>
      </c>
      <c r="O84" s="183">
        <f>'A.0_Tablas salariales SC'!$K$91</f>
        <v>24309.610000000004</v>
      </c>
      <c r="P84" s="183">
        <f>(O84+N84)*G84+'A.0_Tablas salariales SC'!$R$109*(100%-G84)</f>
        <v>2993.71</v>
      </c>
      <c r="Q84" s="184">
        <f>IF(D84=100,'A.0_Tablas salariales SC'!$F$215,IF(D84=150,'A.0_Tablas salariales SC'!$F$216,IF(D84=189,'A.0_Tablas salariales SC'!$F$217,IF(D84=400,'A.0_Tablas salariales SC'!$F$218,IF(D84=450,'A.0_Tablas salariales SC'!$F$219,IF(D84=401,'A.0_Tablas salariales SC'!$F$220,IF(D84=451,'A.0_Tablas salariales SC'!$F$221,'A.0_Tablas salariales SC'!$F$215)))))))</f>
        <v>0.34499999999999997</v>
      </c>
      <c r="R84" s="183">
        <f t="shared" si="5"/>
        <v>1032.8299499999998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'A.1.0_TablaAntigüedad_Sub'!L85</f>
        <v>129</v>
      </c>
      <c r="I85" s="183">
        <f>'A.1.0_TablaAntigüedad_Sub'!Z85</f>
        <v>502.58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7538.7</v>
      </c>
      <c r="O85" s="183">
        <f>'A.0_Tablas salariales SC'!$K$91</f>
        <v>24309.610000000004</v>
      </c>
      <c r="P85" s="183">
        <f>(O85+N85)*G85+'A.0_Tablas salariales SC'!$R$109*(100%-G85)</f>
        <v>2993.71</v>
      </c>
      <c r="Q85" s="184">
        <f>IF(D85=100,'A.0_Tablas salariales SC'!$F$215,IF(D85=150,'A.0_Tablas salariales SC'!$F$216,IF(D85=189,'A.0_Tablas salariales SC'!$F$217,IF(D85=400,'A.0_Tablas salariales SC'!$F$218,IF(D85=450,'A.0_Tablas salariales SC'!$F$219,IF(D85=401,'A.0_Tablas salariales SC'!$F$220,IF(D85=451,'A.0_Tablas salariales SC'!$F$221,'A.0_Tablas salariales SC'!$F$215)))))))</f>
        <v>0.34499999999999997</v>
      </c>
      <c r="R85" s="183">
        <f t="shared" si="1"/>
        <v>1032.8299499999998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0</v>
      </c>
    </row>
    <row r="87" spans="1:20">
      <c r="A87" s="508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2">
        <f>'A.1. Plantilla_Subrogacion'!F87</f>
        <v>0</v>
      </c>
      <c r="H87" s="181">
        <f>'A.1.0_TablaAntigüedad_Sub'!L87</f>
        <v>129</v>
      </c>
      <c r="I87" s="183">
        <f>'A.1.0_TablaAntigüedad_Sub'!Z87</f>
        <v>502.58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7538.7</v>
      </c>
      <c r="O87" s="183">
        <f>'A.0_Tablas salariales SC'!$K$94</f>
        <v>25208.71</v>
      </c>
      <c r="P87" s="183">
        <f>(O87+N87)*G87+'A.0_Tablas salariales SC'!$R$109*(100%-G87)</f>
        <v>2993.71</v>
      </c>
      <c r="Q87" s="184">
        <f>IF(D87=100,'A.0_Tablas salariales SC'!$F$215,IF(D87=150,'A.0_Tablas salariales SC'!$F$216,IF(D87=189,'A.0_Tablas salariales SC'!$F$217,IF(D87=400,'A.0_Tablas salariales SC'!$F$218,IF(D87=450,'A.0_Tablas salariales SC'!$F$219,IF(D87=401,'A.0_Tablas salariales SC'!$F$220,IF(D87=451,'A.0_Tablas salariales SC'!$F$221,'A.0_Tablas salariales SC'!$F$215)))))))</f>
        <v>0.34499999999999997</v>
      </c>
      <c r="R87" s="183">
        <f t="shared" si="1"/>
        <v>1032.8299499999998</v>
      </c>
      <c r="S87" s="183">
        <f t="shared" si="2"/>
        <v>0</v>
      </c>
      <c r="T87" s="179"/>
    </row>
    <row r="88" spans="1:20">
      <c r="A88" s="508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2">
        <f>'A.1. Plantilla_Subrogacion'!F88</f>
        <v>0</v>
      </c>
      <c r="H88" s="181">
        <f>'A.1.0_TablaAntigüedad_Sub'!L88</f>
        <v>129</v>
      </c>
      <c r="I88" s="183">
        <f>'A.1.0_TablaAntigüedad_Sub'!Z88</f>
        <v>502.58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7538.7</v>
      </c>
      <c r="O88" s="183">
        <f>'A.0_Tablas salariales SC'!$K$94</f>
        <v>25208.71</v>
      </c>
      <c r="P88" s="183">
        <f>(O88+N88)*G88+'A.0_Tablas salariales SC'!$R$109*(100%-G88)</f>
        <v>2993.71</v>
      </c>
      <c r="Q88" s="184">
        <f>IF(D88=100,'A.0_Tablas salariales SC'!$F$215,IF(D88=150,'A.0_Tablas salariales SC'!$F$216,IF(D88=189,'A.0_Tablas salariales SC'!$F$217,IF(D88=400,'A.0_Tablas salariales SC'!$F$218,IF(D88=450,'A.0_Tablas salariales SC'!$F$219,IF(D88=401,'A.0_Tablas salariales SC'!$F$220,IF(D88=451,'A.0_Tablas salariales SC'!$F$221,'A.0_Tablas salariales SC'!$F$215)))))))</f>
        <v>0.34499999999999997</v>
      </c>
      <c r="R88" s="183">
        <f t="shared" si="1"/>
        <v>1032.8299499999998</v>
      </c>
      <c r="S88" s="183">
        <f t="shared" si="2"/>
        <v>0</v>
      </c>
      <c r="T88" s="179"/>
    </row>
    <row r="89" spans="1:20">
      <c r="A89" s="508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2">
        <f>'A.1. Plantilla_Subrogacion'!F89</f>
        <v>0</v>
      </c>
      <c r="H89" s="181">
        <f>'A.1.0_TablaAntigüedad_Sub'!L89</f>
        <v>129</v>
      </c>
      <c r="I89" s="183">
        <f>'A.1.0_TablaAntigüedad_Sub'!Z89</f>
        <v>502.58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7538.7</v>
      </c>
      <c r="O89" s="183">
        <f>'A.0_Tablas salariales SC'!$K$94</f>
        <v>25208.71</v>
      </c>
      <c r="P89" s="183">
        <f>(O89+N89)*G89+'A.0_Tablas salariales SC'!$R$109*(100%-G89)</f>
        <v>2993.71</v>
      </c>
      <c r="Q89" s="184">
        <f>IF(D89=100,'A.0_Tablas salariales SC'!$F$215,IF(D89=150,'A.0_Tablas salariales SC'!$F$216,IF(D89=189,'A.0_Tablas salariales SC'!$F$217,IF(D89=400,'A.0_Tablas salariales SC'!$F$218,IF(D89=450,'A.0_Tablas salariales SC'!$F$219,IF(D89=401,'A.0_Tablas salariales SC'!$F$220,IF(D89=451,'A.0_Tablas salariales SC'!$F$221,'A.0_Tablas salariales SC'!$F$215)))))))</f>
        <v>0.34499999999999997</v>
      </c>
      <c r="R89" s="183">
        <f t="shared" si="1"/>
        <v>1032.8299499999998</v>
      </c>
      <c r="S89" s="183">
        <f t="shared" si="2"/>
        <v>0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'A.1.0_TablaAntigüedad_Sub'!L90</f>
        <v>129</v>
      </c>
      <c r="I90" s="183">
        <f>'A.1.0_TablaAntigüedad_Sub'!Z90</f>
        <v>502.58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7538.7</v>
      </c>
      <c r="O90" s="183">
        <f>'A.0_Tablas salariales SC'!$K$94</f>
        <v>25208.71</v>
      </c>
      <c r="P90" s="183">
        <f>(O90+N90)*G90+'A.0_Tablas salariales SC'!$R$109*(100%-G90)</f>
        <v>2993.71</v>
      </c>
      <c r="Q90" s="184">
        <f>IF(D90=100,'A.0_Tablas salariales SC'!$F$215,IF(D90=150,'A.0_Tablas salariales SC'!$F$216,IF(D90=189,'A.0_Tablas salariales SC'!$F$217,IF(D90=400,'A.0_Tablas salariales SC'!$F$218,IF(D90=450,'A.0_Tablas salariales SC'!$F$219,IF(D90=401,'A.0_Tablas salariales SC'!$F$220,IF(D90=451,'A.0_Tablas salariales SC'!$F$221,'A.0_Tablas salariales SC'!$F$215)))))))</f>
        <v>0.34499999999999997</v>
      </c>
      <c r="R90" s="183">
        <f t="shared" ref="R90:R112" si="8">Q90*P90</f>
        <v>1032.8299499999998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'A.1.0_TablaAntigüedad_Sub'!L91</f>
        <v>129</v>
      </c>
      <c r="I91" s="183">
        <f>'A.1.0_TablaAntigüedad_Sub'!Z91</f>
        <v>502.58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7538.7</v>
      </c>
      <c r="O91" s="183">
        <f>'A.0_Tablas salariales SC'!$K$94</f>
        <v>25208.71</v>
      </c>
      <c r="P91" s="183">
        <f>(O91+N91)*G91+'A.0_Tablas salariales SC'!$R$109*(100%-G91)</f>
        <v>2993.71</v>
      </c>
      <c r="Q91" s="184">
        <f>IF(D91=100,'A.0_Tablas salariales SC'!$F$215,IF(D91=150,'A.0_Tablas salariales SC'!$F$216,IF(D91=189,'A.0_Tablas salariales SC'!$F$217,IF(D91=400,'A.0_Tablas salariales SC'!$F$218,IF(D91=450,'A.0_Tablas salariales SC'!$F$219,IF(D91=401,'A.0_Tablas salariales SC'!$F$220,IF(D91=451,'A.0_Tablas salariales SC'!$F$221,'A.0_Tablas salariales SC'!$F$215)))))))</f>
        <v>0.34499999999999997</v>
      </c>
      <c r="R91" s="183">
        <f t="shared" si="8"/>
        <v>1032.8299499999998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'A.1.0_TablaAntigüedad_Sub'!L92</f>
        <v>129</v>
      </c>
      <c r="I92" s="183">
        <f>'A.1.0_TablaAntigüedad_Sub'!Z92</f>
        <v>502.58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7538.7</v>
      </c>
      <c r="O92" s="183">
        <f>'A.0_Tablas salariales SC'!$K$94</f>
        <v>25208.71</v>
      </c>
      <c r="P92" s="183">
        <f>(O92+N92)*G92+'A.0_Tablas salariales SC'!$R$109*(100%-G92)</f>
        <v>2993.71</v>
      </c>
      <c r="Q92" s="184">
        <f>IF(D92=100,'A.0_Tablas salariales SC'!$F$215,IF(D92=150,'A.0_Tablas salariales SC'!$F$216,IF(D92=189,'A.0_Tablas salariales SC'!$F$217,IF(D92=400,'A.0_Tablas salariales SC'!$F$218,IF(D92=450,'A.0_Tablas salariales SC'!$F$219,IF(D92=401,'A.0_Tablas salariales SC'!$F$220,IF(D92=451,'A.0_Tablas salariales SC'!$F$221,'A.0_Tablas salariales SC'!$F$215)))))))</f>
        <v>0.34499999999999997</v>
      </c>
      <c r="R92" s="183">
        <f t="shared" si="8"/>
        <v>1032.8299499999998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'A.1.0_TablaAntigüedad_Sub'!L93</f>
        <v>129</v>
      </c>
      <c r="I93" s="183">
        <f>'A.1.0_TablaAntigüedad_Sub'!Z93</f>
        <v>502.58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7538.7</v>
      </c>
      <c r="O93" s="183">
        <f>'A.0_Tablas salariales SC'!$K$94</f>
        <v>25208.71</v>
      </c>
      <c r="P93" s="183">
        <f>(O93+N93)*G93+'A.0_Tablas salariales SC'!$R$109*(100%-G93)</f>
        <v>2993.71</v>
      </c>
      <c r="Q93" s="184">
        <f>IF(D93=100,'A.0_Tablas salariales SC'!$F$215,IF(D93=150,'A.0_Tablas salariales SC'!$F$216,IF(D93=189,'A.0_Tablas salariales SC'!$F$217,IF(D93=400,'A.0_Tablas salariales SC'!$F$218,IF(D93=450,'A.0_Tablas salariales SC'!$F$219,IF(D93=401,'A.0_Tablas salariales SC'!$F$220,IF(D93=451,'A.0_Tablas salariales SC'!$F$221,'A.0_Tablas salariales SC'!$F$215)))))))</f>
        <v>0.34499999999999997</v>
      </c>
      <c r="R93" s="183">
        <f t="shared" si="8"/>
        <v>1032.8299499999998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'A.1.0_TablaAntigüedad_Sub'!L94</f>
        <v>129</v>
      </c>
      <c r="I94" s="183">
        <f>'A.1.0_TablaAntigüedad_Sub'!Z94</f>
        <v>502.58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7538.7</v>
      </c>
      <c r="O94" s="183">
        <f>'A.0_Tablas salariales SC'!$K$94</f>
        <v>25208.71</v>
      </c>
      <c r="P94" s="183">
        <f>(O94+N94)*G94+'A.0_Tablas salariales SC'!$R$109*(100%-G94)</f>
        <v>2993.71</v>
      </c>
      <c r="Q94" s="184">
        <f>IF(D94=100,'A.0_Tablas salariales SC'!$F$215,IF(D94=150,'A.0_Tablas salariales SC'!$F$216,IF(D94=189,'A.0_Tablas salariales SC'!$F$217,IF(D94=400,'A.0_Tablas salariales SC'!$F$218,IF(D94=450,'A.0_Tablas salariales SC'!$F$219,IF(D94=401,'A.0_Tablas salariales SC'!$F$220,IF(D94=451,'A.0_Tablas salariales SC'!$F$221,'A.0_Tablas salariales SC'!$F$215)))))))</f>
        <v>0.34499999999999997</v>
      </c>
      <c r="R94" s="183">
        <f t="shared" si="8"/>
        <v>1032.8299499999998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'A.1.0_TablaAntigüedad_Sub'!L95</f>
        <v>129</v>
      </c>
      <c r="I95" s="183">
        <f>'A.1.0_TablaAntigüedad_Sub'!Z95</f>
        <v>502.58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7538.7</v>
      </c>
      <c r="O95" s="183">
        <f>'A.0_Tablas salariales SC'!$K$94</f>
        <v>25208.71</v>
      </c>
      <c r="P95" s="183">
        <f>(O95+N95)*G95+'A.0_Tablas salariales SC'!$R$109*(100%-G95)</f>
        <v>2993.71</v>
      </c>
      <c r="Q95" s="184">
        <f>IF(D95=100,'A.0_Tablas salariales SC'!$F$215,IF(D95=150,'A.0_Tablas salariales SC'!$F$216,IF(D95=189,'A.0_Tablas salariales SC'!$F$217,IF(D95=400,'A.0_Tablas salariales SC'!$F$218,IF(D95=450,'A.0_Tablas salariales SC'!$F$219,IF(D95=401,'A.0_Tablas salariales SC'!$F$220,IF(D95=451,'A.0_Tablas salariales SC'!$F$221,'A.0_Tablas salariales SC'!$F$215)))))))</f>
        <v>0.34499999999999997</v>
      </c>
      <c r="R95" s="183">
        <f t="shared" si="8"/>
        <v>1032.8299499999998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'A.1.0_TablaAntigüedad_Sub'!L96</f>
        <v>129</v>
      </c>
      <c r="I96" s="183">
        <f>'A.1.0_TablaAntigüedad_Sub'!Z96</f>
        <v>502.58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7538.7</v>
      </c>
      <c r="O96" s="183">
        <f>'A.0_Tablas salariales SC'!$K$94</f>
        <v>25208.71</v>
      </c>
      <c r="P96" s="183">
        <f>(O96+N96)*G96+'A.0_Tablas salariales SC'!$R$109*(100%-G96)</f>
        <v>2993.71</v>
      </c>
      <c r="Q96" s="184">
        <f>IF(D96=100,'A.0_Tablas salariales SC'!$F$215,IF(D96=150,'A.0_Tablas salariales SC'!$F$216,IF(D96=189,'A.0_Tablas salariales SC'!$F$217,IF(D96=400,'A.0_Tablas salariales SC'!$F$218,IF(D96=450,'A.0_Tablas salariales SC'!$F$219,IF(D96=401,'A.0_Tablas salariales SC'!$F$220,IF(D96=451,'A.0_Tablas salariales SC'!$F$221,'A.0_Tablas salariales SC'!$F$215)))))))</f>
        <v>0.34499999999999997</v>
      </c>
      <c r="R96" s="183">
        <f t="shared" si="8"/>
        <v>1032.8299499999998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'A.1.0_TablaAntigüedad_Sub'!L97</f>
        <v>129</v>
      </c>
      <c r="I97" s="183">
        <f>'A.1.0_TablaAntigüedad_Sub'!Z97</f>
        <v>502.58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7538.7</v>
      </c>
      <c r="O97" s="183">
        <f>'A.0_Tablas salariales SC'!$K$94</f>
        <v>25208.71</v>
      </c>
      <c r="P97" s="183">
        <f>(O97+N97)*G97+'A.0_Tablas salariales SC'!$R$109*(100%-G97)</f>
        <v>2993.71</v>
      </c>
      <c r="Q97" s="184">
        <f>IF(D97=100,'A.0_Tablas salariales SC'!$F$215,IF(D97=150,'A.0_Tablas salariales SC'!$F$216,IF(D97=189,'A.0_Tablas salariales SC'!$F$217,IF(D97=400,'A.0_Tablas salariales SC'!$F$218,IF(D97=450,'A.0_Tablas salariales SC'!$F$219,IF(D97=401,'A.0_Tablas salariales SC'!$F$220,IF(D97=451,'A.0_Tablas salariales SC'!$F$221,'A.0_Tablas salariales SC'!$F$215)))))))</f>
        <v>0.34499999999999997</v>
      </c>
      <c r="R97" s="183">
        <f t="shared" si="8"/>
        <v>1032.8299499999998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'A.1.0_TablaAntigüedad_Sub'!L98</f>
        <v>129</v>
      </c>
      <c r="I98" s="183">
        <f>'A.1.0_TablaAntigüedad_Sub'!Z98</f>
        <v>502.58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7538.7</v>
      </c>
      <c r="O98" s="183">
        <f>'A.0_Tablas salariales SC'!$K$94</f>
        <v>25208.71</v>
      </c>
      <c r="P98" s="183">
        <f>(O98+N98)*G98+'A.0_Tablas salariales SC'!$R$109*(100%-G98)</f>
        <v>2993.71</v>
      </c>
      <c r="Q98" s="184">
        <f>IF(D98=100,'A.0_Tablas salariales SC'!$F$215,IF(D98=150,'A.0_Tablas salariales SC'!$F$216,IF(D98=189,'A.0_Tablas salariales SC'!$F$217,IF(D98=400,'A.0_Tablas salariales SC'!$F$218,IF(D98=450,'A.0_Tablas salariales SC'!$F$219,IF(D98=401,'A.0_Tablas salariales SC'!$F$220,IF(D98=451,'A.0_Tablas salariales SC'!$F$221,'A.0_Tablas salariales SC'!$F$215)))))))</f>
        <v>0.34499999999999997</v>
      </c>
      <c r="R98" s="183">
        <f t="shared" si="8"/>
        <v>1032.8299499999998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'A.1.0_TablaAntigüedad_Sub'!L99</f>
        <v>129</v>
      </c>
      <c r="I99" s="183">
        <f>'A.1.0_TablaAntigüedad_Sub'!Z99</f>
        <v>502.58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7538.7</v>
      </c>
      <c r="O99" s="183">
        <f>'A.0_Tablas salariales SC'!$K$94</f>
        <v>25208.71</v>
      </c>
      <c r="P99" s="183">
        <f>(O99+N99)*G99+'A.0_Tablas salariales SC'!$R$109*(100%-G99)</f>
        <v>2993.71</v>
      </c>
      <c r="Q99" s="184">
        <f>IF(D99=100,'A.0_Tablas salariales SC'!$F$215,IF(D99=150,'A.0_Tablas salariales SC'!$F$216,IF(D99=189,'A.0_Tablas salariales SC'!$F$217,IF(D99=400,'A.0_Tablas salariales SC'!$F$218,IF(D99=450,'A.0_Tablas salariales SC'!$F$219,IF(D99=401,'A.0_Tablas salariales SC'!$F$220,IF(D99=451,'A.0_Tablas salariales SC'!$F$221,'A.0_Tablas salariales SC'!$F$215)))))))</f>
        <v>0.34499999999999997</v>
      </c>
      <c r="R99" s="183">
        <f t="shared" si="8"/>
        <v>1032.8299499999998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'A.1.0_TablaAntigüedad_Sub'!L100</f>
        <v>129</v>
      </c>
      <c r="I100" s="183">
        <f>'A.1.0_TablaAntigüedad_Sub'!Z100</f>
        <v>502.58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7538.7</v>
      </c>
      <c r="O100" s="183">
        <f>'A.0_Tablas salariales SC'!$K$94</f>
        <v>25208.71</v>
      </c>
      <c r="P100" s="183">
        <f>(O100+N100)*G100+'A.0_Tablas salariales SC'!$R$109*(100%-G100)</f>
        <v>2993.71</v>
      </c>
      <c r="Q100" s="184">
        <f>IF(D100=100,'A.0_Tablas salariales SC'!$F$215,IF(D100=150,'A.0_Tablas salariales SC'!$F$216,IF(D100=189,'A.0_Tablas salariales SC'!$F$217,IF(D100=400,'A.0_Tablas salariales SC'!$F$218,IF(D100=450,'A.0_Tablas salariales SC'!$F$219,IF(D100=401,'A.0_Tablas salariales SC'!$F$220,IF(D100=451,'A.0_Tablas salariales SC'!$F$221,'A.0_Tablas salariales SC'!$F$215)))))))</f>
        <v>0.34499999999999997</v>
      </c>
      <c r="R100" s="183">
        <f t="shared" si="8"/>
        <v>1032.8299499999998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'A.1.0_TablaAntigüedad_Sub'!L101</f>
        <v>129</v>
      </c>
      <c r="I101" s="183">
        <f>'A.1.0_TablaAntigüedad_Sub'!Z101</f>
        <v>502.58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7538.7</v>
      </c>
      <c r="O101" s="183">
        <f>'A.0_Tablas salariales SC'!$K$94</f>
        <v>25208.71</v>
      </c>
      <c r="P101" s="183">
        <f>(O101+N101)*G101+'A.0_Tablas salariales SC'!$R$109*(100%-G101)</f>
        <v>2993.71</v>
      </c>
      <c r="Q101" s="184">
        <f>IF(D101=100,'A.0_Tablas salariales SC'!$F$215,IF(D101=150,'A.0_Tablas salariales SC'!$F$216,IF(D101=189,'A.0_Tablas salariales SC'!$F$217,IF(D101=400,'A.0_Tablas salariales SC'!$F$218,IF(D101=450,'A.0_Tablas salariales SC'!$F$219,IF(D101=401,'A.0_Tablas salariales SC'!$F$220,IF(D101=451,'A.0_Tablas salariales SC'!$F$221,'A.0_Tablas salariales SC'!$F$215)))))))</f>
        <v>0.34499999999999997</v>
      </c>
      <c r="R101" s="183">
        <f t="shared" si="8"/>
        <v>1032.8299499999998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'A.1.0_TablaAntigüedad_Sub'!L102</f>
        <v>129</v>
      </c>
      <c r="I102" s="183">
        <f>'A.1.0_TablaAntigüedad_Sub'!Z102</f>
        <v>502.58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7538.7</v>
      </c>
      <c r="O102" s="183">
        <f>'A.0_Tablas salariales SC'!$K$94</f>
        <v>25208.71</v>
      </c>
      <c r="P102" s="183">
        <f>(O102+N102)*G102+'A.0_Tablas salariales SC'!$R$109*(100%-G102)</f>
        <v>2993.71</v>
      </c>
      <c r="Q102" s="184">
        <f>IF(D102=100,'A.0_Tablas salariales SC'!$F$215,IF(D102=150,'A.0_Tablas salariales SC'!$F$216,IF(D102=189,'A.0_Tablas salariales SC'!$F$217,IF(D102=400,'A.0_Tablas salariales SC'!$F$218,IF(D102=450,'A.0_Tablas salariales SC'!$F$219,IF(D102=401,'A.0_Tablas salariales SC'!$F$220,IF(D102=451,'A.0_Tablas salariales SC'!$F$221,'A.0_Tablas salariales SC'!$F$215)))))))</f>
        <v>0.34499999999999997</v>
      </c>
      <c r="R102" s="183">
        <f t="shared" si="8"/>
        <v>1032.8299499999998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'A.1.0_TablaAntigüedad_Sub'!L103</f>
        <v>129</v>
      </c>
      <c r="I103" s="183">
        <f>'A.1.0_TablaAntigüedad_Sub'!Z103</f>
        <v>502.58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7538.7</v>
      </c>
      <c r="O103" s="183">
        <f>'A.0_Tablas salariales SC'!$K$94</f>
        <v>25208.71</v>
      </c>
      <c r="P103" s="183">
        <f>(O103+N103)*G103+'A.0_Tablas salariales SC'!$R$109*(100%-G103)</f>
        <v>2993.71</v>
      </c>
      <c r="Q103" s="184">
        <f>IF(D103=100,'A.0_Tablas salariales SC'!$F$215,IF(D103=150,'A.0_Tablas salariales SC'!$F$216,IF(D103=189,'A.0_Tablas salariales SC'!$F$217,IF(D103=400,'A.0_Tablas salariales SC'!$F$218,IF(D103=450,'A.0_Tablas salariales SC'!$F$219,IF(D103=401,'A.0_Tablas salariales SC'!$F$220,IF(D103=451,'A.0_Tablas salariales SC'!$F$221,'A.0_Tablas salariales SC'!$F$215)))))))</f>
        <v>0.34499999999999997</v>
      </c>
      <c r="R103" s="183">
        <f t="shared" si="8"/>
        <v>1032.8299499999998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'A.1.0_TablaAntigüedad_Sub'!L104</f>
        <v>129</v>
      </c>
      <c r="I104" s="183">
        <f>'A.1.0_TablaAntigüedad_Sub'!Z104</f>
        <v>502.58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7538.7</v>
      </c>
      <c r="O104" s="183">
        <f>'A.0_Tablas salariales SC'!$K$94</f>
        <v>25208.71</v>
      </c>
      <c r="P104" s="183">
        <f>(O104+N104)*G104+'A.0_Tablas salariales SC'!$R$109*(100%-G104)</f>
        <v>2993.71</v>
      </c>
      <c r="Q104" s="184">
        <f>IF(D104=100,'A.0_Tablas salariales SC'!$F$215,IF(D104=150,'A.0_Tablas salariales SC'!$F$216,IF(D104=189,'A.0_Tablas salariales SC'!$F$217,IF(D104=400,'A.0_Tablas salariales SC'!$F$218,IF(D104=450,'A.0_Tablas salariales SC'!$F$219,IF(D104=401,'A.0_Tablas salariales SC'!$F$220,IF(D104=451,'A.0_Tablas salariales SC'!$F$221,'A.0_Tablas salariales SC'!$F$215)))))))</f>
        <v>0.34499999999999997</v>
      </c>
      <c r="R104" s="183">
        <f t="shared" si="8"/>
        <v>1032.8299499999998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'A.1.0_TablaAntigüedad_Sub'!L105</f>
        <v>129</v>
      </c>
      <c r="I105" s="183">
        <f>'A.1.0_TablaAntigüedad_Sub'!Z105</f>
        <v>502.58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7538.7</v>
      </c>
      <c r="O105" s="183">
        <f>'A.0_Tablas salariales SC'!$K$94</f>
        <v>25208.71</v>
      </c>
      <c r="P105" s="183">
        <f>(O105+N105)*G105+'A.0_Tablas salariales SC'!$R$109*(100%-G105)</f>
        <v>2993.71</v>
      </c>
      <c r="Q105" s="184">
        <f>IF(D105=100,'A.0_Tablas salariales SC'!$F$215,IF(D105=150,'A.0_Tablas salariales SC'!$F$216,IF(D105=189,'A.0_Tablas salariales SC'!$F$217,IF(D105=400,'A.0_Tablas salariales SC'!$F$218,IF(D105=450,'A.0_Tablas salariales SC'!$F$219,IF(D105=401,'A.0_Tablas salariales SC'!$F$220,IF(D105=451,'A.0_Tablas salariales SC'!$F$221,'A.0_Tablas salariales SC'!$F$215)))))))</f>
        <v>0.34499999999999997</v>
      </c>
      <c r="R105" s="183">
        <f t="shared" si="8"/>
        <v>1032.8299499999998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'A.1.0_TablaAntigüedad_Sub'!L106</f>
        <v>129</v>
      </c>
      <c r="I106" s="183">
        <f>'A.1.0_TablaAntigüedad_Sub'!Z106</f>
        <v>502.58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7538.7</v>
      </c>
      <c r="O106" s="183">
        <f>'A.0_Tablas salariales SC'!$K$94</f>
        <v>25208.71</v>
      </c>
      <c r="P106" s="183">
        <f>(O106+N106)*G106+'A.0_Tablas salariales SC'!$R$109*(100%-G106)</f>
        <v>2993.71</v>
      </c>
      <c r="Q106" s="184">
        <f>IF(D106=100,'A.0_Tablas salariales SC'!$F$215,IF(D106=150,'A.0_Tablas salariales SC'!$F$216,IF(D106=189,'A.0_Tablas salariales SC'!$F$217,IF(D106=400,'A.0_Tablas salariales SC'!$F$218,IF(D106=450,'A.0_Tablas salariales SC'!$F$219,IF(D106=401,'A.0_Tablas salariales SC'!$F$220,IF(D106=451,'A.0_Tablas salariales SC'!$F$221,'A.0_Tablas salariales SC'!$F$215)))))))</f>
        <v>0.34499999999999997</v>
      </c>
      <c r="R106" s="183">
        <f t="shared" si="8"/>
        <v>1032.8299499999998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'A.1.0_TablaAntigüedad_Sub'!L107</f>
        <v>129</v>
      </c>
      <c r="I107" s="183">
        <f>'A.1.0_TablaAntigüedad_Sub'!Z107</f>
        <v>502.58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7538.7</v>
      </c>
      <c r="O107" s="183">
        <f>'A.0_Tablas salariales SC'!$K$94</f>
        <v>25208.71</v>
      </c>
      <c r="P107" s="183">
        <f>(O107+N107)*G107+'A.0_Tablas salariales SC'!$R$109*(100%-G107)</f>
        <v>2993.71</v>
      </c>
      <c r="Q107" s="184">
        <f>IF(D107=100,'A.0_Tablas salariales SC'!$F$215,IF(D107=150,'A.0_Tablas salariales SC'!$F$216,IF(D107=189,'A.0_Tablas salariales SC'!$F$217,IF(D107=400,'A.0_Tablas salariales SC'!$F$218,IF(D107=450,'A.0_Tablas salariales SC'!$F$219,IF(D107=401,'A.0_Tablas salariales SC'!$F$220,IF(D107=451,'A.0_Tablas salariales SC'!$F$221,'A.0_Tablas salariales SC'!$F$215)))))))</f>
        <v>0.34499999999999997</v>
      </c>
      <c r="R107" s="183">
        <f t="shared" si="8"/>
        <v>1032.8299499999998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'A.1.0_TablaAntigüedad_Sub'!L108</f>
        <v>129</v>
      </c>
      <c r="I108" s="183">
        <f>'A.1.0_TablaAntigüedad_Sub'!Z108</f>
        <v>502.58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7538.7</v>
      </c>
      <c r="O108" s="183">
        <f>'A.0_Tablas salariales SC'!$K$94</f>
        <v>25208.71</v>
      </c>
      <c r="P108" s="183">
        <f>(O108+N108)*G108+'A.0_Tablas salariales SC'!$R$109*(100%-G108)</f>
        <v>2993.71</v>
      </c>
      <c r="Q108" s="184">
        <f>IF(D108=100,'A.0_Tablas salariales SC'!$F$215,IF(D108=150,'A.0_Tablas salariales SC'!$F$216,IF(D108=189,'A.0_Tablas salariales SC'!$F$217,IF(D108=400,'A.0_Tablas salariales SC'!$F$218,IF(D108=450,'A.0_Tablas salariales SC'!$F$219,IF(D108=401,'A.0_Tablas salariales SC'!$F$220,IF(D108=451,'A.0_Tablas salariales SC'!$F$221,'A.0_Tablas salariales SC'!$F$215)))))))</f>
        <v>0.34499999999999997</v>
      </c>
      <c r="R108" s="183">
        <f t="shared" si="8"/>
        <v>1032.8299499999998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'A.1.0_TablaAntigüedad_Sub'!L109</f>
        <v>129</v>
      </c>
      <c r="I109" s="183">
        <f>'A.1.0_TablaAntigüedad_Sub'!Z109</f>
        <v>502.58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7538.7</v>
      </c>
      <c r="O109" s="183">
        <f>'A.0_Tablas salariales SC'!$K$94</f>
        <v>25208.71</v>
      </c>
      <c r="P109" s="183">
        <f>(O109+N109)*G109+'A.0_Tablas salariales SC'!$R$109*(100%-G109)</f>
        <v>2993.71</v>
      </c>
      <c r="Q109" s="184">
        <f>IF(D109=100,'A.0_Tablas salariales SC'!$F$215,IF(D109=150,'A.0_Tablas salariales SC'!$F$216,IF(D109=189,'A.0_Tablas salariales SC'!$F$217,IF(D109=400,'A.0_Tablas salariales SC'!$F$218,IF(D109=450,'A.0_Tablas salariales SC'!$F$219,IF(D109=401,'A.0_Tablas salariales SC'!$F$220,IF(D109=451,'A.0_Tablas salariales SC'!$F$221,'A.0_Tablas salariales SC'!$F$215)))))))</f>
        <v>0.34499999999999997</v>
      </c>
      <c r="R109" s="183">
        <f t="shared" si="8"/>
        <v>1032.8299499999998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'A.1.0_TablaAntigüedad_Sub'!L110</f>
        <v>129</v>
      </c>
      <c r="I110" s="183">
        <f>'A.1.0_TablaAntigüedad_Sub'!Z110</f>
        <v>502.58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7538.7</v>
      </c>
      <c r="O110" s="183">
        <f>'A.0_Tablas salariales SC'!$K$94</f>
        <v>25208.71</v>
      </c>
      <c r="P110" s="183">
        <f>(O110+N110)*G110+'A.0_Tablas salariales SC'!$R$109*(100%-G110)</f>
        <v>2993.71</v>
      </c>
      <c r="Q110" s="184">
        <f>IF(D110=100,'A.0_Tablas salariales SC'!$F$215,IF(D110=150,'A.0_Tablas salariales SC'!$F$216,IF(D110=189,'A.0_Tablas salariales SC'!$F$217,IF(D110=400,'A.0_Tablas salariales SC'!$F$218,IF(D110=450,'A.0_Tablas salariales SC'!$F$219,IF(D110=401,'A.0_Tablas salariales SC'!$F$220,IF(D110=451,'A.0_Tablas salariales SC'!$F$221,'A.0_Tablas salariales SC'!$F$215)))))))</f>
        <v>0.34499999999999997</v>
      </c>
      <c r="R110" s="183">
        <f t="shared" si="8"/>
        <v>1032.8299499999998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'A.1.0_TablaAntigüedad_Sub'!L111</f>
        <v>129</v>
      </c>
      <c r="I111" s="183">
        <f>'A.1.0_TablaAntigüedad_Sub'!Z111</f>
        <v>502.58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7538.7</v>
      </c>
      <c r="O111" s="183">
        <f>'A.0_Tablas salariales SC'!$K$94</f>
        <v>25208.71</v>
      </c>
      <c r="P111" s="183">
        <f>(O111+N111)*G111+'A.0_Tablas salariales SC'!$R$109*(100%-G111)</f>
        <v>2993.71</v>
      </c>
      <c r="Q111" s="184">
        <f>IF(D111=100,'A.0_Tablas salariales SC'!$F$215,IF(D111=150,'A.0_Tablas salariales SC'!$F$216,IF(D111=189,'A.0_Tablas salariales SC'!$F$217,IF(D111=400,'A.0_Tablas salariales SC'!$F$218,IF(D111=450,'A.0_Tablas salariales SC'!$F$219,IF(D111=401,'A.0_Tablas salariales SC'!$F$220,IF(D111=451,'A.0_Tablas salariales SC'!$F$221,'A.0_Tablas salariales SC'!$F$215)))))))</f>
        <v>0.34499999999999997</v>
      </c>
      <c r="R111" s="183">
        <f t="shared" si="8"/>
        <v>1032.8299499999998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'A.1.0_TablaAntigüedad_Sub'!L112</f>
        <v>129</v>
      </c>
      <c r="I112" s="183">
        <f>'A.1.0_TablaAntigüedad_Sub'!Z112</f>
        <v>502.58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7538.7</v>
      </c>
      <c r="O112" s="183">
        <f>'A.0_Tablas salariales SC'!$K$94</f>
        <v>25208.71</v>
      </c>
      <c r="P112" s="183">
        <f>(O112+N112)*G112+'A.0_Tablas salariales SC'!$R$109*(100%-G112)</f>
        <v>2993.71</v>
      </c>
      <c r="Q112" s="184">
        <f>IF(D112=100,'A.0_Tablas salariales SC'!$F$215,IF(D112=150,'A.0_Tablas salariales SC'!$F$216,IF(D112=189,'A.0_Tablas salariales SC'!$F$217,IF(D112=400,'A.0_Tablas salariales SC'!$F$218,IF(D112=450,'A.0_Tablas salariales SC'!$F$219,IF(D112=401,'A.0_Tablas salariales SC'!$F$220,IF(D112=451,'A.0_Tablas salariales SC'!$F$221,'A.0_Tablas salariales SC'!$F$215)))))))</f>
        <v>0.34499999999999997</v>
      </c>
      <c r="R112" s="183">
        <f t="shared" si="8"/>
        <v>1032.8299499999998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'A.1.0_TablaAntigüedad_Sub'!L113</f>
        <v>129</v>
      </c>
      <c r="I113" s="183">
        <f>'A.1.0_TablaAntigüedad_Sub'!Z113</f>
        <v>502.58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7538.7</v>
      </c>
      <c r="O113" s="183">
        <f>'A.0_Tablas salariales SC'!$K$94</f>
        <v>25208.71</v>
      </c>
      <c r="P113" s="183">
        <f>(O113+N113)*G113+'A.0_Tablas salariales SC'!$R$109*(100%-G113)</f>
        <v>2993.71</v>
      </c>
      <c r="Q113" s="184">
        <f>IF(D113=100,'A.0_Tablas salariales SC'!$F$215,IF(D113=150,'A.0_Tablas salariales SC'!$F$216,IF(D113=189,'A.0_Tablas salariales SC'!$F$217,IF(D113=400,'A.0_Tablas salariales SC'!$F$218,IF(D113=450,'A.0_Tablas salariales SC'!$F$219,IF(D113=401,'A.0_Tablas salariales SC'!$F$220,IF(D113=451,'A.0_Tablas salariales SC'!$F$221,'A.0_Tablas salariales SC'!$F$215)))))))</f>
        <v>0.34499999999999997</v>
      </c>
      <c r="R113" s="183">
        <f t="shared" si="1"/>
        <v>1032.8299499999998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7"/>
      <c r="P114" s="174"/>
      <c r="Q114" s="177"/>
      <c r="R114" s="177"/>
      <c r="S114" s="177"/>
      <c r="T114" s="180">
        <f>SUM(S87:S113)</f>
        <v>0</v>
      </c>
    </row>
    <row r="115" spans="1:20">
      <c r="A115" s="508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2">
        <f>'A.1. Plantilla_Subrogacion'!F115</f>
        <v>0</v>
      </c>
      <c r="H115" s="181">
        <f>'A.1.0_TablaAntigüedad_Sub'!L115</f>
        <v>129</v>
      </c>
      <c r="I115" s="183">
        <f>'A.1.0_TablaAntigüedad_Sub'!Z115</f>
        <v>502.58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7538.7</v>
      </c>
      <c r="O115" s="183">
        <f>'A.0_Tablas salariales SC'!$K$95</f>
        <v>26362.059999999998</v>
      </c>
      <c r="P115" s="183">
        <f>(O115+N115)*G115+'A.0_Tablas salariales SC'!$R$109*(100%-G115)</f>
        <v>2993.71</v>
      </c>
      <c r="Q115" s="184">
        <f>IF(D115=100,'A.0_Tablas salariales SC'!$F$215,IF(D115=150,'A.0_Tablas salariales SC'!$F$216,IF(D115=189,'A.0_Tablas salariales SC'!$F$217,IF(D115=400,'A.0_Tablas salariales SC'!$F$218,IF(D115=450,'A.0_Tablas salariales SC'!$F$219,IF(D115=401,'A.0_Tablas salariales SC'!$F$220,IF(D115=451,'A.0_Tablas salariales SC'!$F$221,'A.0_Tablas salariales SC'!$F$215)))))))</f>
        <v>0.34499999999999997</v>
      </c>
      <c r="R115" s="183">
        <f t="shared" ref="R115:R175" si="10">Q115*P115</f>
        <v>1032.8299499999998</v>
      </c>
      <c r="S115" s="183">
        <f t="shared" ref="S115:S175" si="11">(R115+P115)*A115</f>
        <v>0</v>
      </c>
      <c r="T115" s="179"/>
    </row>
    <row r="116" spans="1:20">
      <c r="A116" s="508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2">
        <f>'A.1. Plantilla_Subrogacion'!F116</f>
        <v>0</v>
      </c>
      <c r="H116" s="181">
        <f>'A.1.0_TablaAntigüedad_Sub'!L116</f>
        <v>129</v>
      </c>
      <c r="I116" s="183">
        <f>'A.1.0_TablaAntigüedad_Sub'!Z116</f>
        <v>502.58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7538.7</v>
      </c>
      <c r="O116" s="183">
        <f>'A.0_Tablas salariales SC'!$K$95</f>
        <v>26362.059999999998</v>
      </c>
      <c r="P116" s="183">
        <f>(O116+N116)*G116+'A.0_Tablas salariales SC'!$R$109*(100%-G116)</f>
        <v>2993.71</v>
      </c>
      <c r="Q116" s="184">
        <f>IF(D116=100,'A.0_Tablas salariales SC'!$F$215,IF(D116=150,'A.0_Tablas salariales SC'!$F$216,IF(D116=189,'A.0_Tablas salariales SC'!$F$217,IF(D116=400,'A.0_Tablas salariales SC'!$F$218,IF(D116=450,'A.0_Tablas salariales SC'!$F$219,IF(D116=401,'A.0_Tablas salariales SC'!$F$220,IF(D116=451,'A.0_Tablas salariales SC'!$F$221,'A.0_Tablas salariales SC'!$F$215)))))))</f>
        <v>0.34499999999999997</v>
      </c>
      <c r="R116" s="183">
        <f t="shared" si="10"/>
        <v>1032.8299499999998</v>
      </c>
      <c r="S116" s="183">
        <f t="shared" si="11"/>
        <v>0</v>
      </c>
      <c r="T116" s="179"/>
    </row>
    <row r="117" spans="1:20">
      <c r="A117" s="508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2">
        <f>'A.1. Plantilla_Subrogacion'!F117</f>
        <v>0</v>
      </c>
      <c r="H117" s="181">
        <f>'A.1.0_TablaAntigüedad_Sub'!L117</f>
        <v>129</v>
      </c>
      <c r="I117" s="183">
        <f>'A.1.0_TablaAntigüedad_Sub'!Z117</f>
        <v>502.58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7538.7</v>
      </c>
      <c r="O117" s="183">
        <f>'A.0_Tablas salariales SC'!$K$95</f>
        <v>26362.059999999998</v>
      </c>
      <c r="P117" s="183">
        <f>(O117+N117)*G117+'A.0_Tablas salariales SC'!$R$109*(100%-G117)</f>
        <v>2993.71</v>
      </c>
      <c r="Q117" s="184">
        <f>IF(D117=100,'A.0_Tablas salariales SC'!$F$215,IF(D117=150,'A.0_Tablas salariales SC'!$F$216,IF(D117=189,'A.0_Tablas salariales SC'!$F$217,IF(D117=400,'A.0_Tablas salariales SC'!$F$218,IF(D117=450,'A.0_Tablas salariales SC'!$F$219,IF(D117=401,'A.0_Tablas salariales SC'!$F$220,IF(D117=451,'A.0_Tablas salariales SC'!$F$221,'A.0_Tablas salariales SC'!$F$215)))))))</f>
        <v>0.34499999999999997</v>
      </c>
      <c r="R117" s="183">
        <f t="shared" si="10"/>
        <v>1032.8299499999998</v>
      </c>
      <c r="S117" s="183">
        <f t="shared" si="11"/>
        <v>0</v>
      </c>
      <c r="T117" s="179"/>
    </row>
    <row r="118" spans="1:20">
      <c r="A118" s="508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2">
        <f>'A.1. Plantilla_Subrogacion'!F118</f>
        <v>0</v>
      </c>
      <c r="H118" s="181">
        <f>'A.1.0_TablaAntigüedad_Sub'!L118</f>
        <v>129</v>
      </c>
      <c r="I118" s="183">
        <f>'A.1.0_TablaAntigüedad_Sub'!Z118</f>
        <v>502.58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7538.7</v>
      </c>
      <c r="O118" s="183">
        <f>'A.0_Tablas salariales SC'!$K$95</f>
        <v>26362.059999999998</v>
      </c>
      <c r="P118" s="183">
        <f>(O118+N118)*G118+'A.0_Tablas salariales SC'!$R$109*(100%-G118)</f>
        <v>2993.71</v>
      </c>
      <c r="Q118" s="184">
        <f>IF(D118=100,'A.0_Tablas salariales SC'!$F$215,IF(D118=150,'A.0_Tablas salariales SC'!$F$216,IF(D118=189,'A.0_Tablas salariales SC'!$F$217,IF(D118=400,'A.0_Tablas salariales SC'!$F$218,IF(D118=450,'A.0_Tablas salariales SC'!$F$219,IF(D118=401,'A.0_Tablas salariales SC'!$F$220,IF(D118=451,'A.0_Tablas salariales SC'!$F$221,'A.0_Tablas salariales SC'!$F$215)))))))</f>
        <v>0.34499999999999997</v>
      </c>
      <c r="R118" s="183">
        <f t="shared" si="10"/>
        <v>1032.8299499999998</v>
      </c>
      <c r="S118" s="183">
        <f t="shared" si="11"/>
        <v>0</v>
      </c>
      <c r="T118" s="179"/>
    </row>
    <row r="119" spans="1:20">
      <c r="A119" s="508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2">
        <f>'A.1. Plantilla_Subrogacion'!F119</f>
        <v>0</v>
      </c>
      <c r="H119" s="181">
        <f>'A.1.0_TablaAntigüedad_Sub'!L119</f>
        <v>129</v>
      </c>
      <c r="I119" s="183">
        <f>'A.1.0_TablaAntigüedad_Sub'!Z119</f>
        <v>502.58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7538.7</v>
      </c>
      <c r="O119" s="183">
        <f>'A.0_Tablas salariales SC'!$K$95</f>
        <v>26362.059999999998</v>
      </c>
      <c r="P119" s="183">
        <f>(O119+N119)*G119+'A.0_Tablas salariales SC'!$R$109*(100%-G119)</f>
        <v>2993.71</v>
      </c>
      <c r="Q119" s="184">
        <f>IF(D119=100,'A.0_Tablas salariales SC'!$F$215,IF(D119=150,'A.0_Tablas salariales SC'!$F$216,IF(D119=189,'A.0_Tablas salariales SC'!$F$217,IF(D119=400,'A.0_Tablas salariales SC'!$F$218,IF(D119=450,'A.0_Tablas salariales SC'!$F$219,IF(D119=401,'A.0_Tablas salariales SC'!$F$220,IF(D119=451,'A.0_Tablas salariales SC'!$F$221,'A.0_Tablas salariales SC'!$F$215)))))))</f>
        <v>0.34499999999999997</v>
      </c>
      <c r="R119" s="183">
        <f t="shared" si="10"/>
        <v>1032.8299499999998</v>
      </c>
      <c r="S119" s="183">
        <f t="shared" si="11"/>
        <v>0</v>
      </c>
      <c r="T119" s="179"/>
    </row>
    <row r="120" spans="1:20">
      <c r="A120" s="508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2">
        <f>'A.1. Plantilla_Subrogacion'!F120</f>
        <v>0</v>
      </c>
      <c r="H120" s="181">
        <f>'A.1.0_TablaAntigüedad_Sub'!L120</f>
        <v>129</v>
      </c>
      <c r="I120" s="183">
        <f>'A.1.0_TablaAntigüedad_Sub'!Z120</f>
        <v>502.58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7538.7</v>
      </c>
      <c r="O120" s="183">
        <f>'A.0_Tablas salariales SC'!$K$95</f>
        <v>26362.059999999998</v>
      </c>
      <c r="P120" s="183">
        <f>(O120+N120)*G120+'A.0_Tablas salariales SC'!$R$109*(100%-G120)</f>
        <v>2993.71</v>
      </c>
      <c r="Q120" s="184">
        <f>IF(D120=100,'A.0_Tablas salariales SC'!$F$215,IF(D120=150,'A.0_Tablas salariales SC'!$F$216,IF(D120=189,'A.0_Tablas salariales SC'!$F$217,IF(D120=400,'A.0_Tablas salariales SC'!$F$218,IF(D120=450,'A.0_Tablas salariales SC'!$F$219,IF(D120=401,'A.0_Tablas salariales SC'!$F$220,IF(D120=451,'A.0_Tablas salariales SC'!$F$221,'A.0_Tablas salariales SC'!$F$215)))))))</f>
        <v>0.34499999999999997</v>
      </c>
      <c r="R120" s="183">
        <f t="shared" si="10"/>
        <v>1032.8299499999998</v>
      </c>
      <c r="S120" s="183">
        <f t="shared" si="11"/>
        <v>0</v>
      </c>
      <c r="T120" s="179"/>
    </row>
    <row r="121" spans="1:20">
      <c r="A121" s="508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2">
        <f>'A.1. Plantilla_Subrogacion'!F121</f>
        <v>0</v>
      </c>
      <c r="H121" s="181">
        <f>'A.1.0_TablaAntigüedad_Sub'!L121</f>
        <v>129</v>
      </c>
      <c r="I121" s="183">
        <f>'A.1.0_TablaAntigüedad_Sub'!Z121</f>
        <v>502.58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7538.7</v>
      </c>
      <c r="O121" s="183">
        <f>'A.0_Tablas salariales SC'!$K$95</f>
        <v>26362.059999999998</v>
      </c>
      <c r="P121" s="183">
        <f>(O121+N121)*G121+'A.0_Tablas salariales SC'!$R$109*(100%-G121)</f>
        <v>2993.71</v>
      </c>
      <c r="Q121" s="184">
        <f>IF(D121=100,'A.0_Tablas salariales SC'!$F$215,IF(D121=150,'A.0_Tablas salariales SC'!$F$216,IF(D121=189,'A.0_Tablas salariales SC'!$F$217,IF(D121=400,'A.0_Tablas salariales SC'!$F$218,IF(D121=450,'A.0_Tablas salariales SC'!$F$219,IF(D121=401,'A.0_Tablas salariales SC'!$F$220,IF(D121=451,'A.0_Tablas salariales SC'!$F$221,'A.0_Tablas salariales SC'!$F$215)))))))</f>
        <v>0.34499999999999997</v>
      </c>
      <c r="R121" s="183">
        <f t="shared" si="10"/>
        <v>1032.8299499999998</v>
      </c>
      <c r="S121" s="183">
        <f t="shared" si="11"/>
        <v>0</v>
      </c>
      <c r="T121" s="179"/>
    </row>
    <row r="122" spans="1:20">
      <c r="A122" s="508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2">
        <f>'A.1. Plantilla_Subrogacion'!F122</f>
        <v>0</v>
      </c>
      <c r="H122" s="181">
        <f>'A.1.0_TablaAntigüedad_Sub'!L122</f>
        <v>129</v>
      </c>
      <c r="I122" s="183">
        <f>'A.1.0_TablaAntigüedad_Sub'!Z122</f>
        <v>502.58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7538.7</v>
      </c>
      <c r="O122" s="183">
        <f>'A.0_Tablas salariales SC'!$K$95</f>
        <v>26362.059999999998</v>
      </c>
      <c r="P122" s="183">
        <f>(O122+N122)*G122+'A.0_Tablas salariales SC'!$R$109*(100%-G122)</f>
        <v>2993.71</v>
      </c>
      <c r="Q122" s="184">
        <f>IF(D122=100,'A.0_Tablas salariales SC'!$F$215,IF(D122=150,'A.0_Tablas salariales SC'!$F$216,IF(D122=189,'A.0_Tablas salariales SC'!$F$217,IF(D122=400,'A.0_Tablas salariales SC'!$F$218,IF(D122=450,'A.0_Tablas salariales SC'!$F$219,IF(D122=401,'A.0_Tablas salariales SC'!$F$220,IF(D122=451,'A.0_Tablas salariales SC'!$F$221,'A.0_Tablas salariales SC'!$F$215)))))))</f>
        <v>0.34499999999999997</v>
      </c>
      <c r="R122" s="183">
        <f t="shared" si="10"/>
        <v>1032.8299499999998</v>
      </c>
      <c r="S122" s="183">
        <f t="shared" si="11"/>
        <v>0</v>
      </c>
      <c r="T122" s="179"/>
    </row>
    <row r="123" spans="1:20">
      <c r="A123" s="508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2">
        <f>'A.1. Plantilla_Subrogacion'!F123</f>
        <v>0</v>
      </c>
      <c r="H123" s="181">
        <f>'A.1.0_TablaAntigüedad_Sub'!L123</f>
        <v>129</v>
      </c>
      <c r="I123" s="183">
        <f>'A.1.0_TablaAntigüedad_Sub'!Z123</f>
        <v>502.58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7538.7</v>
      </c>
      <c r="O123" s="183">
        <f>'A.0_Tablas salariales SC'!$K$95</f>
        <v>26362.059999999998</v>
      </c>
      <c r="P123" s="183">
        <f>(O123+N123)*G123+'A.0_Tablas salariales SC'!$R$109*(100%-G123)</f>
        <v>2993.71</v>
      </c>
      <c r="Q123" s="184">
        <f>IF(D123=100,'A.0_Tablas salariales SC'!$F$215,IF(D123=150,'A.0_Tablas salariales SC'!$F$216,IF(D123=189,'A.0_Tablas salariales SC'!$F$217,IF(D123=400,'A.0_Tablas salariales SC'!$F$218,IF(D123=450,'A.0_Tablas salariales SC'!$F$219,IF(D123=401,'A.0_Tablas salariales SC'!$F$220,IF(D123=451,'A.0_Tablas salariales SC'!$F$221,'A.0_Tablas salariales SC'!$F$215)))))))</f>
        <v>0.34499999999999997</v>
      </c>
      <c r="R123" s="183">
        <f t="shared" ref="R123:R137" si="12">Q123*P123</f>
        <v>1032.8299499999998</v>
      </c>
      <c r="S123" s="183">
        <f t="shared" ref="S123:S137" si="13">(R123+P123)*A123</f>
        <v>0</v>
      </c>
      <c r="T123" s="179"/>
    </row>
    <row r="124" spans="1:20">
      <c r="A124" s="508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2">
        <f>'A.1. Plantilla_Subrogacion'!F124</f>
        <v>0</v>
      </c>
      <c r="H124" s="181">
        <f>'A.1.0_TablaAntigüedad_Sub'!L124</f>
        <v>129</v>
      </c>
      <c r="I124" s="183">
        <f>'A.1.0_TablaAntigüedad_Sub'!Z124</f>
        <v>502.58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7538.7</v>
      </c>
      <c r="O124" s="183">
        <f>'A.0_Tablas salariales SC'!$K$95</f>
        <v>26362.059999999998</v>
      </c>
      <c r="P124" s="183">
        <f>(O124+N124)*G124+'A.0_Tablas salariales SC'!$R$109*(100%-G124)</f>
        <v>2993.71</v>
      </c>
      <c r="Q124" s="184">
        <f>IF(D124=100,'A.0_Tablas salariales SC'!$F$215,IF(D124=150,'A.0_Tablas salariales SC'!$F$216,IF(D124=189,'A.0_Tablas salariales SC'!$F$217,IF(D124=400,'A.0_Tablas salariales SC'!$F$218,IF(D124=450,'A.0_Tablas salariales SC'!$F$219,IF(D124=401,'A.0_Tablas salariales SC'!$F$220,IF(D124=451,'A.0_Tablas salariales SC'!$F$221,'A.0_Tablas salariales SC'!$F$215)))))))</f>
        <v>0.34499999999999997</v>
      </c>
      <c r="R124" s="183">
        <f t="shared" si="12"/>
        <v>1032.8299499999998</v>
      </c>
      <c r="S124" s="183">
        <f t="shared" si="13"/>
        <v>0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'A.1.0_TablaAntigüedad_Sub'!L125</f>
        <v>129</v>
      </c>
      <c r="I125" s="183">
        <f>'A.1.0_TablaAntigüedad_Sub'!Z125</f>
        <v>502.58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7538.7</v>
      </c>
      <c r="O125" s="183">
        <f>'A.0_Tablas salariales SC'!$K$95</f>
        <v>26362.059999999998</v>
      </c>
      <c r="P125" s="183">
        <f>(O125+N125)*G125+'A.0_Tablas salariales SC'!$R$109*(100%-G125)</f>
        <v>2993.71</v>
      </c>
      <c r="Q125" s="184">
        <f>IF(D125=100,'A.0_Tablas salariales SC'!$F$215,IF(D125=150,'A.0_Tablas salariales SC'!$F$216,IF(D125=189,'A.0_Tablas salariales SC'!$F$217,IF(D125=400,'A.0_Tablas salariales SC'!$F$218,IF(D125=450,'A.0_Tablas salariales SC'!$F$219,IF(D125=401,'A.0_Tablas salariales SC'!$F$220,IF(D125=451,'A.0_Tablas salariales SC'!$F$221,'A.0_Tablas salariales SC'!$F$215)))))))</f>
        <v>0.34499999999999997</v>
      </c>
      <c r="R125" s="183">
        <f t="shared" si="12"/>
        <v>1032.8299499999998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'A.1.0_TablaAntigüedad_Sub'!L126</f>
        <v>129</v>
      </c>
      <c r="I126" s="183">
        <f>'A.1.0_TablaAntigüedad_Sub'!Z126</f>
        <v>502.58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7538.7</v>
      </c>
      <c r="O126" s="183">
        <f>'A.0_Tablas salariales SC'!$K$95</f>
        <v>26362.059999999998</v>
      </c>
      <c r="P126" s="183">
        <f>(O126+N126)*G126+'A.0_Tablas salariales SC'!$R$109*(100%-G126)</f>
        <v>2993.71</v>
      </c>
      <c r="Q126" s="184">
        <f>IF(D126=100,'A.0_Tablas salariales SC'!$F$215,IF(D126=150,'A.0_Tablas salariales SC'!$F$216,IF(D126=189,'A.0_Tablas salariales SC'!$F$217,IF(D126=400,'A.0_Tablas salariales SC'!$F$218,IF(D126=450,'A.0_Tablas salariales SC'!$F$219,IF(D126=401,'A.0_Tablas salariales SC'!$F$220,IF(D126=451,'A.0_Tablas salariales SC'!$F$221,'A.0_Tablas salariales SC'!$F$215)))))))</f>
        <v>0.34499999999999997</v>
      </c>
      <c r="R126" s="183">
        <f t="shared" si="12"/>
        <v>1032.8299499999998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'A.1.0_TablaAntigüedad_Sub'!L127</f>
        <v>129</v>
      </c>
      <c r="I127" s="183">
        <f>'A.1.0_TablaAntigüedad_Sub'!Z127</f>
        <v>502.58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7538.7</v>
      </c>
      <c r="O127" s="183">
        <f>'A.0_Tablas salariales SC'!$K$95</f>
        <v>26362.059999999998</v>
      </c>
      <c r="P127" s="183">
        <f>(O127+N127)*G127+'A.0_Tablas salariales SC'!$R$109*(100%-G127)</f>
        <v>2993.71</v>
      </c>
      <c r="Q127" s="184">
        <f>IF(D127=100,'A.0_Tablas salariales SC'!$F$215,IF(D127=150,'A.0_Tablas salariales SC'!$F$216,IF(D127=189,'A.0_Tablas salariales SC'!$F$217,IF(D127=400,'A.0_Tablas salariales SC'!$F$218,IF(D127=450,'A.0_Tablas salariales SC'!$F$219,IF(D127=401,'A.0_Tablas salariales SC'!$F$220,IF(D127=451,'A.0_Tablas salariales SC'!$F$221,'A.0_Tablas salariales SC'!$F$215)))))))</f>
        <v>0.34499999999999997</v>
      </c>
      <c r="R127" s="183">
        <f t="shared" si="12"/>
        <v>1032.8299499999998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'A.1.0_TablaAntigüedad_Sub'!L128</f>
        <v>129</v>
      </c>
      <c r="I128" s="183">
        <f>'A.1.0_TablaAntigüedad_Sub'!Z128</f>
        <v>502.58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7538.7</v>
      </c>
      <c r="O128" s="183">
        <f>'A.0_Tablas salariales SC'!$K$95</f>
        <v>26362.059999999998</v>
      </c>
      <c r="P128" s="183">
        <f>(O128+N128)*G128+'A.0_Tablas salariales SC'!$R$109*(100%-G128)</f>
        <v>2993.71</v>
      </c>
      <c r="Q128" s="184">
        <f>IF(D128=100,'A.0_Tablas salariales SC'!$F$215,IF(D128=150,'A.0_Tablas salariales SC'!$F$216,IF(D128=189,'A.0_Tablas salariales SC'!$F$217,IF(D128=400,'A.0_Tablas salariales SC'!$F$218,IF(D128=450,'A.0_Tablas salariales SC'!$F$219,IF(D128=401,'A.0_Tablas salariales SC'!$F$220,IF(D128=451,'A.0_Tablas salariales SC'!$F$221,'A.0_Tablas salariales SC'!$F$215)))))))</f>
        <v>0.34499999999999997</v>
      </c>
      <c r="R128" s="183">
        <f t="shared" si="12"/>
        <v>1032.8299499999998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'A.1.0_TablaAntigüedad_Sub'!L129</f>
        <v>129</v>
      </c>
      <c r="I129" s="183">
        <f>'A.1.0_TablaAntigüedad_Sub'!Z129</f>
        <v>502.58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7538.7</v>
      </c>
      <c r="O129" s="183">
        <f>'A.0_Tablas salariales SC'!$K$95</f>
        <v>26362.059999999998</v>
      </c>
      <c r="P129" s="183">
        <f>(O129+N129)*G129+'A.0_Tablas salariales SC'!$R$109*(100%-G129)</f>
        <v>2993.71</v>
      </c>
      <c r="Q129" s="184">
        <f>IF(D129=100,'A.0_Tablas salariales SC'!$F$215,IF(D129=150,'A.0_Tablas salariales SC'!$F$216,IF(D129=189,'A.0_Tablas salariales SC'!$F$217,IF(D129=400,'A.0_Tablas salariales SC'!$F$218,IF(D129=450,'A.0_Tablas salariales SC'!$F$219,IF(D129=401,'A.0_Tablas salariales SC'!$F$220,IF(D129=451,'A.0_Tablas salariales SC'!$F$221,'A.0_Tablas salariales SC'!$F$215)))))))</f>
        <v>0.34499999999999997</v>
      </c>
      <c r="R129" s="183">
        <f t="shared" si="12"/>
        <v>1032.8299499999998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'A.1.0_TablaAntigüedad_Sub'!L130</f>
        <v>129</v>
      </c>
      <c r="I130" s="183">
        <f>'A.1.0_TablaAntigüedad_Sub'!Z130</f>
        <v>502.58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7538.7</v>
      </c>
      <c r="O130" s="183">
        <f>'A.0_Tablas salariales SC'!$K$95</f>
        <v>26362.059999999998</v>
      </c>
      <c r="P130" s="183">
        <f>(O130+N130)*G130+'A.0_Tablas salariales SC'!$R$109*(100%-G130)</f>
        <v>2993.71</v>
      </c>
      <c r="Q130" s="184">
        <f>IF(D130=100,'A.0_Tablas salariales SC'!$F$215,IF(D130=150,'A.0_Tablas salariales SC'!$F$216,IF(D130=189,'A.0_Tablas salariales SC'!$F$217,IF(D130=400,'A.0_Tablas salariales SC'!$F$218,IF(D130=450,'A.0_Tablas salariales SC'!$F$219,IF(D130=401,'A.0_Tablas salariales SC'!$F$220,IF(D130=451,'A.0_Tablas salariales SC'!$F$221,'A.0_Tablas salariales SC'!$F$215)))))))</f>
        <v>0.34499999999999997</v>
      </c>
      <c r="R130" s="183">
        <f t="shared" si="12"/>
        <v>1032.8299499999998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'A.1.0_TablaAntigüedad_Sub'!L131</f>
        <v>129</v>
      </c>
      <c r="I131" s="183">
        <f>'A.1.0_TablaAntigüedad_Sub'!Z131</f>
        <v>502.58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7538.7</v>
      </c>
      <c r="O131" s="183">
        <f>'A.0_Tablas salariales SC'!$K$95</f>
        <v>26362.059999999998</v>
      </c>
      <c r="P131" s="183">
        <f>(O131+N131)*G131+'A.0_Tablas salariales SC'!$R$109*(100%-G131)</f>
        <v>2993.71</v>
      </c>
      <c r="Q131" s="184">
        <f>IF(D131=100,'A.0_Tablas salariales SC'!$F$215,IF(D131=150,'A.0_Tablas salariales SC'!$F$216,IF(D131=189,'A.0_Tablas salariales SC'!$F$217,IF(D131=400,'A.0_Tablas salariales SC'!$F$218,IF(D131=450,'A.0_Tablas salariales SC'!$F$219,IF(D131=401,'A.0_Tablas salariales SC'!$F$220,IF(D131=451,'A.0_Tablas salariales SC'!$F$221,'A.0_Tablas salariales SC'!$F$215)))))))</f>
        <v>0.34499999999999997</v>
      </c>
      <c r="R131" s="183">
        <f t="shared" si="12"/>
        <v>1032.8299499999998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'A.1.0_TablaAntigüedad_Sub'!L132</f>
        <v>129</v>
      </c>
      <c r="I132" s="183">
        <f>'A.1.0_TablaAntigüedad_Sub'!Z132</f>
        <v>502.58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7538.7</v>
      </c>
      <c r="O132" s="183">
        <f>'A.0_Tablas salariales SC'!$K$95</f>
        <v>26362.059999999998</v>
      </c>
      <c r="P132" s="183">
        <f>(O132+N132)*G132+'A.0_Tablas salariales SC'!$R$109*(100%-G132)</f>
        <v>2993.71</v>
      </c>
      <c r="Q132" s="184">
        <f>IF(D132=100,'A.0_Tablas salariales SC'!$F$215,IF(D132=150,'A.0_Tablas salariales SC'!$F$216,IF(D132=189,'A.0_Tablas salariales SC'!$F$217,IF(D132=400,'A.0_Tablas salariales SC'!$F$218,IF(D132=450,'A.0_Tablas salariales SC'!$F$219,IF(D132=401,'A.0_Tablas salariales SC'!$F$220,IF(D132=451,'A.0_Tablas salariales SC'!$F$221,'A.0_Tablas salariales SC'!$F$215)))))))</f>
        <v>0.34499999999999997</v>
      </c>
      <c r="R132" s="183">
        <f t="shared" si="12"/>
        <v>1032.8299499999998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'A.1.0_TablaAntigüedad_Sub'!L133</f>
        <v>129</v>
      </c>
      <c r="I133" s="183">
        <f>'A.1.0_TablaAntigüedad_Sub'!Z133</f>
        <v>502.58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7538.7</v>
      </c>
      <c r="O133" s="183">
        <f>'A.0_Tablas salariales SC'!$K$95</f>
        <v>26362.059999999998</v>
      </c>
      <c r="P133" s="183">
        <f>(O133+N133)*G133+'A.0_Tablas salariales SC'!$R$109*(100%-G133)</f>
        <v>2993.71</v>
      </c>
      <c r="Q133" s="184">
        <f>IF(D133=100,'A.0_Tablas salariales SC'!$F$215,IF(D133=150,'A.0_Tablas salariales SC'!$F$216,IF(D133=189,'A.0_Tablas salariales SC'!$F$217,IF(D133=400,'A.0_Tablas salariales SC'!$F$218,IF(D133=450,'A.0_Tablas salariales SC'!$F$219,IF(D133=401,'A.0_Tablas salariales SC'!$F$220,IF(D133=451,'A.0_Tablas salariales SC'!$F$221,'A.0_Tablas salariales SC'!$F$215)))))))</f>
        <v>0.34499999999999997</v>
      </c>
      <c r="R133" s="183">
        <f t="shared" si="12"/>
        <v>1032.8299499999998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'A.1.0_TablaAntigüedad_Sub'!L134</f>
        <v>129</v>
      </c>
      <c r="I134" s="183">
        <f>'A.1.0_TablaAntigüedad_Sub'!Z134</f>
        <v>502.58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7538.7</v>
      </c>
      <c r="O134" s="183">
        <f>'A.0_Tablas salariales SC'!$K$95</f>
        <v>26362.059999999998</v>
      </c>
      <c r="P134" s="183">
        <f>(O134+N134)*G134+'A.0_Tablas salariales SC'!$R$109*(100%-G134)</f>
        <v>2993.71</v>
      </c>
      <c r="Q134" s="184">
        <f>IF(D134=100,'A.0_Tablas salariales SC'!$F$215,IF(D134=150,'A.0_Tablas salariales SC'!$F$216,IF(D134=189,'A.0_Tablas salariales SC'!$F$217,IF(D134=400,'A.0_Tablas salariales SC'!$F$218,IF(D134=450,'A.0_Tablas salariales SC'!$F$219,IF(D134=401,'A.0_Tablas salariales SC'!$F$220,IF(D134=451,'A.0_Tablas salariales SC'!$F$221,'A.0_Tablas salariales SC'!$F$215)))))))</f>
        <v>0.34499999999999997</v>
      </c>
      <c r="R134" s="183">
        <f t="shared" si="12"/>
        <v>1032.8299499999998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'A.1.0_TablaAntigüedad_Sub'!L135</f>
        <v>129</v>
      </c>
      <c r="I135" s="183">
        <f>'A.1.0_TablaAntigüedad_Sub'!Z135</f>
        <v>502.58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7538.7</v>
      </c>
      <c r="O135" s="183">
        <f>'A.0_Tablas salariales SC'!$K$95</f>
        <v>26362.059999999998</v>
      </c>
      <c r="P135" s="183">
        <f>(O135+N135)*G135+'A.0_Tablas salariales SC'!$R$109*(100%-G135)</f>
        <v>2993.71</v>
      </c>
      <c r="Q135" s="184">
        <f>IF(D135=100,'A.0_Tablas salariales SC'!$F$215,IF(D135=150,'A.0_Tablas salariales SC'!$F$216,IF(D135=189,'A.0_Tablas salariales SC'!$F$217,IF(D135=400,'A.0_Tablas salariales SC'!$F$218,IF(D135=450,'A.0_Tablas salariales SC'!$F$219,IF(D135=401,'A.0_Tablas salariales SC'!$F$220,IF(D135=451,'A.0_Tablas salariales SC'!$F$221,'A.0_Tablas salariales SC'!$F$215)))))))</f>
        <v>0.34499999999999997</v>
      </c>
      <c r="R135" s="183">
        <f t="shared" si="12"/>
        <v>1032.8299499999998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'A.1.0_TablaAntigüedad_Sub'!L136</f>
        <v>129</v>
      </c>
      <c r="I136" s="183">
        <f>'A.1.0_TablaAntigüedad_Sub'!Z136</f>
        <v>502.58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7538.7</v>
      </c>
      <c r="O136" s="183">
        <f>'A.0_Tablas salariales SC'!$K$95</f>
        <v>26362.059999999998</v>
      </c>
      <c r="P136" s="183">
        <f>(O136+N136)*G136+'A.0_Tablas salariales SC'!$R$109*(100%-G136)</f>
        <v>2993.71</v>
      </c>
      <c r="Q136" s="184">
        <f>IF(D136=100,'A.0_Tablas salariales SC'!$F$215,IF(D136=150,'A.0_Tablas salariales SC'!$F$216,IF(D136=189,'A.0_Tablas salariales SC'!$F$217,IF(D136=400,'A.0_Tablas salariales SC'!$F$218,IF(D136=450,'A.0_Tablas salariales SC'!$F$219,IF(D136=401,'A.0_Tablas salariales SC'!$F$220,IF(D136=451,'A.0_Tablas salariales SC'!$F$221,'A.0_Tablas salariales SC'!$F$215)))))))</f>
        <v>0.34499999999999997</v>
      </c>
      <c r="R136" s="183">
        <f t="shared" si="12"/>
        <v>1032.8299499999998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'A.1.0_TablaAntigüedad_Sub'!L137</f>
        <v>129</v>
      </c>
      <c r="I137" s="183">
        <f>'A.1.0_TablaAntigüedad_Sub'!Z137</f>
        <v>502.58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7538.7</v>
      </c>
      <c r="O137" s="183">
        <f>'A.0_Tablas salariales SC'!$K$95</f>
        <v>26362.059999999998</v>
      </c>
      <c r="P137" s="183">
        <f>(O137+N137)*G137+'A.0_Tablas salariales SC'!$R$109*(100%-G137)</f>
        <v>2993.71</v>
      </c>
      <c r="Q137" s="184">
        <f>IF(D137=100,'A.0_Tablas salariales SC'!$F$215,IF(D137=150,'A.0_Tablas salariales SC'!$F$216,IF(D137=189,'A.0_Tablas salariales SC'!$F$217,IF(D137=400,'A.0_Tablas salariales SC'!$F$218,IF(D137=450,'A.0_Tablas salariales SC'!$F$219,IF(D137=401,'A.0_Tablas salariales SC'!$F$220,IF(D137=451,'A.0_Tablas salariales SC'!$F$221,'A.0_Tablas salariales SC'!$F$215)))))))</f>
        <v>0.34499999999999997</v>
      </c>
      <c r="R137" s="183">
        <f t="shared" si="12"/>
        <v>1032.8299499999998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'A.1.0_TablaAntigüedad_Sub'!L138</f>
        <v>129</v>
      </c>
      <c r="I138" s="183">
        <f>'A.1.0_TablaAntigüedad_Sub'!Z138</f>
        <v>502.58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7538.7</v>
      </c>
      <c r="O138" s="183">
        <f>'A.0_Tablas salariales SC'!$K$95</f>
        <v>26362.059999999998</v>
      </c>
      <c r="P138" s="183">
        <f>(O138+N138)*G138+'A.0_Tablas salariales SC'!$R$109*(100%-G138)</f>
        <v>2993.71</v>
      </c>
      <c r="Q138" s="184">
        <f>IF(D138=100,'A.0_Tablas salariales SC'!$F$215,IF(D138=150,'A.0_Tablas salariales SC'!$F$216,IF(D138=189,'A.0_Tablas salariales SC'!$F$217,IF(D138=400,'A.0_Tablas salariales SC'!$F$218,IF(D138=450,'A.0_Tablas salariales SC'!$F$219,IF(D138=401,'A.0_Tablas salariales SC'!$F$220,IF(D138=451,'A.0_Tablas salariales SC'!$F$221,'A.0_Tablas salariales SC'!$F$215)))))))</f>
        <v>0.34499999999999997</v>
      </c>
      <c r="R138" s="183">
        <f t="shared" si="10"/>
        <v>1032.8299499999998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0</v>
      </c>
    </row>
    <row r="140" spans="1:20">
      <c r="A140" s="508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2">
        <f>'A.1. Plantilla_Subrogacion'!F140</f>
        <v>0</v>
      </c>
      <c r="H140" s="181">
        <f>'A.1.0_TablaAntigüedad_Sub'!L140</f>
        <v>129</v>
      </c>
      <c r="I140" s="183">
        <f>'A.1.0_TablaAntigüedad_Sub'!Z140</f>
        <v>502.58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7538.7</v>
      </c>
      <c r="O140" s="183">
        <f>'A.0_Tablas salariales SC'!$K$95</f>
        <v>26362.059999999998</v>
      </c>
      <c r="P140" s="183">
        <f>(O140+N140)*G140+'A.0_Tablas salariales SC'!$R$109*(100%-G140)</f>
        <v>2993.71</v>
      </c>
      <c r="Q140" s="492">
        <f>IF(D140=100,'A.0_Tablas salariales SC'!$F$227,IF(D140=150,'A.0_Tablas salariales SC'!$F$228,IF(D140=189,'A.0_Tablas salariales SC'!$F$229,IF(D140=400,'A.0_Tablas salariales SC'!$F$230,IF(D140=450,'A.0_Tablas salariales SC'!$F$231,IF(D140=401,'A.0_Tablas salariales SC'!$F$232,IF(D140=451,'A.0_Tablas salariales SC'!$F$233,'A.0_Tablas salariales SC'!$F$227)))))))</f>
        <v>0.376</v>
      </c>
      <c r="R140" s="183">
        <f t="shared" si="10"/>
        <v>1125.6349600000001</v>
      </c>
      <c r="S140" s="183">
        <f t="shared" si="11"/>
        <v>0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'A.1.0_TablaAntigüedad_Sub'!L141</f>
        <v>129</v>
      </c>
      <c r="I141" s="183">
        <f>'A.1.0_TablaAntigüedad_Sub'!Z141</f>
        <v>502.58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7538.7</v>
      </c>
      <c r="O141" s="183">
        <f>'A.0_Tablas salariales SC'!$K$95</f>
        <v>26362.059999999998</v>
      </c>
      <c r="P141" s="183">
        <f>(O141+N141)*G141+'A.0_Tablas salariales SC'!$R$109*(100%-G141)</f>
        <v>2993.71</v>
      </c>
      <c r="Q141" s="492">
        <f>IF(D141=100,'A.0_Tablas salariales SC'!$F$227,IF(D141=150,'A.0_Tablas salariales SC'!$F$228,IF(D141=189,'A.0_Tablas salariales SC'!$F$229,IF(D141=400,'A.0_Tablas salariales SC'!$F$230,IF(D141=450,'A.0_Tablas salariales SC'!$F$231,IF(D141=401,'A.0_Tablas salariales SC'!$F$232,IF(D141=451,'A.0_Tablas salariales SC'!$F$233,'A.0_Tablas salariales SC'!$F$227)))))))</f>
        <v>0.376</v>
      </c>
      <c r="R141" s="183">
        <f t="shared" si="10"/>
        <v>1125.6349600000001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'A.1.0_TablaAntigüedad_Sub'!L142</f>
        <v>129</v>
      </c>
      <c r="I142" s="183">
        <f>'A.1.0_TablaAntigüedad_Sub'!Z142</f>
        <v>502.58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7538.7</v>
      </c>
      <c r="O142" s="183">
        <f>'A.0_Tablas salariales SC'!$K$95</f>
        <v>26362.059999999998</v>
      </c>
      <c r="P142" s="183">
        <f>(O142+N142)*G142+'A.0_Tablas salariales SC'!$R$109*(100%-G142)</f>
        <v>2993.71</v>
      </c>
      <c r="Q142" s="492">
        <f>IF(D142=100,'A.0_Tablas salariales SC'!$F$227,IF(D142=150,'A.0_Tablas salariales SC'!$F$228,IF(D142=189,'A.0_Tablas salariales SC'!$F$229,IF(D142=400,'A.0_Tablas salariales SC'!$F$230,IF(D142=450,'A.0_Tablas salariales SC'!$F$231,IF(D142=401,'A.0_Tablas salariales SC'!$F$232,IF(D142=451,'A.0_Tablas salariales SC'!$F$233,'A.0_Tablas salariales SC'!$F$227)))))))</f>
        <v>0.376</v>
      </c>
      <c r="R142" s="183">
        <f t="shared" si="10"/>
        <v>1125.6349600000001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'A.1.0_TablaAntigüedad_Sub'!L143</f>
        <v>129</v>
      </c>
      <c r="I143" s="183">
        <f>'A.1.0_TablaAntigüedad_Sub'!Z143</f>
        <v>502.58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7538.7</v>
      </c>
      <c r="O143" s="183">
        <f>'A.0_Tablas salariales SC'!$K$95</f>
        <v>26362.059999999998</v>
      </c>
      <c r="P143" s="183">
        <f>(O143+N143)*G143+'A.0_Tablas salariales SC'!$R$109*(100%-G143)</f>
        <v>2993.71</v>
      </c>
      <c r="Q143" s="492">
        <f>IF(D143=100,'A.0_Tablas salariales SC'!$F$227,IF(D143=150,'A.0_Tablas salariales SC'!$F$228,IF(D143=189,'A.0_Tablas salariales SC'!$F$229,IF(D143=400,'A.0_Tablas salariales SC'!$F$230,IF(D143=450,'A.0_Tablas salariales SC'!$F$231,IF(D143=401,'A.0_Tablas salariales SC'!$F$232,IF(D143=451,'A.0_Tablas salariales SC'!$F$233,'A.0_Tablas salariales SC'!$F$227)))))))</f>
        <v>0.376</v>
      </c>
      <c r="R143" s="183">
        <f t="shared" ref="R143:R150" si="15">Q143*P143</f>
        <v>1125.6349600000001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'A.1.0_TablaAntigüedad_Sub'!L144</f>
        <v>129</v>
      </c>
      <c r="I144" s="183">
        <f>'A.1.0_TablaAntigüedad_Sub'!Z144</f>
        <v>502.58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7538.7</v>
      </c>
      <c r="O144" s="183">
        <f>'A.0_Tablas salariales SC'!$K$95</f>
        <v>26362.059999999998</v>
      </c>
      <c r="P144" s="183">
        <f>(O144+N144)*G144+'A.0_Tablas salariales SC'!$R$109*(100%-G144)</f>
        <v>2993.71</v>
      </c>
      <c r="Q144" s="492">
        <f>IF(D144=100,'A.0_Tablas salariales SC'!$F$227,IF(D144=150,'A.0_Tablas salariales SC'!$F$228,IF(D144=189,'A.0_Tablas salariales SC'!$F$229,IF(D144=400,'A.0_Tablas salariales SC'!$F$230,IF(D144=450,'A.0_Tablas salariales SC'!$F$231,IF(D144=401,'A.0_Tablas salariales SC'!$F$232,IF(D144=451,'A.0_Tablas salariales SC'!$F$233,'A.0_Tablas salariales SC'!$F$227)))))))</f>
        <v>0.376</v>
      </c>
      <c r="R144" s="183">
        <f t="shared" si="15"/>
        <v>1125.6349600000001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'A.1.0_TablaAntigüedad_Sub'!L145</f>
        <v>129</v>
      </c>
      <c r="I145" s="183">
        <f>'A.1.0_TablaAntigüedad_Sub'!Z145</f>
        <v>502.58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7538.7</v>
      </c>
      <c r="O145" s="183">
        <f>'A.0_Tablas salariales SC'!$K$95</f>
        <v>26362.059999999998</v>
      </c>
      <c r="P145" s="183">
        <f>(O145+N145)*G145+'A.0_Tablas salariales SC'!$R$109*(100%-G145)</f>
        <v>2993.71</v>
      </c>
      <c r="Q145" s="492">
        <f>IF(D145=100,'A.0_Tablas salariales SC'!$F$227,IF(D145=150,'A.0_Tablas salariales SC'!$F$228,IF(D145=189,'A.0_Tablas salariales SC'!$F$229,IF(D145=400,'A.0_Tablas salariales SC'!$F$230,IF(D145=450,'A.0_Tablas salariales SC'!$F$231,IF(D145=401,'A.0_Tablas salariales SC'!$F$232,IF(D145=451,'A.0_Tablas salariales SC'!$F$233,'A.0_Tablas salariales SC'!$F$227)))))))</f>
        <v>0.376</v>
      </c>
      <c r="R145" s="183">
        <f t="shared" si="15"/>
        <v>1125.6349600000001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'A.1.0_TablaAntigüedad_Sub'!L146</f>
        <v>129</v>
      </c>
      <c r="I146" s="183">
        <f>'A.1.0_TablaAntigüedad_Sub'!Z146</f>
        <v>502.58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7538.7</v>
      </c>
      <c r="O146" s="183">
        <f>'A.0_Tablas salariales SC'!$K$95</f>
        <v>26362.059999999998</v>
      </c>
      <c r="P146" s="183">
        <f>(O146+N146)*G146+'A.0_Tablas salariales SC'!$R$109*(100%-G146)</f>
        <v>2993.71</v>
      </c>
      <c r="Q146" s="492">
        <f>IF(D146=100,'A.0_Tablas salariales SC'!$F$227,IF(D146=150,'A.0_Tablas salariales SC'!$F$228,IF(D146=189,'A.0_Tablas salariales SC'!$F$229,IF(D146=400,'A.0_Tablas salariales SC'!$F$230,IF(D146=450,'A.0_Tablas salariales SC'!$F$231,IF(D146=401,'A.0_Tablas salariales SC'!$F$232,IF(D146=451,'A.0_Tablas salariales SC'!$F$233,'A.0_Tablas salariales SC'!$F$227)))))))</f>
        <v>0.376</v>
      </c>
      <c r="R146" s="183">
        <f t="shared" si="15"/>
        <v>1125.6349600000001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'A.1.0_TablaAntigüedad_Sub'!L147</f>
        <v>129</v>
      </c>
      <c r="I147" s="183">
        <f>'A.1.0_TablaAntigüedad_Sub'!Z147</f>
        <v>502.58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7538.7</v>
      </c>
      <c r="O147" s="183">
        <f>'A.0_Tablas salariales SC'!$K$95</f>
        <v>26362.059999999998</v>
      </c>
      <c r="P147" s="183">
        <f>(O147+N147)*G147+'A.0_Tablas salariales SC'!$R$109*(100%-G147)</f>
        <v>2993.71</v>
      </c>
      <c r="Q147" s="492">
        <f>IF(D147=100,'A.0_Tablas salariales SC'!$F$227,IF(D147=150,'A.0_Tablas salariales SC'!$F$228,IF(D147=189,'A.0_Tablas salariales SC'!$F$229,IF(D147=400,'A.0_Tablas salariales SC'!$F$230,IF(D147=450,'A.0_Tablas salariales SC'!$F$231,IF(D147=401,'A.0_Tablas salariales SC'!$F$232,IF(D147=451,'A.0_Tablas salariales SC'!$F$233,'A.0_Tablas salariales SC'!$F$227)))))))</f>
        <v>0.376</v>
      </c>
      <c r="R147" s="183">
        <f t="shared" si="15"/>
        <v>1125.6349600000001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'A.1.0_TablaAntigüedad_Sub'!L148</f>
        <v>129</v>
      </c>
      <c r="I148" s="183">
        <f>'A.1.0_TablaAntigüedad_Sub'!Z148</f>
        <v>502.58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7538.7</v>
      </c>
      <c r="O148" s="183">
        <f>'A.0_Tablas salariales SC'!$K$95</f>
        <v>26362.059999999998</v>
      </c>
      <c r="P148" s="183">
        <f>(O148+N148)*G148+'A.0_Tablas salariales SC'!$R$109*(100%-G148)</f>
        <v>2993.71</v>
      </c>
      <c r="Q148" s="492">
        <f>IF(D148=100,'A.0_Tablas salariales SC'!$F$227,IF(D148=150,'A.0_Tablas salariales SC'!$F$228,IF(D148=189,'A.0_Tablas salariales SC'!$F$229,IF(D148=400,'A.0_Tablas salariales SC'!$F$230,IF(D148=450,'A.0_Tablas salariales SC'!$F$231,IF(D148=401,'A.0_Tablas salariales SC'!$F$232,IF(D148=451,'A.0_Tablas salariales SC'!$F$233,'A.0_Tablas salariales SC'!$F$227)))))))</f>
        <v>0.376</v>
      </c>
      <c r="R148" s="183">
        <f t="shared" si="15"/>
        <v>1125.6349600000001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'A.1.0_TablaAntigüedad_Sub'!L149</f>
        <v>129</v>
      </c>
      <c r="I149" s="183">
        <f>'A.1.0_TablaAntigüedad_Sub'!Z149</f>
        <v>502.58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7538.7</v>
      </c>
      <c r="O149" s="183">
        <f>'A.0_Tablas salariales SC'!$K$95</f>
        <v>26362.059999999998</v>
      </c>
      <c r="P149" s="183">
        <f>(O149+N149)*G149+'A.0_Tablas salariales SC'!$R$109*(100%-G149)</f>
        <v>2993.71</v>
      </c>
      <c r="Q149" s="492">
        <f>IF(D149=100,'A.0_Tablas salariales SC'!$F$227,IF(D149=150,'A.0_Tablas salariales SC'!$F$228,IF(D149=189,'A.0_Tablas salariales SC'!$F$229,IF(D149=400,'A.0_Tablas salariales SC'!$F$230,IF(D149=450,'A.0_Tablas salariales SC'!$F$231,IF(D149=401,'A.0_Tablas salariales SC'!$F$232,IF(D149=451,'A.0_Tablas salariales SC'!$F$233,'A.0_Tablas salariales SC'!$F$227)))))))</f>
        <v>0.376</v>
      </c>
      <c r="R149" s="183">
        <f t="shared" si="15"/>
        <v>1125.6349600000001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'A.1.0_TablaAntigüedad_Sub'!L150</f>
        <v>129</v>
      </c>
      <c r="I150" s="183">
        <f>'A.1.0_TablaAntigüedad_Sub'!Z150</f>
        <v>502.58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7538.7</v>
      </c>
      <c r="O150" s="183">
        <f>'A.0_Tablas salariales SC'!$K$95</f>
        <v>26362.059999999998</v>
      </c>
      <c r="P150" s="183">
        <f>(O150+N150)*G150+'A.0_Tablas salariales SC'!$R$109*(100%-G150)</f>
        <v>2993.71</v>
      </c>
      <c r="Q150" s="492">
        <f>IF(D150=100,'A.0_Tablas salariales SC'!$F$227,IF(D150=150,'A.0_Tablas salariales SC'!$F$228,IF(D150=189,'A.0_Tablas salariales SC'!$F$229,IF(D150=400,'A.0_Tablas salariales SC'!$F$230,IF(D150=450,'A.0_Tablas salariales SC'!$F$231,IF(D150=401,'A.0_Tablas salariales SC'!$F$232,IF(D150=451,'A.0_Tablas salariales SC'!$F$233,'A.0_Tablas salariales SC'!$F$227)))))))</f>
        <v>0.376</v>
      </c>
      <c r="R150" s="183">
        <f t="shared" si="15"/>
        <v>1125.6349600000001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'A.1.0_TablaAntigüedad_Sub'!L151</f>
        <v>129</v>
      </c>
      <c r="I151" s="183">
        <f>'A.1.0_TablaAntigüedad_Sub'!Z151</f>
        <v>502.58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7538.7</v>
      </c>
      <c r="O151" s="183">
        <f>'A.0_Tablas salariales SC'!$K$95</f>
        <v>26362.059999999998</v>
      </c>
      <c r="P151" s="183">
        <f>(O151+N151)*G151+'A.0_Tablas salariales SC'!$R$109*(100%-G151)</f>
        <v>2993.71</v>
      </c>
      <c r="Q151" s="492">
        <f>IF(D151=100,'A.0_Tablas salariales SC'!$F$227,IF(D151=150,'A.0_Tablas salariales SC'!$F$228,IF(D151=189,'A.0_Tablas salariales SC'!$F$229,IF(D151=400,'A.0_Tablas salariales SC'!$F$230,IF(D151=450,'A.0_Tablas salariales SC'!$F$231,IF(D151=401,'A.0_Tablas salariales SC'!$F$232,IF(D151=451,'A.0_Tablas salariales SC'!$F$233,'A.0_Tablas salariales SC'!$F$227)))))))</f>
        <v>0.376</v>
      </c>
      <c r="R151" s="183">
        <f t="shared" si="10"/>
        <v>1125.6349600000001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0</v>
      </c>
    </row>
    <row r="153" spans="1:20">
      <c r="A153" s="508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2">
        <f>'A.1. Plantilla_Subrogacion'!F153</f>
        <v>0</v>
      </c>
      <c r="H153" s="181">
        <f>'A.1.0_TablaAntigüedad_Sub'!L153</f>
        <v>129</v>
      </c>
      <c r="I153" s="183">
        <f>'A.1.0_TablaAntigüedad_Sub'!Z153</f>
        <v>502.58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7538.7</v>
      </c>
      <c r="O153" s="183">
        <f>'A.0_Tablas salariales SC'!$K$98</f>
        <v>27417.909999999996</v>
      </c>
      <c r="P153" s="183">
        <f>(O153+N153)*G153+'A.0_Tablas salariales SC'!$R$109*(100%-G153)</f>
        <v>2993.71</v>
      </c>
      <c r="Q153" s="184">
        <f>IF(D153=100,'A.0_Tablas salariales SC'!$F$215,IF(D153=150,'A.0_Tablas salariales SC'!$F$216,IF(D153=189,'A.0_Tablas salariales SC'!$F$217,IF(D153=400,'A.0_Tablas salariales SC'!$F$218,IF(D153=450,'A.0_Tablas salariales SC'!$F$219,IF(D153=401,'A.0_Tablas salariales SC'!$F$220,IF(D153=451,'A.0_Tablas salariales SC'!$F$221,'A.0_Tablas salariales SC'!$F$215)))))))</f>
        <v>0.34499999999999997</v>
      </c>
      <c r="R153" s="183">
        <f t="shared" si="10"/>
        <v>1032.8299499999998</v>
      </c>
      <c r="S153" s="183">
        <f t="shared" si="11"/>
        <v>0</v>
      </c>
      <c r="T153" s="179"/>
    </row>
    <row r="154" spans="1:20">
      <c r="A154" s="508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2">
        <f>'A.1. Plantilla_Subrogacion'!F154</f>
        <v>0</v>
      </c>
      <c r="H154" s="181">
        <f>'A.1.0_TablaAntigüedad_Sub'!L154</f>
        <v>129</v>
      </c>
      <c r="I154" s="183">
        <f>'A.1.0_TablaAntigüedad_Sub'!Z154</f>
        <v>502.58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7538.7</v>
      </c>
      <c r="O154" s="183">
        <f>'A.0_Tablas salariales SC'!$K$98</f>
        <v>27417.909999999996</v>
      </c>
      <c r="P154" s="183">
        <f>(O154+N154)*G154+'A.0_Tablas salariales SC'!$R$109*(100%-G154)</f>
        <v>2993.71</v>
      </c>
      <c r="Q154" s="184">
        <f>IF(D154=100,'A.0_Tablas salariales SC'!$F$215,IF(D154=150,'A.0_Tablas salariales SC'!$F$216,IF(D154=189,'A.0_Tablas salariales SC'!$F$217,IF(D154=400,'A.0_Tablas salariales SC'!$F$218,IF(D154=450,'A.0_Tablas salariales SC'!$F$219,IF(D154=401,'A.0_Tablas salariales SC'!$F$220,IF(D154=451,'A.0_Tablas salariales SC'!$F$221,'A.0_Tablas salariales SC'!$F$215)))))))</f>
        <v>0.34499999999999997</v>
      </c>
      <c r="R154" s="183">
        <f t="shared" ref="R154:R161" si="17">Q154*P154</f>
        <v>1032.8299499999998</v>
      </c>
      <c r="S154" s="183">
        <f t="shared" ref="S154:S161" si="18">(R154+P154)*A154</f>
        <v>0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'A.1.0_TablaAntigüedad_Sub'!L155</f>
        <v>129</v>
      </c>
      <c r="I155" s="183">
        <f>'A.1.0_TablaAntigüedad_Sub'!Z155</f>
        <v>502.58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7538.7</v>
      </c>
      <c r="O155" s="183">
        <f>'A.0_Tablas salariales SC'!$K$98</f>
        <v>27417.909999999996</v>
      </c>
      <c r="P155" s="183">
        <f>(O155+N155)*G155+'A.0_Tablas salariales SC'!$R$109*(100%-G155)</f>
        <v>2993.71</v>
      </c>
      <c r="Q155" s="184">
        <f>IF(D155=100,'A.0_Tablas salariales SC'!$F$215,IF(D155=150,'A.0_Tablas salariales SC'!$F$216,IF(D155=189,'A.0_Tablas salariales SC'!$F$217,IF(D155=400,'A.0_Tablas salariales SC'!$F$218,IF(D155=450,'A.0_Tablas salariales SC'!$F$219,IF(D155=401,'A.0_Tablas salariales SC'!$F$220,IF(D155=451,'A.0_Tablas salariales SC'!$F$221,'A.0_Tablas salariales SC'!$F$215)))))))</f>
        <v>0.34499999999999997</v>
      </c>
      <c r="R155" s="183">
        <f t="shared" si="17"/>
        <v>1032.8299499999998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'A.1.0_TablaAntigüedad_Sub'!L156</f>
        <v>129</v>
      </c>
      <c r="I156" s="183">
        <f>'A.1.0_TablaAntigüedad_Sub'!Z156</f>
        <v>502.58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7538.7</v>
      </c>
      <c r="O156" s="183">
        <f>'A.0_Tablas salariales SC'!$K$98</f>
        <v>27417.909999999996</v>
      </c>
      <c r="P156" s="183">
        <f>(O156+N156)*G156+'A.0_Tablas salariales SC'!$R$109*(100%-G156)</f>
        <v>2993.71</v>
      </c>
      <c r="Q156" s="184">
        <f>IF(D156=100,'A.0_Tablas salariales SC'!$F$215,IF(D156=150,'A.0_Tablas salariales SC'!$F$216,IF(D156=189,'A.0_Tablas salariales SC'!$F$217,IF(D156=400,'A.0_Tablas salariales SC'!$F$218,IF(D156=450,'A.0_Tablas salariales SC'!$F$219,IF(D156=401,'A.0_Tablas salariales SC'!$F$220,IF(D156=451,'A.0_Tablas salariales SC'!$F$221,'A.0_Tablas salariales SC'!$F$215)))))))</f>
        <v>0.34499999999999997</v>
      </c>
      <c r="R156" s="183">
        <f t="shared" si="17"/>
        <v>1032.8299499999998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'A.1.0_TablaAntigüedad_Sub'!L157</f>
        <v>129</v>
      </c>
      <c r="I157" s="183">
        <f>'A.1.0_TablaAntigüedad_Sub'!Z157</f>
        <v>502.58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7538.7</v>
      </c>
      <c r="O157" s="183">
        <f>'A.0_Tablas salariales SC'!$K$98</f>
        <v>27417.909999999996</v>
      </c>
      <c r="P157" s="183">
        <f>(O157+N157)*G157+'A.0_Tablas salariales SC'!$R$109*(100%-G157)</f>
        <v>2993.71</v>
      </c>
      <c r="Q157" s="184">
        <f>IF(D157=100,'A.0_Tablas salariales SC'!$F$215,IF(D157=150,'A.0_Tablas salariales SC'!$F$216,IF(D157=189,'A.0_Tablas salariales SC'!$F$217,IF(D157=400,'A.0_Tablas salariales SC'!$F$218,IF(D157=450,'A.0_Tablas salariales SC'!$F$219,IF(D157=401,'A.0_Tablas salariales SC'!$F$220,IF(D157=451,'A.0_Tablas salariales SC'!$F$221,'A.0_Tablas salariales SC'!$F$215)))))))</f>
        <v>0.34499999999999997</v>
      </c>
      <c r="R157" s="183">
        <f t="shared" si="17"/>
        <v>1032.8299499999998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'A.1.0_TablaAntigüedad_Sub'!L158</f>
        <v>129</v>
      </c>
      <c r="I158" s="183">
        <f>'A.1.0_TablaAntigüedad_Sub'!Z158</f>
        <v>502.58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7538.7</v>
      </c>
      <c r="O158" s="183">
        <f>'A.0_Tablas salariales SC'!$K$98</f>
        <v>27417.909999999996</v>
      </c>
      <c r="P158" s="183">
        <f>(O158+N158)*G158+'A.0_Tablas salariales SC'!$R$109*(100%-G158)</f>
        <v>2993.71</v>
      </c>
      <c r="Q158" s="184">
        <f>IF(D158=100,'A.0_Tablas salariales SC'!$F$215,IF(D158=150,'A.0_Tablas salariales SC'!$F$216,IF(D158=189,'A.0_Tablas salariales SC'!$F$217,IF(D158=400,'A.0_Tablas salariales SC'!$F$218,IF(D158=450,'A.0_Tablas salariales SC'!$F$219,IF(D158=401,'A.0_Tablas salariales SC'!$F$220,IF(D158=451,'A.0_Tablas salariales SC'!$F$221,'A.0_Tablas salariales SC'!$F$215)))))))</f>
        <v>0.34499999999999997</v>
      </c>
      <c r="R158" s="183">
        <f t="shared" si="17"/>
        <v>1032.8299499999998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'A.1.0_TablaAntigüedad_Sub'!L159</f>
        <v>129</v>
      </c>
      <c r="I159" s="183">
        <f>'A.1.0_TablaAntigüedad_Sub'!Z159</f>
        <v>502.58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7538.7</v>
      </c>
      <c r="O159" s="183">
        <f>'A.0_Tablas salariales SC'!$K$98</f>
        <v>27417.909999999996</v>
      </c>
      <c r="P159" s="183">
        <f>(O159+N159)*G159+'A.0_Tablas salariales SC'!$R$109*(100%-G159)</f>
        <v>2993.71</v>
      </c>
      <c r="Q159" s="184">
        <f>IF(D159=100,'A.0_Tablas salariales SC'!$F$215,IF(D159=150,'A.0_Tablas salariales SC'!$F$216,IF(D159=189,'A.0_Tablas salariales SC'!$F$217,IF(D159=400,'A.0_Tablas salariales SC'!$F$218,IF(D159=450,'A.0_Tablas salariales SC'!$F$219,IF(D159=401,'A.0_Tablas salariales SC'!$F$220,IF(D159=451,'A.0_Tablas salariales SC'!$F$221,'A.0_Tablas salariales SC'!$F$215)))))))</f>
        <v>0.34499999999999997</v>
      </c>
      <c r="R159" s="183">
        <f t="shared" si="17"/>
        <v>1032.8299499999998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'A.1.0_TablaAntigüedad_Sub'!L160</f>
        <v>129</v>
      </c>
      <c r="I160" s="183">
        <f>'A.1.0_TablaAntigüedad_Sub'!Z160</f>
        <v>502.58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7538.7</v>
      </c>
      <c r="O160" s="183">
        <f>'A.0_Tablas salariales SC'!$K$98</f>
        <v>27417.909999999996</v>
      </c>
      <c r="P160" s="183">
        <f>(O160+N160)*G160+'A.0_Tablas salariales SC'!$R$109*(100%-G160)</f>
        <v>2993.71</v>
      </c>
      <c r="Q160" s="184">
        <f>IF(D160=100,'A.0_Tablas salariales SC'!$F$215,IF(D160=150,'A.0_Tablas salariales SC'!$F$216,IF(D160=189,'A.0_Tablas salariales SC'!$F$217,IF(D160=400,'A.0_Tablas salariales SC'!$F$218,IF(D160=450,'A.0_Tablas salariales SC'!$F$219,IF(D160=401,'A.0_Tablas salariales SC'!$F$220,IF(D160=451,'A.0_Tablas salariales SC'!$F$221,'A.0_Tablas salariales SC'!$F$215)))))))</f>
        <v>0.34499999999999997</v>
      </c>
      <c r="R160" s="183">
        <f t="shared" si="17"/>
        <v>1032.8299499999998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'A.1.0_TablaAntigüedad_Sub'!L161</f>
        <v>129</v>
      </c>
      <c r="I161" s="183">
        <f>'A.1.0_TablaAntigüedad_Sub'!Z161</f>
        <v>502.58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7538.7</v>
      </c>
      <c r="O161" s="183">
        <f>'A.0_Tablas salariales SC'!$K$98</f>
        <v>27417.909999999996</v>
      </c>
      <c r="P161" s="183">
        <f>(O161+N161)*G161+'A.0_Tablas salariales SC'!$R$109*(100%-G161)</f>
        <v>2993.71</v>
      </c>
      <c r="Q161" s="184">
        <f>IF(D161=100,'A.0_Tablas salariales SC'!$F$215,IF(D161=150,'A.0_Tablas salariales SC'!$F$216,IF(D161=189,'A.0_Tablas salariales SC'!$F$217,IF(D161=400,'A.0_Tablas salariales SC'!$F$218,IF(D161=450,'A.0_Tablas salariales SC'!$F$219,IF(D161=401,'A.0_Tablas salariales SC'!$F$220,IF(D161=451,'A.0_Tablas salariales SC'!$F$221,'A.0_Tablas salariales SC'!$F$215)))))))</f>
        <v>0.34499999999999997</v>
      </c>
      <c r="R161" s="183">
        <f t="shared" si="17"/>
        <v>1032.8299499999998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'A.1.0_TablaAntigüedad_Sub'!L162</f>
        <v>129</v>
      </c>
      <c r="I162" s="183">
        <f>'A.1.0_TablaAntigüedad_Sub'!Z162</f>
        <v>502.58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7538.7</v>
      </c>
      <c r="O162" s="183">
        <f>'A.0_Tablas salariales SC'!$K$98</f>
        <v>27417.909999999996</v>
      </c>
      <c r="P162" s="183">
        <f>(O162+N162)*G162+'A.0_Tablas salariales SC'!$R$109*(100%-G162)</f>
        <v>2993.71</v>
      </c>
      <c r="Q162" s="184">
        <f>IF(D162=100,'A.0_Tablas salariales SC'!$F$215,IF(D162=150,'A.0_Tablas salariales SC'!$F$216,IF(D162=189,'A.0_Tablas salariales SC'!$F$217,IF(D162=400,'A.0_Tablas salariales SC'!$F$218,IF(D162=450,'A.0_Tablas salariales SC'!$F$219,IF(D162=401,'A.0_Tablas salariales SC'!$F$220,IF(D162=451,'A.0_Tablas salariales SC'!$F$221,'A.0_Tablas salariales SC'!$F$215)))))))</f>
        <v>0.34499999999999997</v>
      </c>
      <c r="R162" s="183">
        <f t="shared" si="10"/>
        <v>1032.8299499999998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0</v>
      </c>
    </row>
    <row r="164" spans="1:20">
      <c r="A164" s="508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2">
        <f>'A.1. Plantilla_Subrogacion'!F164</f>
        <v>0</v>
      </c>
      <c r="H164" s="181">
        <f>'A.1.0_TablaAntigüedad_Sub'!L164</f>
        <v>129</v>
      </c>
      <c r="I164" s="183">
        <f>'A.1.0_TablaAntigüedad_Sub'!Z164</f>
        <v>688.35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10325.25</v>
      </c>
      <c r="O164" s="183">
        <f>'A.0_Tablas salariales SC'!$K$108</f>
        <v>34278.610000000008</v>
      </c>
      <c r="P164" s="183">
        <f>(O164+N164)*G164+'A.0_Tablas salariales SC'!$R$109*(100%-G164)</f>
        <v>2993.71</v>
      </c>
      <c r="Q164" s="184">
        <f>IF(D164=100,'A.0_Tablas salariales SC'!$F$215,IF(D164=150,'A.0_Tablas salariales SC'!$F$216,IF(D164=189,'A.0_Tablas salariales SC'!$F$217,IF(D164=400,'A.0_Tablas salariales SC'!$F$218,IF(D164=450,'A.0_Tablas salariales SC'!$F$219,IF(D164=401,'A.0_Tablas salariales SC'!$F$220,IF(D164=451,'A.0_Tablas salariales SC'!$F$221,'A.0_Tablas salariales SC'!$F$215)))))))</f>
        <v>0.34499999999999997</v>
      </c>
      <c r="R164" s="183">
        <f t="shared" si="10"/>
        <v>1032.8299499999998</v>
      </c>
      <c r="S164" s="183">
        <f t="shared" si="11"/>
        <v>0</v>
      </c>
      <c r="T164" s="179"/>
    </row>
    <row r="165" spans="1:20">
      <c r="A165" s="508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2">
        <f>'A.1. Plantilla_Subrogacion'!F165</f>
        <v>0</v>
      </c>
      <c r="H165" s="181">
        <f>'A.1.0_TablaAntigüedad_Sub'!L165</f>
        <v>129</v>
      </c>
      <c r="I165" s="183">
        <f>'A.1.0_TablaAntigüedad_Sub'!Z165</f>
        <v>688.35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10325.25</v>
      </c>
      <c r="O165" s="183">
        <f>'A.0_Tablas salariales SC'!$K$108</f>
        <v>34278.610000000008</v>
      </c>
      <c r="P165" s="183">
        <f>(O165+N165)*G165+'A.0_Tablas salariales SC'!$R$109*(100%-G165)</f>
        <v>2993.71</v>
      </c>
      <c r="Q165" s="184">
        <f>IF(D165=100,'A.0_Tablas salariales SC'!$F$215,IF(D165=150,'A.0_Tablas salariales SC'!$F$216,IF(D165=189,'A.0_Tablas salariales SC'!$F$217,IF(D165=400,'A.0_Tablas salariales SC'!$F$218,IF(D165=450,'A.0_Tablas salariales SC'!$F$219,IF(D165=401,'A.0_Tablas salariales SC'!$F$220,IF(D165=451,'A.0_Tablas salariales SC'!$F$221,'A.0_Tablas salariales SC'!$F$215)))))))</f>
        <v>0.34499999999999997</v>
      </c>
      <c r="R165" s="183">
        <f t="shared" ref="R165:R167" si="19">Q165*P165</f>
        <v>1032.8299499999998</v>
      </c>
      <c r="S165" s="183">
        <f t="shared" ref="S165:S167" si="20">(R165+P165)*A165</f>
        <v>0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'A.1.0_TablaAntigüedad_Sub'!L166</f>
        <v>129</v>
      </c>
      <c r="I166" s="183">
        <f>'A.1.0_TablaAntigüedad_Sub'!Z166</f>
        <v>688.35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10325.25</v>
      </c>
      <c r="O166" s="183">
        <f>'A.0_Tablas salariales SC'!$K$108</f>
        <v>34278.610000000008</v>
      </c>
      <c r="P166" s="183">
        <f>(O166+N166)*G166+'A.0_Tablas salariales SC'!$R$109*(100%-G166)</f>
        <v>2993.71</v>
      </c>
      <c r="Q166" s="184">
        <f>IF(D166=100,'A.0_Tablas salariales SC'!$F$215,IF(D166=150,'A.0_Tablas salariales SC'!$F$216,IF(D166=189,'A.0_Tablas salariales SC'!$F$217,IF(D166=400,'A.0_Tablas salariales SC'!$F$218,IF(D166=450,'A.0_Tablas salariales SC'!$F$219,IF(D166=401,'A.0_Tablas salariales SC'!$F$220,IF(D166=451,'A.0_Tablas salariales SC'!$F$221,'A.0_Tablas salariales SC'!$F$215)))))))</f>
        <v>0.34499999999999997</v>
      </c>
      <c r="R166" s="183">
        <f t="shared" si="19"/>
        <v>1032.8299499999998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'A.1.0_TablaAntigüedad_Sub'!L167</f>
        <v>129</v>
      </c>
      <c r="I167" s="183">
        <f>'A.1.0_TablaAntigüedad_Sub'!Z167</f>
        <v>688.35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10325.25</v>
      </c>
      <c r="O167" s="183">
        <f>'A.0_Tablas salariales SC'!$K$108</f>
        <v>34278.610000000008</v>
      </c>
      <c r="P167" s="183">
        <f>(O167+N167)*G167+'A.0_Tablas salariales SC'!$R$109*(100%-G167)</f>
        <v>2993.71</v>
      </c>
      <c r="Q167" s="184">
        <f>IF(D167=100,'A.0_Tablas salariales SC'!$F$215,IF(D167=150,'A.0_Tablas salariales SC'!$F$216,IF(D167=189,'A.0_Tablas salariales SC'!$F$217,IF(D167=400,'A.0_Tablas salariales SC'!$F$218,IF(D167=450,'A.0_Tablas salariales SC'!$F$219,IF(D167=401,'A.0_Tablas salariales SC'!$F$220,IF(D167=451,'A.0_Tablas salariales SC'!$F$221,'A.0_Tablas salariales SC'!$F$215)))))))</f>
        <v>0.34499999999999997</v>
      </c>
      <c r="R167" s="183">
        <f t="shared" si="19"/>
        <v>1032.8299499999998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'A.1.0_TablaAntigüedad_Sub'!L168</f>
        <v>129</v>
      </c>
      <c r="I168" s="183">
        <f>'A.1.0_TablaAntigüedad_Sub'!Z168</f>
        <v>688.35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10325.25</v>
      </c>
      <c r="O168" s="183">
        <f>'A.0_Tablas salariales SC'!$K$108</f>
        <v>34278.610000000008</v>
      </c>
      <c r="P168" s="183">
        <f>(O168+N168)*G168+'A.0_Tablas salariales SC'!$R$109*(100%-G168)</f>
        <v>2993.71</v>
      </c>
      <c r="Q168" s="184">
        <f>IF(D168=100,'A.0_Tablas salariales SC'!$F$215,IF(D168=150,'A.0_Tablas salariales SC'!$F$216,IF(D168=189,'A.0_Tablas salariales SC'!$F$217,IF(D168=400,'A.0_Tablas salariales SC'!$F$218,IF(D168=450,'A.0_Tablas salariales SC'!$F$219,IF(D168=401,'A.0_Tablas salariales SC'!$F$220,IF(D168=451,'A.0_Tablas salariales SC'!$F$221,'A.0_Tablas salariales SC'!$F$215)))))))</f>
        <v>0.34499999999999997</v>
      </c>
      <c r="R168" s="183">
        <f t="shared" si="10"/>
        <v>1032.8299499999998</v>
      </c>
      <c r="S168" s="183">
        <f t="shared" si="11"/>
        <v>0</v>
      </c>
      <c r="T168" s="179"/>
    </row>
    <row r="169" spans="1:20">
      <c r="A169" s="508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2">
        <f>'A.1. Plantilla_Subrogacion'!F169</f>
        <v>0</v>
      </c>
      <c r="H169" s="181">
        <f>'A.1.0_TablaAntigüedad_Sub'!L169</f>
        <v>129</v>
      </c>
      <c r="I169" s="183">
        <f>'A.1.0_TablaAntigüedad_Sub'!Z169</f>
        <v>688.35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10325.25</v>
      </c>
      <c r="O169" s="183">
        <f>'A.0_Tablas salariales SC'!$K$109</f>
        <v>38774.409999999996</v>
      </c>
      <c r="P169" s="183">
        <f>(O169+N169)*G169+'A.0_Tablas salariales SC'!$R$109*(100%-G169)</f>
        <v>2993.71</v>
      </c>
      <c r="Q169" s="184">
        <f>IF(D169=100,'A.0_Tablas salariales SC'!$F$215,IF(D169=150,'A.0_Tablas salariales SC'!$F$216,IF(D169=189,'A.0_Tablas salariales SC'!$F$217,IF(D169=400,'A.0_Tablas salariales SC'!$F$218,IF(D169=450,'A.0_Tablas salariales SC'!$F$219,IF(D169=401,'A.0_Tablas salariales SC'!$F$220,IF(D169=451,'A.0_Tablas salariales SC'!$F$221,'A.0_Tablas salariales SC'!$F$215)))))))</f>
        <v>0.34499999999999997</v>
      </c>
      <c r="R169" s="183">
        <f t="shared" ref="R169:R171" si="21">Q169*P169</f>
        <v>1032.8299499999998</v>
      </c>
      <c r="S169" s="183">
        <f t="shared" ref="S169:S171" si="22">(R169+P169)*A169</f>
        <v>0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'A.1.0_TablaAntigüedad_Sub'!L170</f>
        <v>129</v>
      </c>
      <c r="I170" s="183">
        <f>'A.1.0_TablaAntigüedad_Sub'!Z170</f>
        <v>688.35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10325.25</v>
      </c>
      <c r="O170" s="183">
        <f>'A.0_Tablas salariales SC'!$K$109</f>
        <v>38774.409999999996</v>
      </c>
      <c r="P170" s="183">
        <f>(O170+N170)*G170+'A.0_Tablas salariales SC'!$R$109*(100%-G170)</f>
        <v>2993.71</v>
      </c>
      <c r="Q170" s="184">
        <f>IF(D170=100,'A.0_Tablas salariales SC'!$F$215,IF(D170=150,'A.0_Tablas salariales SC'!$F$216,IF(D170=189,'A.0_Tablas salariales SC'!$F$217,IF(D170=400,'A.0_Tablas salariales SC'!$F$218,IF(D170=450,'A.0_Tablas salariales SC'!$F$219,IF(D170=401,'A.0_Tablas salariales SC'!$F$220,IF(D170=451,'A.0_Tablas salariales SC'!$F$221,'A.0_Tablas salariales SC'!$F$215)))))))</f>
        <v>0.34499999999999997</v>
      </c>
      <c r="R170" s="183">
        <f t="shared" si="21"/>
        <v>1032.8299499999998</v>
      </c>
      <c r="S170" s="183">
        <f t="shared" si="22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'A.1.0_TablaAntigüedad_Sub'!L171</f>
        <v>129</v>
      </c>
      <c r="I171" s="183">
        <f>'A.1.0_TablaAntigüedad_Sub'!Z171</f>
        <v>688.35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10325.25</v>
      </c>
      <c r="O171" s="183">
        <f>'A.0_Tablas salariales SC'!$K$109</f>
        <v>38774.409999999996</v>
      </c>
      <c r="P171" s="183">
        <f>(O171+N171)*G171+'A.0_Tablas salariales SC'!$R$109*(100%-G171)</f>
        <v>2993.71</v>
      </c>
      <c r="Q171" s="184">
        <f>IF(D171=100,'A.0_Tablas salariales SC'!$F$215,IF(D171=150,'A.0_Tablas salariales SC'!$F$216,IF(D171=189,'A.0_Tablas salariales SC'!$F$217,IF(D171=400,'A.0_Tablas salariales SC'!$F$218,IF(D171=450,'A.0_Tablas salariales SC'!$F$219,IF(D171=401,'A.0_Tablas salariales SC'!$F$220,IF(D171=451,'A.0_Tablas salariales SC'!$F$221,'A.0_Tablas salariales SC'!$F$215)))))))</f>
        <v>0.34499999999999997</v>
      </c>
      <c r="R171" s="183">
        <f t="shared" si="21"/>
        <v>1032.8299499999998</v>
      </c>
      <c r="S171" s="183">
        <f t="shared" si="22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'A.1.0_TablaAntigüedad_Sub'!L172</f>
        <v>129</v>
      </c>
      <c r="I172" s="183">
        <f>'A.1.0_TablaAntigüedad_Sub'!Z172</f>
        <v>688.35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10325.25</v>
      </c>
      <c r="O172" s="183">
        <f>'A.0_Tablas salariales SC'!$K$109</f>
        <v>38774.409999999996</v>
      </c>
      <c r="P172" s="183">
        <f>(O172+N172)*G172+'A.0_Tablas salariales SC'!$R$109*(100%-G172)</f>
        <v>2993.71</v>
      </c>
      <c r="Q172" s="184">
        <f>IF(D172=100,'A.0_Tablas salariales SC'!$F$215,IF(D172=150,'A.0_Tablas salariales SC'!$F$216,IF(D172=189,'A.0_Tablas salariales SC'!$F$217,IF(D172=400,'A.0_Tablas salariales SC'!$F$218,IF(D172=450,'A.0_Tablas salariales SC'!$F$219,IF(D172=401,'A.0_Tablas salariales SC'!$F$220,IF(D172=451,'A.0_Tablas salariales SC'!$F$221,'A.0_Tablas salariales SC'!$F$215)))))))</f>
        <v>0.34499999999999997</v>
      </c>
      <c r="R172" s="183">
        <f t="shared" si="10"/>
        <v>1032.8299499999998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0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'A.1.0_TablaAntigüedad_Sub'!L174</f>
        <v>129</v>
      </c>
      <c r="I174" s="183">
        <f>'A.1.0_TablaAntigüedad_Sub'!Z174</f>
        <v>542.37</v>
      </c>
      <c r="J174" s="183"/>
      <c r="K174" s="183">
        <f>'A.1. Plantilla_Subrogacion'!I174</f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8135.55</v>
      </c>
      <c r="O174" s="183">
        <f>'A.0_Tablas salariales SC'!K101</f>
        <v>25287.16</v>
      </c>
      <c r="P174" s="183">
        <f>(O174+N174)*G174+'A.0_Tablas salariales SC'!$R$109*(100%-G174)</f>
        <v>2993.71</v>
      </c>
      <c r="Q174" s="184">
        <f>IF(D174=100,'A.0_Tablas salariales SC'!$F$215,IF(D174=150,'A.0_Tablas salariales SC'!$F$216,IF(D174=189,'A.0_Tablas salariales SC'!$F$217,IF(D174=400,'A.0_Tablas salariales SC'!$F$218,IF(D174=450,'A.0_Tablas salariales SC'!$F$219,IF(D174=401,'A.0_Tablas salariales SC'!$F$220,IF(D174=451,'A.0_Tablas salariales SC'!$F$221,'A.0_Tablas salariales SC'!$F$215)))))))</f>
        <v>0.34499999999999997</v>
      </c>
      <c r="R174" s="183">
        <f t="shared" ref="R174" si="23">Q174*P174</f>
        <v>1032.8299499999998</v>
      </c>
      <c r="S174" s="183">
        <f t="shared" ref="S174" si="24">(R174+P174)*A174</f>
        <v>0</v>
      </c>
      <c r="T174" s="179"/>
    </row>
    <row r="175" spans="1:20">
      <c r="A175" s="508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2">
        <f>'A.1. Plantilla_Subrogacion'!F175</f>
        <v>0</v>
      </c>
      <c r="H175" s="181">
        <f>'A.1.0_TablaAntigüedad_Sub'!L175</f>
        <v>129</v>
      </c>
      <c r="I175" s="183">
        <f>'A.1.0_TablaAntigüedad_Sub'!Z175</f>
        <v>542.37</v>
      </c>
      <c r="J175" s="183"/>
      <c r="K175" s="183">
        <f>'A.1. Plantilla_Subrogacion'!I175</f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8135.55</v>
      </c>
      <c r="O175" s="183">
        <f>'A.0_Tablas salariales SC'!K102</f>
        <v>26270.109999999997</v>
      </c>
      <c r="P175" s="183">
        <f>(O175+N175)*G175+'A.0_Tablas salariales SC'!$R$109*(100%-G175)</f>
        <v>2993.71</v>
      </c>
      <c r="Q175" s="184">
        <f>IF(D175=100,'A.0_Tablas salariales SC'!$F$215,IF(D175=150,'A.0_Tablas salariales SC'!$F$216,IF(D175=189,'A.0_Tablas salariales SC'!$F$217,IF(D175=400,'A.0_Tablas salariales SC'!$F$218,IF(D175=450,'A.0_Tablas salariales SC'!$F$219,IF(D175=401,'A.0_Tablas salariales SC'!$F$220,IF(D175=451,'A.0_Tablas salariales SC'!$F$221,'A.0_Tablas salariales SC'!$F$215)))))))</f>
        <v>0.34499999999999997</v>
      </c>
      <c r="R175" s="183">
        <f t="shared" si="10"/>
        <v>1032.8299499999998</v>
      </c>
      <c r="S175" s="183">
        <f t="shared" si="11"/>
        <v>0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'A.1.0_TablaAntigüedad_Sub'!L176</f>
        <v>129</v>
      </c>
      <c r="I176" s="183">
        <f>'A.1.0_TablaAntigüedad_Sub'!Z176</f>
        <v>542.37</v>
      </c>
      <c r="J176" s="183"/>
      <c r="K176" s="183">
        <f>'A.1. Plantilla_Subrogacion'!I176</f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8135.55</v>
      </c>
      <c r="O176" s="183">
        <f>'A.0_Tablas salariales SC'!K104</f>
        <v>29626.51</v>
      </c>
      <c r="P176" s="183">
        <f>(O176+N176)*G176+'A.0_Tablas salariales SC'!$R$109*(100%-G176)</f>
        <v>2993.71</v>
      </c>
      <c r="Q176" s="184">
        <f>IF(D176=100,'A.0_Tablas salariales SC'!$F$215,IF(D176=150,'A.0_Tablas salariales SC'!$F$216,IF(D176=189,'A.0_Tablas salariales SC'!$F$217,IF(D176=400,'A.0_Tablas salariales SC'!$F$218,IF(D176=450,'A.0_Tablas salariales SC'!$F$219,IF(D176=401,'A.0_Tablas salariales SC'!$F$220,IF(D176=451,'A.0_Tablas salariales SC'!$F$221,'A.0_Tablas salariales SC'!$F$215)))))))</f>
        <v>0.34499999999999997</v>
      </c>
      <c r="R176" s="183">
        <f t="shared" ref="R176" si="25">Q176*P176</f>
        <v>1032.8299499999998</v>
      </c>
      <c r="S176" s="183">
        <f t="shared" ref="S176" si="26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0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'A.1.0_TablaAntigüedad_Sub'!L178</f>
        <v>129</v>
      </c>
      <c r="I178" s="183">
        <f>'A.1.0_TablaAntigüedad_Sub'!Z178</f>
        <v>502.58</v>
      </c>
      <c r="J178" s="183"/>
      <c r="K178" s="183">
        <f>'A.1. Plantilla_Subrogacion'!I178</f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7538.7</v>
      </c>
      <c r="O178" s="183">
        <f>'A.0_Tablas salariales SC'!$K$93</f>
        <v>25091.410000000003</v>
      </c>
      <c r="P178" s="183">
        <f>(O178+N178)*G178+'A.0_Tablas salariales SC'!$R$109*(100%-G178)</f>
        <v>2993.71</v>
      </c>
      <c r="Q178" s="184">
        <f>IF(D178=100,'A.0_Tablas salariales SC'!$F$215,IF(D178=150,'A.0_Tablas salariales SC'!$F$216,IF(D178=189,'A.0_Tablas salariales SC'!$F$217,IF(D178=400,'A.0_Tablas salariales SC'!$F$218,IF(D178=450,'A.0_Tablas salariales SC'!$F$219,IF(D178=401,'A.0_Tablas salariales SC'!$F$220,IF(D178=451,'A.0_Tablas salariales SC'!$F$221,'A.0_Tablas salariales SC'!$F$215)))))))</f>
        <v>0.34499999999999997</v>
      </c>
      <c r="R178" s="183">
        <f t="shared" ref="R178:R179" si="27">Q178*P178</f>
        <v>1032.8299499999998</v>
      </c>
      <c r="S178" s="183">
        <f t="shared" ref="S178:S179" si="28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'A.1.0_TablaAntigüedad_Sub'!L179</f>
        <v>129</v>
      </c>
      <c r="I179" s="183">
        <f>'A.1.0_TablaAntigüedad_Sub'!Z179</f>
        <v>502.58</v>
      </c>
      <c r="J179" s="183"/>
      <c r="K179" s="183">
        <f>'A.1. Plantilla_Subrogacion'!I179</f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7538.7</v>
      </c>
      <c r="O179" s="183">
        <f>'A.0_Tablas salariales SC'!$K$92</f>
        <v>24309.910000000003</v>
      </c>
      <c r="P179" s="183">
        <f>(O179+N179)*G179+'A.0_Tablas salariales SC'!$R$109*(100%-G179)</f>
        <v>2993.71</v>
      </c>
      <c r="Q179" s="184">
        <f>IF(D179=100,'A.0_Tablas salariales SC'!$F$215,IF(D179=150,'A.0_Tablas salariales SC'!$F$216,IF(D179=189,'A.0_Tablas salariales SC'!$F$217,IF(D179=400,'A.0_Tablas salariales SC'!$F$218,IF(D179=450,'A.0_Tablas salariales SC'!$F$219,IF(D179=401,'A.0_Tablas salariales SC'!$F$220,IF(D179=451,'A.0_Tablas salariales SC'!$F$221,'A.0_Tablas salariales SC'!$F$215)))))))</f>
        <v>0.34499999999999997</v>
      </c>
      <c r="R179" s="183">
        <f t="shared" si="27"/>
        <v>1032.8299499999998</v>
      </c>
      <c r="S179" s="183">
        <f t="shared" si="28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0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91" priority="14" operator="equal">
      <formula>0</formula>
    </cfRule>
  </conditionalFormatting>
  <conditionalFormatting sqref="A139:K139">
    <cfRule type="cellIs" dxfId="90" priority="13" operator="equal">
      <formula>0</formula>
    </cfRule>
  </conditionalFormatting>
  <conditionalFormatting sqref="G5:K12 G14:K85 G87:K113 G153:K162 G164:K172">
    <cfRule type="cellIs" dxfId="89" priority="16" operator="equal">
      <formula>0</formula>
    </cfRule>
  </conditionalFormatting>
  <conditionalFormatting sqref="G115:K138 G140:K151">
    <cfRule type="cellIs" dxfId="88" priority="27" operator="equal">
      <formula>0</formula>
    </cfRule>
  </conditionalFormatting>
  <conditionalFormatting sqref="G174:K176">
    <cfRule type="cellIs" dxfId="87" priority="12" operator="equal">
      <formula>0</formula>
    </cfRule>
  </conditionalFormatting>
  <conditionalFormatting sqref="G178:S179">
    <cfRule type="cellIs" dxfId="86" priority="3" operator="equal">
      <formula>0</formula>
    </cfRule>
  </conditionalFormatting>
  <conditionalFormatting sqref="L5:S176">
    <cfRule type="cellIs" dxfId="85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FA3A-08DD-41D8-9F46-D7D1B4B73804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4" sqref="M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973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962</v>
      </c>
      <c r="I3" s="241" t="s">
        <v>963</v>
      </c>
      <c r="J3" s="241" t="s">
        <v>964</v>
      </c>
      <c r="K3" s="241" t="s">
        <v>1005</v>
      </c>
      <c r="L3" s="241" t="s">
        <v>1103</v>
      </c>
      <c r="M3" s="241" t="s">
        <v>954</v>
      </c>
      <c r="N3" s="241" t="s">
        <v>966</v>
      </c>
      <c r="O3" s="241" t="s">
        <v>967</v>
      </c>
      <c r="P3" s="241" t="s">
        <v>968</v>
      </c>
      <c r="Q3" s="241" t="s">
        <v>969</v>
      </c>
      <c r="R3" s="241" t="s">
        <v>970</v>
      </c>
      <c r="S3" s="241" t="s">
        <v>971</v>
      </c>
      <c r="T3" s="241" t="s">
        <v>972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Año'!$D$14=2028),(1+'Caracteristicas Contrato'!$E$18)^(1),1))))</f>
        <v>1.08243216</v>
      </c>
      <c r="L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</f>
        <v>1.08243216</v>
      </c>
      <c r="M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</f>
        <v>1.08243216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2">
        <f>'A.1. Plantilla_Subrogacion'!F5</f>
        <v>0</v>
      </c>
      <c r="H5" s="181">
        <f>'A.1.0_TablaAntigüedad_Sub'!M5</f>
        <v>130</v>
      </c>
      <c r="I5" s="183">
        <f>'A.1.0_TablaAntigüedad_Sub'!AA5</f>
        <v>527.70000000000005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 t="shared" ref="N5:N12" si="0">I5*$I$4+J5*$J$4+K5*$K$4+$M$4*M5+L5*$L$4</f>
        <v>7915.5000000000009</v>
      </c>
      <c r="O5" s="183">
        <f>'A.0_Tablas salariales SC'!$K$117</f>
        <v>24314.069999999992</v>
      </c>
      <c r="P5" s="183">
        <f>(O5+N5)*G5+'A.0_Tablas salariales SC'!$R$136*(100%-G5)</f>
        <v>3398.82</v>
      </c>
      <c r="Q5" s="184">
        <f>IF(D5=100,'A.0_Tablas salariales SC'!$G$215,IF(D5=150,'A.0_Tablas salariales SC'!$G$216,IF(D5=189,'A.0_Tablas salariales SC'!$G$217,IF(D5=400,'A.0_Tablas salariales SC'!$G$218,IF(D5=450,'A.0_Tablas salariales SC'!$G$219,IF(D5=401,'A.0_Tablas salariales SC'!$G$220,IF(D5=451,'A.0_Tablas salariales SC'!$G$221,'A.0_Tablas salariales SC'!$G$215)))))))</f>
        <v>0.34584999999999999</v>
      </c>
      <c r="R5" s="183">
        <f>Q5*P5</f>
        <v>1175.4818970000001</v>
      </c>
      <c r="S5" s="183">
        <f>(R5+P5)*A5</f>
        <v>0</v>
      </c>
      <c r="T5" s="179"/>
    </row>
    <row r="6" spans="1:20">
      <c r="A6" s="508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2">
        <f>'A.1. Plantilla_Subrogacion'!F6</f>
        <v>0</v>
      </c>
      <c r="H6" s="181">
        <f>'A.1.0_TablaAntigüedad_Sub'!M6</f>
        <v>130</v>
      </c>
      <c r="I6" s="183">
        <f>'A.1.0_TablaAntigüedad_Sub'!AA6</f>
        <v>527.70000000000005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si="0"/>
        <v>7915.5000000000009</v>
      </c>
      <c r="O6" s="183">
        <f>'A.0_Tablas salariales SC'!$K$117</f>
        <v>24314.069999999992</v>
      </c>
      <c r="P6" s="183">
        <f>(O6+N6)*G6+'A.0_Tablas salariales SC'!$R$136*(100%-G6)</f>
        <v>3398.82</v>
      </c>
      <c r="Q6" s="184">
        <f>IF(D6=100,'A.0_Tablas salariales SC'!$G$215,IF(D6=150,'A.0_Tablas salariales SC'!$G$216,IF(D6=189,'A.0_Tablas salariales SC'!$G$217,IF(D6=400,'A.0_Tablas salariales SC'!$G$218,IF(D6=450,'A.0_Tablas salariales SC'!$G$219,IF(D6=401,'A.0_Tablas salariales SC'!$G$220,IF(D6=451,'A.0_Tablas salariales SC'!$G$221,'A.0_Tablas salariales SC'!$G$215)))))))</f>
        <v>0.34584999999999999</v>
      </c>
      <c r="R6" s="183">
        <f t="shared" ref="R6:R113" si="1">Q6*P6</f>
        <v>1175.4818970000001</v>
      </c>
      <c r="S6" s="183">
        <f t="shared" ref="S6:S113" si="2">(R6+P6)*A6</f>
        <v>0</v>
      </c>
      <c r="T6" s="179"/>
    </row>
    <row r="7" spans="1:20">
      <c r="A7" s="508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2">
        <f>'A.1. Plantilla_Subrogacion'!F7</f>
        <v>0</v>
      </c>
      <c r="H7" s="181">
        <f>'A.1.0_TablaAntigüedad_Sub'!M7</f>
        <v>130</v>
      </c>
      <c r="I7" s="183">
        <f>'A.1.0_TablaAntigüedad_Sub'!AA7</f>
        <v>527.70000000000005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7915.5000000000009</v>
      </c>
      <c r="O7" s="183">
        <f>'A.0_Tablas salariales SC'!$K$117</f>
        <v>24314.069999999992</v>
      </c>
      <c r="P7" s="183">
        <f>(O7+N7)*G7+'A.0_Tablas salariales SC'!$R$136*(100%-G7)</f>
        <v>3398.82</v>
      </c>
      <c r="Q7" s="184">
        <f>IF(D7=100,'A.0_Tablas salariales SC'!$G$215,IF(D7=150,'A.0_Tablas salariales SC'!$G$216,IF(D7=189,'A.0_Tablas salariales SC'!$G$217,IF(D7=400,'A.0_Tablas salariales SC'!$G$218,IF(D7=450,'A.0_Tablas salariales SC'!$G$219,IF(D7=401,'A.0_Tablas salariales SC'!$G$220,IF(D7=451,'A.0_Tablas salariales SC'!$G$221,'A.0_Tablas salariales SC'!$G$215)))))))</f>
        <v>0.34584999999999999</v>
      </c>
      <c r="R7" s="183">
        <f t="shared" si="1"/>
        <v>1175.4818970000001</v>
      </c>
      <c r="S7" s="183">
        <f t="shared" si="2"/>
        <v>0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'A.1.0_TablaAntigüedad_Sub'!M8</f>
        <v>130</v>
      </c>
      <c r="I8" s="183">
        <f>'A.1.0_TablaAntigüedad_Sub'!AA8</f>
        <v>527.70000000000005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7915.5000000000009</v>
      </c>
      <c r="O8" s="183">
        <f>'A.0_Tablas salariales SC'!$K$117</f>
        <v>24314.069999999992</v>
      </c>
      <c r="P8" s="183">
        <f>(O8+N8)*G8+'A.0_Tablas salariales SC'!$R$136*(100%-G8)</f>
        <v>3398.82</v>
      </c>
      <c r="Q8" s="184">
        <f>IF(D8=100,'A.0_Tablas salariales SC'!$G$215,IF(D8=150,'A.0_Tablas salariales SC'!$G$216,IF(D8=189,'A.0_Tablas salariales SC'!$G$217,IF(D8=400,'A.0_Tablas salariales SC'!$G$218,IF(D8=450,'A.0_Tablas salariales SC'!$G$219,IF(D8=401,'A.0_Tablas salariales SC'!$G$220,IF(D8=451,'A.0_Tablas salariales SC'!$G$221,'A.0_Tablas salariales SC'!$G$215)))))))</f>
        <v>0.34584999999999999</v>
      </c>
      <c r="R8" s="183">
        <f t="shared" ref="R8:R12" si="3">Q8*P8</f>
        <v>1175.4818970000001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'A.1.0_TablaAntigüedad_Sub'!M9</f>
        <v>130</v>
      </c>
      <c r="I9" s="183">
        <f>'A.1.0_TablaAntigüedad_Sub'!AA9</f>
        <v>527.70000000000005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7915.5000000000009</v>
      </c>
      <c r="O9" s="183">
        <f>'A.0_Tablas salariales SC'!$K$117</f>
        <v>24314.069999999992</v>
      </c>
      <c r="P9" s="183">
        <f>(O9+N9)*G9+'A.0_Tablas salariales SC'!$R$136*(100%-G9)</f>
        <v>3398.82</v>
      </c>
      <c r="Q9" s="184">
        <f>IF(D9=100,'A.0_Tablas salariales SC'!$G$215,IF(D9=150,'A.0_Tablas salariales SC'!$G$216,IF(D9=189,'A.0_Tablas salariales SC'!$G$217,IF(D9=400,'A.0_Tablas salariales SC'!$G$218,IF(D9=450,'A.0_Tablas salariales SC'!$G$219,IF(D9=401,'A.0_Tablas salariales SC'!$G$220,IF(D9=451,'A.0_Tablas salariales SC'!$G$221,'A.0_Tablas salariales SC'!$G$215)))))))</f>
        <v>0.34584999999999999</v>
      </c>
      <c r="R9" s="183">
        <f t="shared" si="3"/>
        <v>1175.4818970000001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'A.1.0_TablaAntigüedad_Sub'!M10</f>
        <v>130</v>
      </c>
      <c r="I10" s="183">
        <f>'A.1.0_TablaAntigüedad_Sub'!AA10</f>
        <v>527.70000000000005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7915.5000000000009</v>
      </c>
      <c r="O10" s="183">
        <f>'A.0_Tablas salariales SC'!$K$117</f>
        <v>24314.069999999992</v>
      </c>
      <c r="P10" s="183">
        <f>(O10+N10)*G10+'A.0_Tablas salariales SC'!$R$136*(100%-G10)</f>
        <v>3398.82</v>
      </c>
      <c r="Q10" s="184">
        <f>IF(D10=100,'A.0_Tablas salariales SC'!$G$215,IF(D10=150,'A.0_Tablas salariales SC'!$G$216,IF(D10=189,'A.0_Tablas salariales SC'!$G$217,IF(D10=400,'A.0_Tablas salariales SC'!$G$218,IF(D10=450,'A.0_Tablas salariales SC'!$G$219,IF(D10=401,'A.0_Tablas salariales SC'!$G$220,IF(D10=451,'A.0_Tablas salariales SC'!$G$221,'A.0_Tablas salariales SC'!$G$215)))))))</f>
        <v>0.34584999999999999</v>
      </c>
      <c r="R10" s="183">
        <f t="shared" si="3"/>
        <v>1175.4818970000001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'A.1.0_TablaAntigüedad_Sub'!M11</f>
        <v>130</v>
      </c>
      <c r="I11" s="183">
        <f>'A.1.0_TablaAntigüedad_Sub'!AA11</f>
        <v>527.70000000000005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7915.5000000000009</v>
      </c>
      <c r="O11" s="183">
        <f>'A.0_Tablas salariales SC'!$K$117</f>
        <v>24314.069999999992</v>
      </c>
      <c r="P11" s="183">
        <f>(O11+N11)*G11+'A.0_Tablas salariales SC'!$R$136*(100%-G11)</f>
        <v>3398.82</v>
      </c>
      <c r="Q11" s="184">
        <f>IF(D11=100,'A.0_Tablas salariales SC'!$G$215,IF(D11=150,'A.0_Tablas salariales SC'!$G$216,IF(D11=189,'A.0_Tablas salariales SC'!$G$217,IF(D11=400,'A.0_Tablas salariales SC'!$G$218,IF(D11=450,'A.0_Tablas salariales SC'!$G$219,IF(D11=401,'A.0_Tablas salariales SC'!$G$220,IF(D11=451,'A.0_Tablas salariales SC'!$G$221,'A.0_Tablas salariales SC'!$G$215)))))))</f>
        <v>0.34584999999999999</v>
      </c>
      <c r="R11" s="183">
        <f t="shared" si="3"/>
        <v>1175.4818970000001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'A.1.0_TablaAntigüedad_Sub'!M12</f>
        <v>130</v>
      </c>
      <c r="I12" s="183">
        <f>'A.1.0_TablaAntigüedad_Sub'!AA12</f>
        <v>527.70000000000005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7915.5000000000009</v>
      </c>
      <c r="O12" s="183">
        <f>'A.0_Tablas salariales SC'!$K$117</f>
        <v>24314.069999999992</v>
      </c>
      <c r="P12" s="183">
        <f>(O12+N12)*G12+'A.0_Tablas salariales SC'!$R$136*(100%-G12)</f>
        <v>3398.82</v>
      </c>
      <c r="Q12" s="184">
        <f>IF(D12=100,'A.0_Tablas salariales SC'!$G$215,IF(D12=150,'A.0_Tablas salariales SC'!$G$216,IF(D12=189,'A.0_Tablas salariales SC'!$G$217,IF(D12=400,'A.0_Tablas salariales SC'!$G$218,IF(D12=450,'A.0_Tablas salariales SC'!$G$219,IF(D12=401,'A.0_Tablas salariales SC'!$G$220,IF(D12=451,'A.0_Tablas salariales SC'!$G$221,'A.0_Tablas salariales SC'!$G$215)))))))</f>
        <v>0.34584999999999999</v>
      </c>
      <c r="R12" s="183">
        <f t="shared" si="3"/>
        <v>1175.4818970000001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0</v>
      </c>
    </row>
    <row r="14" spans="1:20">
      <c r="A14" s="508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2">
        <f>'A.1. Plantilla_Subrogacion'!F14</f>
        <v>0</v>
      </c>
      <c r="H14" s="181">
        <f>'A.1.0_TablaAntigüedad_Sub'!M14</f>
        <v>130</v>
      </c>
      <c r="I14" s="183">
        <f>'A.1.0_TablaAntigüedad_Sub'!AA14</f>
        <v>527.70000000000005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ref="N14:N45" si="5">I14*$I$4+J14*$J$4+K14*$K$4+$M$4*M14+L14*$L$4</f>
        <v>7915.5000000000009</v>
      </c>
      <c r="O14" s="183">
        <f>'A.0_Tablas salariales SC'!$K$118</f>
        <v>25525.020000000004</v>
      </c>
      <c r="P14" s="183">
        <f>(O14+N14)*G14+'A.0_Tablas salariales SC'!$R$136*(100%-G14)</f>
        <v>3398.82</v>
      </c>
      <c r="Q14" s="184">
        <f>IF(D14=100,'A.0_Tablas salariales SC'!$G$215,IF(D14=150,'A.0_Tablas salariales SC'!$G$216,IF(D14=189,'A.0_Tablas salariales SC'!$G$217,IF(D14=400,'A.0_Tablas salariales SC'!$G$218,IF(D14=450,'A.0_Tablas salariales SC'!$G$219,IF(D14=401,'A.0_Tablas salariales SC'!$G$220,IF(D14=451,'A.0_Tablas salariales SC'!$G$221,'A.0_Tablas salariales SC'!$G$215)))))))</f>
        <v>0.34584999999999999</v>
      </c>
      <c r="R14" s="183">
        <f t="shared" si="1"/>
        <v>1175.4818970000001</v>
      </c>
      <c r="S14" s="183">
        <f t="shared" si="2"/>
        <v>0</v>
      </c>
      <c r="T14" s="179"/>
    </row>
    <row r="15" spans="1:20">
      <c r="A15" s="508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2">
        <f>'A.1. Plantilla_Subrogacion'!F15</f>
        <v>0</v>
      </c>
      <c r="H15" s="181">
        <f>'A.1.0_TablaAntigüedad_Sub'!M15</f>
        <v>130</v>
      </c>
      <c r="I15" s="183">
        <f>'A.1.0_TablaAntigüedad_Sub'!AA15</f>
        <v>527.70000000000005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5"/>
        <v>7915.5000000000009</v>
      </c>
      <c r="O15" s="183">
        <f>'A.0_Tablas salariales SC'!$K$118</f>
        <v>25525.020000000004</v>
      </c>
      <c r="P15" s="183">
        <f>(O15+N15)*G15+'A.0_Tablas salariales SC'!$R$136*(100%-G15)</f>
        <v>3398.82</v>
      </c>
      <c r="Q15" s="184">
        <f>IF(D15=100,'A.0_Tablas salariales SC'!$G$215,IF(D15=150,'A.0_Tablas salariales SC'!$G$216,IF(D15=189,'A.0_Tablas salariales SC'!$G$217,IF(D15=400,'A.0_Tablas salariales SC'!$G$218,IF(D15=450,'A.0_Tablas salariales SC'!$G$219,IF(D15=401,'A.0_Tablas salariales SC'!$G$220,IF(D15=451,'A.0_Tablas salariales SC'!$G$221,'A.0_Tablas salariales SC'!$G$215)))))))</f>
        <v>0.34584999999999999</v>
      </c>
      <c r="R15" s="183">
        <f t="shared" si="1"/>
        <v>1175.4818970000001</v>
      </c>
      <c r="S15" s="183">
        <f t="shared" si="2"/>
        <v>0</v>
      </c>
      <c r="T15" s="179"/>
    </row>
    <row r="16" spans="1:20">
      <c r="A16" s="508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2">
        <f>'A.1. Plantilla_Subrogacion'!F16</f>
        <v>0</v>
      </c>
      <c r="H16" s="181">
        <f>'A.1.0_TablaAntigüedad_Sub'!M16</f>
        <v>130</v>
      </c>
      <c r="I16" s="183">
        <f>'A.1.0_TablaAntigüedad_Sub'!AA16</f>
        <v>527.70000000000005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5"/>
        <v>7915.5000000000009</v>
      </c>
      <c r="O16" s="183">
        <f>'A.0_Tablas salariales SC'!$K$118</f>
        <v>25525.020000000004</v>
      </c>
      <c r="P16" s="183">
        <f>(O16+N16)*G16+'A.0_Tablas salariales SC'!$R$136*(100%-G16)</f>
        <v>3398.82</v>
      </c>
      <c r="Q16" s="184">
        <f>IF(D16=100,'A.0_Tablas salariales SC'!$G$215,IF(D16=150,'A.0_Tablas salariales SC'!$G$216,IF(D16=189,'A.0_Tablas salariales SC'!$G$217,IF(D16=400,'A.0_Tablas salariales SC'!$G$218,IF(D16=450,'A.0_Tablas salariales SC'!$G$219,IF(D16=401,'A.0_Tablas salariales SC'!$G$220,IF(D16=451,'A.0_Tablas salariales SC'!$G$221,'A.0_Tablas salariales SC'!$G$215)))))))</f>
        <v>0.34584999999999999</v>
      </c>
      <c r="R16" s="183">
        <f t="shared" si="1"/>
        <v>1175.4818970000001</v>
      </c>
      <c r="S16" s="183">
        <f t="shared" si="2"/>
        <v>0</v>
      </c>
      <c r="T16" s="179"/>
    </row>
    <row r="17" spans="1:20">
      <c r="A17" s="508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2">
        <f>'A.1. Plantilla_Subrogacion'!F17</f>
        <v>0</v>
      </c>
      <c r="H17" s="181">
        <f>'A.1.0_TablaAntigüedad_Sub'!M17</f>
        <v>130</v>
      </c>
      <c r="I17" s="183">
        <f>'A.1.0_TablaAntigüedad_Sub'!AA17</f>
        <v>527.70000000000005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5"/>
        <v>7915.5000000000009</v>
      </c>
      <c r="O17" s="183">
        <f>'A.0_Tablas salariales SC'!$K$118</f>
        <v>25525.020000000004</v>
      </c>
      <c r="P17" s="183">
        <f>(O17+N17)*G17+'A.0_Tablas salariales SC'!$R$136*(100%-G17)</f>
        <v>3398.82</v>
      </c>
      <c r="Q17" s="184">
        <f>IF(D17=100,'A.0_Tablas salariales SC'!$G$215,IF(D17=150,'A.0_Tablas salariales SC'!$G$216,IF(D17=189,'A.0_Tablas salariales SC'!$G$217,IF(D17=400,'A.0_Tablas salariales SC'!$G$218,IF(D17=450,'A.0_Tablas salariales SC'!$G$219,IF(D17=401,'A.0_Tablas salariales SC'!$G$220,IF(D17=451,'A.0_Tablas salariales SC'!$G$221,'A.0_Tablas salariales SC'!$G$215)))))))</f>
        <v>0.34584999999999999</v>
      </c>
      <c r="R17" s="183">
        <f t="shared" si="1"/>
        <v>1175.4818970000001</v>
      </c>
      <c r="S17" s="183">
        <f t="shared" si="2"/>
        <v>0</v>
      </c>
      <c r="T17" s="179"/>
    </row>
    <row r="18" spans="1:20">
      <c r="A18" s="508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2">
        <f>'A.1. Plantilla_Subrogacion'!F18</f>
        <v>0</v>
      </c>
      <c r="H18" s="181">
        <f>'A.1.0_TablaAntigüedad_Sub'!M18</f>
        <v>130</v>
      </c>
      <c r="I18" s="183">
        <f>'A.1.0_TablaAntigüedad_Sub'!AA18</f>
        <v>527.70000000000005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5"/>
        <v>7915.5000000000009</v>
      </c>
      <c r="O18" s="183">
        <f>'A.0_Tablas salariales SC'!$K$118</f>
        <v>25525.020000000004</v>
      </c>
      <c r="P18" s="183">
        <f>(O18+N18)*G18+'A.0_Tablas salariales SC'!$R$136*(100%-G18)</f>
        <v>3398.82</v>
      </c>
      <c r="Q18" s="184">
        <f>IF(D18=100,'A.0_Tablas salariales SC'!$G$215,IF(D18=150,'A.0_Tablas salariales SC'!$G$216,IF(D18=189,'A.0_Tablas salariales SC'!$G$217,IF(D18=400,'A.0_Tablas salariales SC'!$G$218,IF(D18=450,'A.0_Tablas salariales SC'!$G$219,IF(D18=401,'A.0_Tablas salariales SC'!$G$220,IF(D18=451,'A.0_Tablas salariales SC'!$G$221,'A.0_Tablas salariales SC'!$G$215)))))))</f>
        <v>0.34584999999999999</v>
      </c>
      <c r="R18" s="183">
        <f t="shared" si="1"/>
        <v>1175.4818970000001</v>
      </c>
      <c r="S18" s="183">
        <f t="shared" si="2"/>
        <v>0</v>
      </c>
      <c r="T18" s="179"/>
    </row>
    <row r="19" spans="1:20">
      <c r="A19" s="508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2">
        <f>'A.1. Plantilla_Subrogacion'!F19</f>
        <v>0</v>
      </c>
      <c r="H19" s="181">
        <f>'A.1.0_TablaAntigüedad_Sub'!M19</f>
        <v>130</v>
      </c>
      <c r="I19" s="183">
        <f>'A.1.0_TablaAntigüedad_Sub'!AA19</f>
        <v>527.70000000000005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5"/>
        <v>7915.5000000000009</v>
      </c>
      <c r="O19" s="183">
        <f>'A.0_Tablas salariales SC'!$K$118</f>
        <v>25525.020000000004</v>
      </c>
      <c r="P19" s="183">
        <f>(O19+N19)*G19+'A.0_Tablas salariales SC'!$R$136*(100%-G19)</f>
        <v>3398.82</v>
      </c>
      <c r="Q19" s="184">
        <f>IF(D19=100,'A.0_Tablas salariales SC'!$G$215,IF(D19=150,'A.0_Tablas salariales SC'!$G$216,IF(D19=189,'A.0_Tablas salariales SC'!$G$217,IF(D19=400,'A.0_Tablas salariales SC'!$G$218,IF(D19=450,'A.0_Tablas salariales SC'!$G$219,IF(D19=401,'A.0_Tablas salariales SC'!$G$220,IF(D19=451,'A.0_Tablas salariales SC'!$G$221,'A.0_Tablas salariales SC'!$G$215)))))))</f>
        <v>0.34584999999999999</v>
      </c>
      <c r="R19" s="183">
        <f t="shared" si="1"/>
        <v>1175.4818970000001</v>
      </c>
      <c r="S19" s="183">
        <f t="shared" si="2"/>
        <v>0</v>
      </c>
      <c r="T19" s="179"/>
    </row>
    <row r="20" spans="1:20">
      <c r="A20" s="508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2">
        <f>'A.1. Plantilla_Subrogacion'!F20</f>
        <v>0</v>
      </c>
      <c r="H20" s="181">
        <f>'A.1.0_TablaAntigüedad_Sub'!M20</f>
        <v>130</v>
      </c>
      <c r="I20" s="183">
        <f>'A.1.0_TablaAntigüedad_Sub'!AA20</f>
        <v>527.70000000000005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5"/>
        <v>7915.5000000000009</v>
      </c>
      <c r="O20" s="183">
        <f>'A.0_Tablas salariales SC'!$K$118</f>
        <v>25525.020000000004</v>
      </c>
      <c r="P20" s="183">
        <f>(O20+N20)*G20+'A.0_Tablas salariales SC'!$R$136*(100%-G20)</f>
        <v>3398.82</v>
      </c>
      <c r="Q20" s="184">
        <f>IF(D20=100,'A.0_Tablas salariales SC'!$G$215,IF(D20=150,'A.0_Tablas salariales SC'!$G$216,IF(D20=189,'A.0_Tablas salariales SC'!$G$217,IF(D20=400,'A.0_Tablas salariales SC'!$G$218,IF(D20=450,'A.0_Tablas salariales SC'!$G$219,IF(D20=401,'A.0_Tablas salariales SC'!$G$220,IF(D20=451,'A.0_Tablas salariales SC'!$G$221,'A.0_Tablas salariales SC'!$G$215)))))))</f>
        <v>0.34584999999999999</v>
      </c>
      <c r="R20" s="183">
        <f t="shared" si="1"/>
        <v>1175.4818970000001</v>
      </c>
      <c r="S20" s="183">
        <f t="shared" si="2"/>
        <v>0</v>
      </c>
      <c r="T20" s="179"/>
    </row>
    <row r="21" spans="1:20">
      <c r="A21" s="508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2">
        <f>'A.1. Plantilla_Subrogacion'!F21</f>
        <v>0</v>
      </c>
      <c r="H21" s="181">
        <f>'A.1.0_TablaAntigüedad_Sub'!M21</f>
        <v>130</v>
      </c>
      <c r="I21" s="183">
        <f>'A.1.0_TablaAntigüedad_Sub'!AA21</f>
        <v>527.70000000000005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5"/>
        <v>7915.5000000000009</v>
      </c>
      <c r="O21" s="183">
        <f>'A.0_Tablas salariales SC'!$K$118</f>
        <v>25525.020000000004</v>
      </c>
      <c r="P21" s="183">
        <f>(O21+N21)*G21+'A.0_Tablas salariales SC'!$R$136*(100%-G21)</f>
        <v>3398.82</v>
      </c>
      <c r="Q21" s="184">
        <f>IF(D21=100,'A.0_Tablas salariales SC'!$G$215,IF(D21=150,'A.0_Tablas salariales SC'!$G$216,IF(D21=189,'A.0_Tablas salariales SC'!$G$217,IF(D21=400,'A.0_Tablas salariales SC'!$G$218,IF(D21=450,'A.0_Tablas salariales SC'!$G$219,IF(D21=401,'A.0_Tablas salariales SC'!$G$220,IF(D21=451,'A.0_Tablas salariales SC'!$G$221,'A.0_Tablas salariales SC'!$G$215)))))))</f>
        <v>0.34584999999999999</v>
      </c>
      <c r="R21" s="183">
        <f t="shared" si="1"/>
        <v>1175.4818970000001</v>
      </c>
      <c r="S21" s="183">
        <f t="shared" si="2"/>
        <v>0</v>
      </c>
      <c r="T21" s="179"/>
    </row>
    <row r="22" spans="1:20">
      <c r="A22" s="508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2">
        <f>'A.1. Plantilla_Subrogacion'!F22</f>
        <v>0</v>
      </c>
      <c r="H22" s="181">
        <f>'A.1.0_TablaAntigüedad_Sub'!M22</f>
        <v>130</v>
      </c>
      <c r="I22" s="183">
        <f>'A.1.0_TablaAntigüedad_Sub'!AA22</f>
        <v>527.70000000000005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5"/>
        <v>7915.5000000000009</v>
      </c>
      <c r="O22" s="183">
        <f>'A.0_Tablas salariales SC'!$K$118</f>
        <v>25525.020000000004</v>
      </c>
      <c r="P22" s="183">
        <f>(O22+N22)*G22+'A.0_Tablas salariales SC'!$R$136*(100%-G22)</f>
        <v>3398.82</v>
      </c>
      <c r="Q22" s="184">
        <f>IF(D22=100,'A.0_Tablas salariales SC'!$G$215,IF(D22=150,'A.0_Tablas salariales SC'!$G$216,IF(D22=189,'A.0_Tablas salariales SC'!$G$217,IF(D22=400,'A.0_Tablas salariales SC'!$G$218,IF(D22=450,'A.0_Tablas salariales SC'!$G$219,IF(D22=401,'A.0_Tablas salariales SC'!$G$220,IF(D22=451,'A.0_Tablas salariales SC'!$G$221,'A.0_Tablas salariales SC'!$G$215)))))))</f>
        <v>0.34584999999999999</v>
      </c>
      <c r="R22" s="183">
        <f t="shared" si="1"/>
        <v>1175.4818970000001</v>
      </c>
      <c r="S22" s="183">
        <f t="shared" si="2"/>
        <v>0</v>
      </c>
      <c r="T22" s="179"/>
    </row>
    <row r="23" spans="1:20">
      <c r="A23" s="508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2">
        <f>'A.1. Plantilla_Subrogacion'!F23</f>
        <v>0</v>
      </c>
      <c r="H23" s="181">
        <f>'A.1.0_TablaAntigüedad_Sub'!M23</f>
        <v>130</v>
      </c>
      <c r="I23" s="183">
        <f>'A.1.0_TablaAntigüedad_Sub'!AA23</f>
        <v>527.70000000000005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5"/>
        <v>7915.5000000000009</v>
      </c>
      <c r="O23" s="183">
        <f>'A.0_Tablas salariales SC'!$K$118</f>
        <v>25525.020000000004</v>
      </c>
      <c r="P23" s="183">
        <f>(O23+N23)*G23+'A.0_Tablas salariales SC'!$R$136*(100%-G23)</f>
        <v>3398.82</v>
      </c>
      <c r="Q23" s="184">
        <f>IF(D23=100,'A.0_Tablas salariales SC'!$G$215,IF(D23=150,'A.0_Tablas salariales SC'!$G$216,IF(D23=189,'A.0_Tablas salariales SC'!$G$217,IF(D23=400,'A.0_Tablas salariales SC'!$G$218,IF(D23=450,'A.0_Tablas salariales SC'!$G$219,IF(D23=401,'A.0_Tablas salariales SC'!$G$220,IF(D23=451,'A.0_Tablas salariales SC'!$G$221,'A.0_Tablas salariales SC'!$G$215)))))))</f>
        <v>0.34584999999999999</v>
      </c>
      <c r="R23" s="183">
        <f t="shared" si="1"/>
        <v>1175.4818970000001</v>
      </c>
      <c r="S23" s="183">
        <f t="shared" si="2"/>
        <v>0</v>
      </c>
      <c r="T23" s="179"/>
    </row>
    <row r="24" spans="1:20">
      <c r="A24" s="508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2">
        <f>'A.1. Plantilla_Subrogacion'!F24</f>
        <v>0</v>
      </c>
      <c r="H24" s="181">
        <f>'A.1.0_TablaAntigüedad_Sub'!M24</f>
        <v>130</v>
      </c>
      <c r="I24" s="183">
        <f>'A.1.0_TablaAntigüedad_Sub'!AA24</f>
        <v>527.70000000000005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5"/>
        <v>7915.5000000000009</v>
      </c>
      <c r="O24" s="183">
        <f>'A.0_Tablas salariales SC'!$K$118</f>
        <v>25525.020000000004</v>
      </c>
      <c r="P24" s="183">
        <f>(O24+N24)*G24+'A.0_Tablas salariales SC'!$R$136*(100%-G24)</f>
        <v>3398.82</v>
      </c>
      <c r="Q24" s="184">
        <f>IF(D24=100,'A.0_Tablas salariales SC'!$G$215,IF(D24=150,'A.0_Tablas salariales SC'!$G$216,IF(D24=189,'A.0_Tablas salariales SC'!$G$217,IF(D24=400,'A.0_Tablas salariales SC'!$G$218,IF(D24=450,'A.0_Tablas salariales SC'!$G$219,IF(D24=401,'A.0_Tablas salariales SC'!$G$220,IF(D24=451,'A.0_Tablas salariales SC'!$G$221,'A.0_Tablas salariales SC'!$G$215)))))))</f>
        <v>0.34584999999999999</v>
      </c>
      <c r="R24" s="183">
        <f t="shared" si="1"/>
        <v>1175.4818970000001</v>
      </c>
      <c r="S24" s="183">
        <f t="shared" si="2"/>
        <v>0</v>
      </c>
      <c r="T24" s="179"/>
    </row>
    <row r="25" spans="1:20">
      <c r="A25" s="508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2">
        <f>'A.1. Plantilla_Subrogacion'!F25</f>
        <v>0</v>
      </c>
      <c r="H25" s="181">
        <f>'A.1.0_TablaAntigüedad_Sub'!M25</f>
        <v>130</v>
      </c>
      <c r="I25" s="183">
        <f>'A.1.0_TablaAntigüedad_Sub'!AA25</f>
        <v>527.70000000000005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5"/>
        <v>7915.5000000000009</v>
      </c>
      <c r="O25" s="183">
        <f>'A.0_Tablas salariales SC'!$K$118</f>
        <v>25525.020000000004</v>
      </c>
      <c r="P25" s="183">
        <f>(O25+N25)*G25+'A.0_Tablas salariales SC'!$R$136*(100%-G25)</f>
        <v>3398.82</v>
      </c>
      <c r="Q25" s="184">
        <f>IF(D25=100,'A.0_Tablas salariales SC'!$G$215,IF(D25=150,'A.0_Tablas salariales SC'!$G$216,IF(D25=189,'A.0_Tablas salariales SC'!$G$217,IF(D25=400,'A.0_Tablas salariales SC'!$G$218,IF(D25=450,'A.0_Tablas salariales SC'!$G$219,IF(D25=401,'A.0_Tablas salariales SC'!$G$220,IF(D25=451,'A.0_Tablas salariales SC'!$G$221,'A.0_Tablas salariales SC'!$G$215)))))))</f>
        <v>0.34584999999999999</v>
      </c>
      <c r="R25" s="183">
        <f t="shared" si="1"/>
        <v>1175.4818970000001</v>
      </c>
      <c r="S25" s="183">
        <f t="shared" si="2"/>
        <v>0</v>
      </c>
      <c r="T25" s="179"/>
    </row>
    <row r="26" spans="1:20">
      <c r="A26" s="508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2">
        <f>'A.1. Plantilla_Subrogacion'!F26</f>
        <v>0</v>
      </c>
      <c r="H26" s="181">
        <f>'A.1.0_TablaAntigüedad_Sub'!M26</f>
        <v>130</v>
      </c>
      <c r="I26" s="183">
        <f>'A.1.0_TablaAntigüedad_Sub'!AA26</f>
        <v>527.70000000000005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5"/>
        <v>7915.5000000000009</v>
      </c>
      <c r="O26" s="183">
        <f>'A.0_Tablas salariales SC'!$K$118</f>
        <v>25525.020000000004</v>
      </c>
      <c r="P26" s="183">
        <f>(O26+N26)*G26+'A.0_Tablas salariales SC'!$R$136*(100%-G26)</f>
        <v>3398.82</v>
      </c>
      <c r="Q26" s="184">
        <f>IF(D26=100,'A.0_Tablas salariales SC'!$G$215,IF(D26=150,'A.0_Tablas salariales SC'!$G$216,IF(D26=189,'A.0_Tablas salariales SC'!$G$217,IF(D26=400,'A.0_Tablas salariales SC'!$G$218,IF(D26=450,'A.0_Tablas salariales SC'!$G$219,IF(D26=401,'A.0_Tablas salariales SC'!$G$220,IF(D26=451,'A.0_Tablas salariales SC'!$G$221,'A.0_Tablas salariales SC'!$G$215)))))))</f>
        <v>0.34584999999999999</v>
      </c>
      <c r="R26" s="183">
        <f t="shared" si="1"/>
        <v>1175.4818970000001</v>
      </c>
      <c r="S26" s="183">
        <f t="shared" si="2"/>
        <v>0</v>
      </c>
      <c r="T26" s="179"/>
    </row>
    <row r="27" spans="1:20">
      <c r="A27" s="508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2">
        <f>'A.1. Plantilla_Subrogacion'!F27</f>
        <v>0</v>
      </c>
      <c r="H27" s="181">
        <f>'A.1.0_TablaAntigüedad_Sub'!M27</f>
        <v>130</v>
      </c>
      <c r="I27" s="183">
        <f>'A.1.0_TablaAntigüedad_Sub'!AA27</f>
        <v>527.70000000000005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5"/>
        <v>7915.5000000000009</v>
      </c>
      <c r="O27" s="183">
        <f>'A.0_Tablas salariales SC'!$K$118</f>
        <v>25525.020000000004</v>
      </c>
      <c r="P27" s="183">
        <f>(O27+N27)*G27+'A.0_Tablas salariales SC'!$R$136*(100%-G27)</f>
        <v>3398.82</v>
      </c>
      <c r="Q27" s="184">
        <f>IF(D27=100,'A.0_Tablas salariales SC'!$G$215,IF(D27=150,'A.0_Tablas salariales SC'!$G$216,IF(D27=189,'A.0_Tablas salariales SC'!$G$217,IF(D27=400,'A.0_Tablas salariales SC'!$G$218,IF(D27=450,'A.0_Tablas salariales SC'!$G$219,IF(D27=401,'A.0_Tablas salariales SC'!$G$220,IF(D27=451,'A.0_Tablas salariales SC'!$G$221,'A.0_Tablas salariales SC'!$G$215)))))))</f>
        <v>0.34584999999999999</v>
      </c>
      <c r="R27" s="183">
        <f t="shared" si="1"/>
        <v>1175.4818970000001</v>
      </c>
      <c r="S27" s="183">
        <f t="shared" si="2"/>
        <v>0</v>
      </c>
      <c r="T27" s="179"/>
    </row>
    <row r="28" spans="1:20">
      <c r="A28" s="508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2">
        <f>'A.1. Plantilla_Subrogacion'!F28</f>
        <v>0</v>
      </c>
      <c r="H28" s="181">
        <f>'A.1.0_TablaAntigüedad_Sub'!M28</f>
        <v>130</v>
      </c>
      <c r="I28" s="183">
        <f>'A.1.0_TablaAntigüedad_Sub'!AA28</f>
        <v>527.70000000000005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5"/>
        <v>7915.5000000000009</v>
      </c>
      <c r="O28" s="183">
        <f>'A.0_Tablas salariales SC'!$K$118</f>
        <v>25525.020000000004</v>
      </c>
      <c r="P28" s="183">
        <f>(O28+N28)*G28+'A.0_Tablas salariales SC'!$R$136*(100%-G28)</f>
        <v>3398.82</v>
      </c>
      <c r="Q28" s="184">
        <f>IF(D28=100,'A.0_Tablas salariales SC'!$G$215,IF(D28=150,'A.0_Tablas salariales SC'!$G$216,IF(D28=189,'A.0_Tablas salariales SC'!$G$217,IF(D28=400,'A.0_Tablas salariales SC'!$G$218,IF(D28=450,'A.0_Tablas salariales SC'!$G$219,IF(D28=401,'A.0_Tablas salariales SC'!$G$220,IF(D28=451,'A.0_Tablas salariales SC'!$G$221,'A.0_Tablas salariales SC'!$G$215)))))))</f>
        <v>0.34584999999999999</v>
      </c>
      <c r="R28" s="183">
        <f t="shared" si="1"/>
        <v>1175.4818970000001</v>
      </c>
      <c r="S28" s="183">
        <f t="shared" si="2"/>
        <v>0</v>
      </c>
      <c r="T28" s="179"/>
    </row>
    <row r="29" spans="1:20">
      <c r="A29" s="508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2">
        <f>'A.1. Plantilla_Subrogacion'!F29</f>
        <v>0</v>
      </c>
      <c r="H29" s="181">
        <f>'A.1.0_TablaAntigüedad_Sub'!M29</f>
        <v>130</v>
      </c>
      <c r="I29" s="183">
        <f>'A.1.0_TablaAntigüedad_Sub'!AA29</f>
        <v>527.70000000000005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5"/>
        <v>7915.5000000000009</v>
      </c>
      <c r="O29" s="183">
        <f>'A.0_Tablas salariales SC'!$K$118</f>
        <v>25525.020000000004</v>
      </c>
      <c r="P29" s="183">
        <f>(O29+N29)*G29+'A.0_Tablas salariales SC'!$R$136*(100%-G29)</f>
        <v>3398.82</v>
      </c>
      <c r="Q29" s="184">
        <f>IF(D29=100,'A.0_Tablas salariales SC'!$G$215,IF(D29=150,'A.0_Tablas salariales SC'!$G$216,IF(D29=189,'A.0_Tablas salariales SC'!$G$217,IF(D29=400,'A.0_Tablas salariales SC'!$G$218,IF(D29=450,'A.0_Tablas salariales SC'!$G$219,IF(D29=401,'A.0_Tablas salariales SC'!$G$220,IF(D29=451,'A.0_Tablas salariales SC'!$G$221,'A.0_Tablas salariales SC'!$G$215)))))))</f>
        <v>0.34584999999999999</v>
      </c>
      <c r="R29" s="183">
        <f t="shared" si="1"/>
        <v>1175.4818970000001</v>
      </c>
      <c r="S29" s="183">
        <f t="shared" si="2"/>
        <v>0</v>
      </c>
      <c r="T29" s="179"/>
    </row>
    <row r="30" spans="1:20">
      <c r="A30" s="508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2">
        <f>'A.1. Plantilla_Subrogacion'!F30</f>
        <v>0</v>
      </c>
      <c r="H30" s="181">
        <f>'A.1.0_TablaAntigüedad_Sub'!M30</f>
        <v>130</v>
      </c>
      <c r="I30" s="183">
        <f>'A.1.0_TablaAntigüedad_Sub'!AA30</f>
        <v>527.70000000000005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5"/>
        <v>7915.5000000000009</v>
      </c>
      <c r="O30" s="183">
        <f>'A.0_Tablas salariales SC'!$K$118</f>
        <v>25525.020000000004</v>
      </c>
      <c r="P30" s="183">
        <f>(O30+N30)*G30+'A.0_Tablas salariales SC'!$R$136*(100%-G30)</f>
        <v>3398.82</v>
      </c>
      <c r="Q30" s="184">
        <f>IF(D30=100,'A.0_Tablas salariales SC'!$G$215,IF(D30=150,'A.0_Tablas salariales SC'!$G$216,IF(D30=189,'A.0_Tablas salariales SC'!$G$217,IF(D30=400,'A.0_Tablas salariales SC'!$G$218,IF(D30=450,'A.0_Tablas salariales SC'!$G$219,IF(D30=401,'A.0_Tablas salariales SC'!$G$220,IF(D30=451,'A.0_Tablas salariales SC'!$G$221,'A.0_Tablas salariales SC'!$G$215)))))))</f>
        <v>0.34584999999999999</v>
      </c>
      <c r="R30" s="183">
        <f t="shared" si="1"/>
        <v>1175.4818970000001</v>
      </c>
      <c r="S30" s="183">
        <f t="shared" si="2"/>
        <v>0</v>
      </c>
      <c r="T30" s="179"/>
    </row>
    <row r="31" spans="1:20">
      <c r="A31" s="508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2">
        <f>'A.1. Plantilla_Subrogacion'!F31</f>
        <v>0</v>
      </c>
      <c r="H31" s="181">
        <f>'A.1.0_TablaAntigüedad_Sub'!M31</f>
        <v>130</v>
      </c>
      <c r="I31" s="183">
        <f>'A.1.0_TablaAntigüedad_Sub'!AA31</f>
        <v>527.70000000000005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5"/>
        <v>7915.5000000000009</v>
      </c>
      <c r="O31" s="183">
        <f>'A.0_Tablas salariales SC'!$K$118</f>
        <v>25525.020000000004</v>
      </c>
      <c r="P31" s="183">
        <f>(O31+N31)*G31+'A.0_Tablas salariales SC'!$R$136*(100%-G31)</f>
        <v>3398.82</v>
      </c>
      <c r="Q31" s="184">
        <f>IF(D31=100,'A.0_Tablas salariales SC'!$G$215,IF(D31=150,'A.0_Tablas salariales SC'!$G$216,IF(D31=189,'A.0_Tablas salariales SC'!$G$217,IF(D31=400,'A.0_Tablas salariales SC'!$G$218,IF(D31=450,'A.0_Tablas salariales SC'!$G$219,IF(D31=401,'A.0_Tablas salariales SC'!$G$220,IF(D31=451,'A.0_Tablas salariales SC'!$G$221,'A.0_Tablas salariales SC'!$G$215)))))))</f>
        <v>0.34584999999999999</v>
      </c>
      <c r="R31" s="183">
        <f t="shared" si="1"/>
        <v>1175.4818970000001</v>
      </c>
      <c r="S31" s="183">
        <f t="shared" si="2"/>
        <v>0</v>
      </c>
      <c r="T31" s="179"/>
    </row>
    <row r="32" spans="1:20">
      <c r="A32" s="508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2">
        <f>'A.1. Plantilla_Subrogacion'!F32</f>
        <v>0</v>
      </c>
      <c r="H32" s="181">
        <f>'A.1.0_TablaAntigüedad_Sub'!M32</f>
        <v>130</v>
      </c>
      <c r="I32" s="183">
        <f>'A.1.0_TablaAntigüedad_Sub'!AA32</f>
        <v>527.70000000000005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5"/>
        <v>7915.5000000000009</v>
      </c>
      <c r="O32" s="183">
        <f>'A.0_Tablas salariales SC'!$K$118</f>
        <v>25525.020000000004</v>
      </c>
      <c r="P32" s="183">
        <f>(O32+N32)*G32+'A.0_Tablas salariales SC'!$R$136*(100%-G32)</f>
        <v>3398.82</v>
      </c>
      <c r="Q32" s="184">
        <f>IF(D32=100,'A.0_Tablas salariales SC'!$G$215,IF(D32=150,'A.0_Tablas salariales SC'!$G$216,IF(D32=189,'A.0_Tablas salariales SC'!$G$217,IF(D32=400,'A.0_Tablas salariales SC'!$G$218,IF(D32=450,'A.0_Tablas salariales SC'!$G$219,IF(D32=401,'A.0_Tablas salariales SC'!$G$220,IF(D32=451,'A.0_Tablas salariales SC'!$G$221,'A.0_Tablas salariales SC'!$G$215)))))))</f>
        <v>0.34584999999999999</v>
      </c>
      <c r="R32" s="183">
        <f t="shared" si="1"/>
        <v>1175.4818970000001</v>
      </c>
      <c r="S32" s="183">
        <f t="shared" si="2"/>
        <v>0</v>
      </c>
      <c r="T32" s="179"/>
    </row>
    <row r="33" spans="1:20">
      <c r="A33" s="508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2">
        <f>'A.1. Plantilla_Subrogacion'!F33</f>
        <v>0</v>
      </c>
      <c r="H33" s="181">
        <f>'A.1.0_TablaAntigüedad_Sub'!M33</f>
        <v>130</v>
      </c>
      <c r="I33" s="183">
        <f>'A.1.0_TablaAntigüedad_Sub'!AA33</f>
        <v>527.70000000000005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5"/>
        <v>7915.5000000000009</v>
      </c>
      <c r="O33" s="183">
        <f>'A.0_Tablas salariales SC'!$K$118</f>
        <v>25525.020000000004</v>
      </c>
      <c r="P33" s="183">
        <f>(O33+N33)*G33+'A.0_Tablas salariales SC'!$R$136*(100%-G33)</f>
        <v>3398.82</v>
      </c>
      <c r="Q33" s="184">
        <f>IF(D33=100,'A.0_Tablas salariales SC'!$G$215,IF(D33=150,'A.0_Tablas salariales SC'!$G$216,IF(D33=189,'A.0_Tablas salariales SC'!$G$217,IF(D33=400,'A.0_Tablas salariales SC'!$G$218,IF(D33=450,'A.0_Tablas salariales SC'!$G$219,IF(D33=401,'A.0_Tablas salariales SC'!$G$220,IF(D33=451,'A.0_Tablas salariales SC'!$G$221,'A.0_Tablas salariales SC'!$G$215)))))))</f>
        <v>0.34584999999999999</v>
      </c>
      <c r="R33" s="183">
        <f t="shared" si="1"/>
        <v>1175.4818970000001</v>
      </c>
      <c r="S33" s="183">
        <f t="shared" si="2"/>
        <v>0</v>
      </c>
      <c r="T33" s="179"/>
    </row>
    <row r="34" spans="1:20">
      <c r="A34" s="508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2">
        <f>'A.1. Plantilla_Subrogacion'!F34</f>
        <v>0</v>
      </c>
      <c r="H34" s="181">
        <f>'A.1.0_TablaAntigüedad_Sub'!M34</f>
        <v>130</v>
      </c>
      <c r="I34" s="183">
        <f>'A.1.0_TablaAntigüedad_Sub'!AA34</f>
        <v>527.70000000000005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5"/>
        <v>7915.5000000000009</v>
      </c>
      <c r="O34" s="183">
        <f>'A.0_Tablas salariales SC'!$K$118</f>
        <v>25525.020000000004</v>
      </c>
      <c r="P34" s="183">
        <f>(O34+N34)*G34+'A.0_Tablas salariales SC'!$R$136*(100%-G34)</f>
        <v>3398.82</v>
      </c>
      <c r="Q34" s="184">
        <f>IF(D34=100,'A.0_Tablas salariales SC'!$G$215,IF(D34=150,'A.0_Tablas salariales SC'!$G$216,IF(D34=189,'A.0_Tablas salariales SC'!$G$217,IF(D34=400,'A.0_Tablas salariales SC'!$G$218,IF(D34=450,'A.0_Tablas salariales SC'!$G$219,IF(D34=401,'A.0_Tablas salariales SC'!$G$220,IF(D34=451,'A.0_Tablas salariales SC'!$G$221,'A.0_Tablas salariales SC'!$G$215)))))))</f>
        <v>0.34584999999999999</v>
      </c>
      <c r="R34" s="183">
        <f t="shared" si="1"/>
        <v>1175.4818970000001</v>
      </c>
      <c r="S34" s="183">
        <f t="shared" si="2"/>
        <v>0</v>
      </c>
      <c r="T34" s="179"/>
    </row>
    <row r="35" spans="1:20">
      <c r="A35" s="508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2">
        <f>'A.1. Plantilla_Subrogacion'!F35</f>
        <v>0</v>
      </c>
      <c r="H35" s="181">
        <f>'A.1.0_TablaAntigüedad_Sub'!M35</f>
        <v>130</v>
      </c>
      <c r="I35" s="183">
        <f>'A.1.0_TablaAntigüedad_Sub'!AA35</f>
        <v>527.70000000000005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5"/>
        <v>7915.5000000000009</v>
      </c>
      <c r="O35" s="183">
        <f>'A.0_Tablas salariales SC'!$K$118</f>
        <v>25525.020000000004</v>
      </c>
      <c r="P35" s="183">
        <f>(O35+N35)*G35+'A.0_Tablas salariales SC'!$R$136*(100%-G35)</f>
        <v>3398.82</v>
      </c>
      <c r="Q35" s="184">
        <f>IF(D35=100,'A.0_Tablas salariales SC'!$G$215,IF(D35=150,'A.0_Tablas salariales SC'!$G$216,IF(D35=189,'A.0_Tablas salariales SC'!$G$217,IF(D35=400,'A.0_Tablas salariales SC'!$G$218,IF(D35=450,'A.0_Tablas salariales SC'!$G$219,IF(D35=401,'A.0_Tablas salariales SC'!$G$220,IF(D35=451,'A.0_Tablas salariales SC'!$G$221,'A.0_Tablas salariales SC'!$G$215)))))))</f>
        <v>0.34584999999999999</v>
      </c>
      <c r="R35" s="183">
        <f t="shared" si="1"/>
        <v>1175.4818970000001</v>
      </c>
      <c r="S35" s="183">
        <f t="shared" si="2"/>
        <v>0</v>
      </c>
      <c r="T35" s="179"/>
    </row>
    <row r="36" spans="1:20">
      <c r="A36" s="508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2">
        <f>'A.1. Plantilla_Subrogacion'!F36</f>
        <v>0</v>
      </c>
      <c r="H36" s="181">
        <f>'A.1.0_TablaAntigüedad_Sub'!M36</f>
        <v>130</v>
      </c>
      <c r="I36" s="183">
        <f>'A.1.0_TablaAntigüedad_Sub'!AA36</f>
        <v>527.70000000000005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5"/>
        <v>7915.5000000000009</v>
      </c>
      <c r="O36" s="183">
        <f>'A.0_Tablas salariales SC'!$K$118</f>
        <v>25525.020000000004</v>
      </c>
      <c r="P36" s="183">
        <f>(O36+N36)*G36+'A.0_Tablas salariales SC'!$R$136*(100%-G36)</f>
        <v>3398.82</v>
      </c>
      <c r="Q36" s="184">
        <f>IF(D36=100,'A.0_Tablas salariales SC'!$G$215,IF(D36=150,'A.0_Tablas salariales SC'!$G$216,IF(D36=189,'A.0_Tablas salariales SC'!$G$217,IF(D36=400,'A.0_Tablas salariales SC'!$G$218,IF(D36=450,'A.0_Tablas salariales SC'!$G$219,IF(D36=401,'A.0_Tablas salariales SC'!$G$220,IF(D36=451,'A.0_Tablas salariales SC'!$G$221,'A.0_Tablas salariales SC'!$G$215)))))))</f>
        <v>0.34584999999999999</v>
      </c>
      <c r="R36" s="183">
        <f t="shared" si="1"/>
        <v>1175.4818970000001</v>
      </c>
      <c r="S36" s="183">
        <f t="shared" si="2"/>
        <v>0</v>
      </c>
      <c r="T36" s="179"/>
    </row>
    <row r="37" spans="1:20">
      <c r="A37" s="508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2">
        <f>'A.1. Plantilla_Subrogacion'!F37</f>
        <v>0</v>
      </c>
      <c r="H37" s="181">
        <f>'A.1.0_TablaAntigüedad_Sub'!M37</f>
        <v>130</v>
      </c>
      <c r="I37" s="183">
        <f>'A.1.0_TablaAntigüedad_Sub'!AA37</f>
        <v>527.70000000000005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5"/>
        <v>7915.5000000000009</v>
      </c>
      <c r="O37" s="183">
        <f>'A.0_Tablas salariales SC'!$K$118</f>
        <v>25525.020000000004</v>
      </c>
      <c r="P37" s="183">
        <f>(O37+N37)*G37+'A.0_Tablas salariales SC'!$R$136*(100%-G37)</f>
        <v>3398.82</v>
      </c>
      <c r="Q37" s="184">
        <f>IF(D37=100,'A.0_Tablas salariales SC'!$G$215,IF(D37=150,'A.0_Tablas salariales SC'!$G$216,IF(D37=189,'A.0_Tablas salariales SC'!$G$217,IF(D37=400,'A.0_Tablas salariales SC'!$G$218,IF(D37=450,'A.0_Tablas salariales SC'!$G$219,IF(D37=401,'A.0_Tablas salariales SC'!$G$220,IF(D37=451,'A.0_Tablas salariales SC'!$G$221,'A.0_Tablas salariales SC'!$G$215)))))))</f>
        <v>0.34584999999999999</v>
      </c>
      <c r="R37" s="183">
        <f t="shared" si="1"/>
        <v>1175.4818970000001</v>
      </c>
      <c r="S37" s="183">
        <f t="shared" si="2"/>
        <v>0</v>
      </c>
      <c r="T37" s="179"/>
    </row>
    <row r="38" spans="1:20">
      <c r="A38" s="508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2">
        <f>'A.1. Plantilla_Subrogacion'!F38</f>
        <v>0</v>
      </c>
      <c r="H38" s="181">
        <f>'A.1.0_TablaAntigüedad_Sub'!M38</f>
        <v>130</v>
      </c>
      <c r="I38" s="183">
        <f>'A.1.0_TablaAntigüedad_Sub'!AA38</f>
        <v>527.70000000000005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5"/>
        <v>7915.5000000000009</v>
      </c>
      <c r="O38" s="183">
        <f>'A.0_Tablas salariales SC'!$K$118</f>
        <v>25525.020000000004</v>
      </c>
      <c r="P38" s="183">
        <f>(O38+N38)*G38+'A.0_Tablas salariales SC'!$R$136*(100%-G38)</f>
        <v>3398.82</v>
      </c>
      <c r="Q38" s="184">
        <f>IF(D38=100,'A.0_Tablas salariales SC'!$G$215,IF(D38=150,'A.0_Tablas salariales SC'!$G$216,IF(D38=189,'A.0_Tablas salariales SC'!$G$217,IF(D38=400,'A.0_Tablas salariales SC'!$G$218,IF(D38=450,'A.0_Tablas salariales SC'!$G$219,IF(D38=401,'A.0_Tablas salariales SC'!$G$220,IF(D38=451,'A.0_Tablas salariales SC'!$G$221,'A.0_Tablas salariales SC'!$G$215)))))))</f>
        <v>0.34584999999999999</v>
      </c>
      <c r="R38" s="183">
        <f t="shared" si="1"/>
        <v>1175.4818970000001</v>
      </c>
      <c r="S38" s="183">
        <f t="shared" si="2"/>
        <v>0</v>
      </c>
      <c r="T38" s="179"/>
    </row>
    <row r="39" spans="1:20">
      <c r="A39" s="508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2">
        <f>'A.1. Plantilla_Subrogacion'!F39</f>
        <v>0</v>
      </c>
      <c r="H39" s="181">
        <f>'A.1.0_TablaAntigüedad_Sub'!M39</f>
        <v>130</v>
      </c>
      <c r="I39" s="183">
        <f>'A.1.0_TablaAntigüedad_Sub'!AA39</f>
        <v>527.70000000000005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5"/>
        <v>7915.5000000000009</v>
      </c>
      <c r="O39" s="183">
        <f>'A.0_Tablas salariales SC'!$K$118</f>
        <v>25525.020000000004</v>
      </c>
      <c r="P39" s="183">
        <f>(O39+N39)*G39+'A.0_Tablas salariales SC'!$R$136*(100%-G39)</f>
        <v>3398.82</v>
      </c>
      <c r="Q39" s="184">
        <f>IF(D39=100,'A.0_Tablas salariales SC'!$G$215,IF(D39=150,'A.0_Tablas salariales SC'!$G$216,IF(D39=189,'A.0_Tablas salariales SC'!$G$217,IF(D39=400,'A.0_Tablas salariales SC'!$G$218,IF(D39=450,'A.0_Tablas salariales SC'!$G$219,IF(D39=401,'A.0_Tablas salariales SC'!$G$220,IF(D39=451,'A.0_Tablas salariales SC'!$G$221,'A.0_Tablas salariales SC'!$G$215)))))))</f>
        <v>0.34584999999999999</v>
      </c>
      <c r="R39" s="183">
        <f t="shared" si="1"/>
        <v>1175.4818970000001</v>
      </c>
      <c r="S39" s="183">
        <f t="shared" si="2"/>
        <v>0</v>
      </c>
      <c r="T39" s="179"/>
    </row>
    <row r="40" spans="1:20">
      <c r="A40" s="508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2">
        <f>'A.1. Plantilla_Subrogacion'!F40</f>
        <v>0</v>
      </c>
      <c r="H40" s="181">
        <f>'A.1.0_TablaAntigüedad_Sub'!M40</f>
        <v>130</v>
      </c>
      <c r="I40" s="183">
        <f>'A.1.0_TablaAntigüedad_Sub'!AA40</f>
        <v>527.70000000000005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5"/>
        <v>7915.5000000000009</v>
      </c>
      <c r="O40" s="183">
        <f>'A.0_Tablas salariales SC'!$K$118</f>
        <v>25525.020000000004</v>
      </c>
      <c r="P40" s="183">
        <f>(O40+N40)*G40+'A.0_Tablas salariales SC'!$R$136*(100%-G40)</f>
        <v>3398.82</v>
      </c>
      <c r="Q40" s="184">
        <f>IF(D40=100,'A.0_Tablas salariales SC'!$G$215,IF(D40=150,'A.0_Tablas salariales SC'!$G$216,IF(D40=189,'A.0_Tablas salariales SC'!$G$217,IF(D40=400,'A.0_Tablas salariales SC'!$G$218,IF(D40=450,'A.0_Tablas salariales SC'!$G$219,IF(D40=401,'A.0_Tablas salariales SC'!$G$220,IF(D40=451,'A.0_Tablas salariales SC'!$G$221,'A.0_Tablas salariales SC'!$G$215)))))))</f>
        <v>0.34584999999999999</v>
      </c>
      <c r="R40" s="183">
        <f t="shared" si="1"/>
        <v>1175.4818970000001</v>
      </c>
      <c r="S40" s="183">
        <f t="shared" si="2"/>
        <v>0</v>
      </c>
      <c r="T40" s="179"/>
    </row>
    <row r="41" spans="1:20">
      <c r="A41" s="508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2">
        <f>'A.1. Plantilla_Subrogacion'!F41</f>
        <v>0</v>
      </c>
      <c r="H41" s="181">
        <f>'A.1.0_TablaAntigüedad_Sub'!M41</f>
        <v>130</v>
      </c>
      <c r="I41" s="183">
        <f>'A.1.0_TablaAntigüedad_Sub'!AA41</f>
        <v>527.70000000000005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5"/>
        <v>7915.5000000000009</v>
      </c>
      <c r="O41" s="183">
        <f>'A.0_Tablas salariales SC'!$K$118</f>
        <v>25525.020000000004</v>
      </c>
      <c r="P41" s="183">
        <f>(O41+N41)*G41+'A.0_Tablas salariales SC'!$R$136*(100%-G41)</f>
        <v>3398.82</v>
      </c>
      <c r="Q41" s="184">
        <f>IF(D41=100,'A.0_Tablas salariales SC'!$G$215,IF(D41=150,'A.0_Tablas salariales SC'!$G$216,IF(D41=189,'A.0_Tablas salariales SC'!$G$217,IF(D41=400,'A.0_Tablas salariales SC'!$G$218,IF(D41=450,'A.0_Tablas salariales SC'!$G$219,IF(D41=401,'A.0_Tablas salariales SC'!$G$220,IF(D41=451,'A.0_Tablas salariales SC'!$G$221,'A.0_Tablas salariales SC'!$G$215)))))))</f>
        <v>0.34584999999999999</v>
      </c>
      <c r="R41" s="183">
        <f t="shared" si="1"/>
        <v>1175.4818970000001</v>
      </c>
      <c r="S41" s="183">
        <f t="shared" si="2"/>
        <v>0</v>
      </c>
      <c r="T41" s="179"/>
    </row>
    <row r="42" spans="1:20">
      <c r="A42" s="508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2">
        <f>'A.1. Plantilla_Subrogacion'!F42</f>
        <v>0</v>
      </c>
      <c r="H42" s="181">
        <f>'A.1.0_TablaAntigüedad_Sub'!M42</f>
        <v>130</v>
      </c>
      <c r="I42" s="183">
        <f>'A.1.0_TablaAntigüedad_Sub'!AA42</f>
        <v>527.70000000000005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5"/>
        <v>7915.5000000000009</v>
      </c>
      <c r="O42" s="183">
        <f>'A.0_Tablas salariales SC'!$K$118</f>
        <v>25525.020000000004</v>
      </c>
      <c r="P42" s="183">
        <f>(O42+N42)*G42+'A.0_Tablas salariales SC'!$R$136*(100%-G42)</f>
        <v>3398.82</v>
      </c>
      <c r="Q42" s="184">
        <f>IF(D42=100,'A.0_Tablas salariales SC'!$G$215,IF(D42=150,'A.0_Tablas salariales SC'!$G$216,IF(D42=189,'A.0_Tablas salariales SC'!$G$217,IF(D42=400,'A.0_Tablas salariales SC'!$G$218,IF(D42=450,'A.0_Tablas salariales SC'!$G$219,IF(D42=401,'A.0_Tablas salariales SC'!$G$220,IF(D42=451,'A.0_Tablas salariales SC'!$G$221,'A.0_Tablas salariales SC'!$G$215)))))))</f>
        <v>0.34584999999999999</v>
      </c>
      <c r="R42" s="183">
        <f t="shared" si="1"/>
        <v>1175.4818970000001</v>
      </c>
      <c r="S42" s="183">
        <f t="shared" si="2"/>
        <v>0</v>
      </c>
      <c r="T42" s="179"/>
    </row>
    <row r="43" spans="1:20">
      <c r="A43" s="508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2">
        <f>'A.1. Plantilla_Subrogacion'!F43</f>
        <v>0</v>
      </c>
      <c r="H43" s="181">
        <f>'A.1.0_TablaAntigüedad_Sub'!M43</f>
        <v>130</v>
      </c>
      <c r="I43" s="183">
        <f>'A.1.0_TablaAntigüedad_Sub'!AA43</f>
        <v>527.70000000000005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5"/>
        <v>7915.5000000000009</v>
      </c>
      <c r="O43" s="183">
        <f>'A.0_Tablas salariales SC'!$K$118</f>
        <v>25525.020000000004</v>
      </c>
      <c r="P43" s="183">
        <f>(O43+N43)*G43+'A.0_Tablas salariales SC'!$R$136*(100%-G43)</f>
        <v>3398.82</v>
      </c>
      <c r="Q43" s="184">
        <f>IF(D43=100,'A.0_Tablas salariales SC'!$G$215,IF(D43=150,'A.0_Tablas salariales SC'!$G$216,IF(D43=189,'A.0_Tablas salariales SC'!$G$217,IF(D43=400,'A.0_Tablas salariales SC'!$G$218,IF(D43=450,'A.0_Tablas salariales SC'!$G$219,IF(D43=401,'A.0_Tablas salariales SC'!$G$220,IF(D43=451,'A.0_Tablas salariales SC'!$G$221,'A.0_Tablas salariales SC'!$G$215)))))))</f>
        <v>0.34584999999999999</v>
      </c>
      <c r="R43" s="183">
        <f t="shared" si="1"/>
        <v>1175.4818970000001</v>
      </c>
      <c r="S43" s="183">
        <f t="shared" si="2"/>
        <v>0</v>
      </c>
      <c r="T43" s="179"/>
    </row>
    <row r="44" spans="1:20">
      <c r="A44" s="508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2">
        <f>'A.1. Plantilla_Subrogacion'!F44</f>
        <v>0</v>
      </c>
      <c r="H44" s="181">
        <f>'A.1.0_TablaAntigüedad_Sub'!M44</f>
        <v>130</v>
      </c>
      <c r="I44" s="183">
        <f>'A.1.0_TablaAntigüedad_Sub'!AA44</f>
        <v>527.70000000000005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5"/>
        <v>7915.5000000000009</v>
      </c>
      <c r="O44" s="183">
        <f>'A.0_Tablas salariales SC'!$K$118</f>
        <v>25525.020000000004</v>
      </c>
      <c r="P44" s="183">
        <f>(O44+N44)*G44+'A.0_Tablas salariales SC'!$R$136*(100%-G44)</f>
        <v>3398.82</v>
      </c>
      <c r="Q44" s="184">
        <f>IF(D44=100,'A.0_Tablas salariales SC'!$G$215,IF(D44=150,'A.0_Tablas salariales SC'!$G$216,IF(D44=189,'A.0_Tablas salariales SC'!$G$217,IF(D44=400,'A.0_Tablas salariales SC'!$G$218,IF(D44=450,'A.0_Tablas salariales SC'!$G$219,IF(D44=401,'A.0_Tablas salariales SC'!$G$220,IF(D44=451,'A.0_Tablas salariales SC'!$G$221,'A.0_Tablas salariales SC'!$G$215)))))))</f>
        <v>0.34584999999999999</v>
      </c>
      <c r="R44" s="183">
        <f t="shared" si="1"/>
        <v>1175.4818970000001</v>
      </c>
      <c r="S44" s="183">
        <f t="shared" si="2"/>
        <v>0</v>
      </c>
      <c r="T44" s="179"/>
    </row>
    <row r="45" spans="1:20">
      <c r="A45" s="508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2">
        <f>'A.1. Plantilla_Subrogacion'!F45</f>
        <v>0</v>
      </c>
      <c r="H45" s="181">
        <f>'A.1.0_TablaAntigüedad_Sub'!M45</f>
        <v>130</v>
      </c>
      <c r="I45" s="183">
        <f>'A.1.0_TablaAntigüedad_Sub'!AA45</f>
        <v>527.70000000000005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5"/>
        <v>7915.5000000000009</v>
      </c>
      <c r="O45" s="183">
        <f>'A.0_Tablas salariales SC'!$K$118</f>
        <v>25525.020000000004</v>
      </c>
      <c r="P45" s="183">
        <f>(O45+N45)*G45+'A.0_Tablas salariales SC'!$R$136*(100%-G45)</f>
        <v>3398.82</v>
      </c>
      <c r="Q45" s="184">
        <f>IF(D45=100,'A.0_Tablas salariales SC'!$G$215,IF(D45=150,'A.0_Tablas salariales SC'!$G$216,IF(D45=189,'A.0_Tablas salariales SC'!$G$217,IF(D45=400,'A.0_Tablas salariales SC'!$G$218,IF(D45=450,'A.0_Tablas salariales SC'!$G$219,IF(D45=401,'A.0_Tablas salariales SC'!$G$220,IF(D45=451,'A.0_Tablas salariales SC'!$G$221,'A.0_Tablas salariales SC'!$G$215)))))))</f>
        <v>0.34584999999999999</v>
      </c>
      <c r="R45" s="183">
        <f t="shared" si="1"/>
        <v>1175.4818970000001</v>
      </c>
      <c r="S45" s="183">
        <f t="shared" si="2"/>
        <v>0</v>
      </c>
      <c r="T45" s="179"/>
    </row>
    <row r="46" spans="1:20">
      <c r="A46" s="508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2">
        <f>'A.1. Plantilla_Subrogacion'!F46</f>
        <v>0</v>
      </c>
      <c r="H46" s="181">
        <f>'A.1.0_TablaAntigüedad_Sub'!M46</f>
        <v>130</v>
      </c>
      <c r="I46" s="183">
        <f>'A.1.0_TablaAntigüedad_Sub'!AA46</f>
        <v>527.70000000000005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ref="N46:N77" si="6">I46*$I$4+J46*$J$4+K46*$K$4+$M$4*M46+L46*$L$4</f>
        <v>7915.5000000000009</v>
      </c>
      <c r="O46" s="183">
        <f>'A.0_Tablas salariales SC'!$K$118</f>
        <v>25525.020000000004</v>
      </c>
      <c r="P46" s="183">
        <f>(O46+N46)*G46+'A.0_Tablas salariales SC'!$R$136*(100%-G46)</f>
        <v>3398.82</v>
      </c>
      <c r="Q46" s="184">
        <f>IF(D46=100,'A.0_Tablas salariales SC'!$G$215,IF(D46=150,'A.0_Tablas salariales SC'!$G$216,IF(D46=189,'A.0_Tablas salariales SC'!$G$217,IF(D46=400,'A.0_Tablas salariales SC'!$G$218,IF(D46=450,'A.0_Tablas salariales SC'!$G$219,IF(D46=401,'A.0_Tablas salariales SC'!$G$220,IF(D46=451,'A.0_Tablas salariales SC'!$G$221,'A.0_Tablas salariales SC'!$G$215)))))))</f>
        <v>0.34584999999999999</v>
      </c>
      <c r="R46" s="183">
        <f t="shared" si="1"/>
        <v>1175.4818970000001</v>
      </c>
      <c r="S46" s="183">
        <f t="shared" si="2"/>
        <v>0</v>
      </c>
      <c r="T46" s="179"/>
    </row>
    <row r="47" spans="1:20">
      <c r="A47" s="508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2">
        <f>'A.1. Plantilla_Subrogacion'!F47</f>
        <v>0</v>
      </c>
      <c r="H47" s="181">
        <f>'A.1.0_TablaAntigüedad_Sub'!M47</f>
        <v>130</v>
      </c>
      <c r="I47" s="183">
        <f>'A.1.0_TablaAntigüedad_Sub'!AA47</f>
        <v>527.70000000000005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6"/>
        <v>7915.5000000000009</v>
      </c>
      <c r="O47" s="183">
        <f>'A.0_Tablas salariales SC'!$K$118</f>
        <v>25525.020000000004</v>
      </c>
      <c r="P47" s="183">
        <f>(O47+N47)*G47+'A.0_Tablas salariales SC'!$R$136*(100%-G47)</f>
        <v>3398.82</v>
      </c>
      <c r="Q47" s="184">
        <f>IF(D47=100,'A.0_Tablas salariales SC'!$G$215,IF(D47=150,'A.0_Tablas salariales SC'!$G$216,IF(D47=189,'A.0_Tablas salariales SC'!$G$217,IF(D47=400,'A.0_Tablas salariales SC'!$G$218,IF(D47=450,'A.0_Tablas salariales SC'!$G$219,IF(D47=401,'A.0_Tablas salariales SC'!$G$220,IF(D47=451,'A.0_Tablas salariales SC'!$G$221,'A.0_Tablas salariales SC'!$G$215)))))))</f>
        <v>0.34584999999999999</v>
      </c>
      <c r="R47" s="183">
        <f t="shared" si="1"/>
        <v>1175.4818970000001</v>
      </c>
      <c r="S47" s="183">
        <f t="shared" si="2"/>
        <v>0</v>
      </c>
      <c r="T47" s="179"/>
    </row>
    <row r="48" spans="1:20">
      <c r="A48" s="508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2">
        <f>'A.1. Plantilla_Subrogacion'!F48</f>
        <v>0</v>
      </c>
      <c r="H48" s="181">
        <f>'A.1.0_TablaAntigüedad_Sub'!M48</f>
        <v>130</v>
      </c>
      <c r="I48" s="183">
        <f>'A.1.0_TablaAntigüedad_Sub'!AA48</f>
        <v>527.70000000000005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6"/>
        <v>7915.5000000000009</v>
      </c>
      <c r="O48" s="183">
        <f>'A.0_Tablas salariales SC'!$K$118</f>
        <v>25525.020000000004</v>
      </c>
      <c r="P48" s="183">
        <f>(O48+N48)*G48+'A.0_Tablas salariales SC'!$R$136*(100%-G48)</f>
        <v>3398.82</v>
      </c>
      <c r="Q48" s="184">
        <f>IF(D48=100,'A.0_Tablas salariales SC'!$G$215,IF(D48=150,'A.0_Tablas salariales SC'!$G$216,IF(D48=189,'A.0_Tablas salariales SC'!$G$217,IF(D48=400,'A.0_Tablas salariales SC'!$G$218,IF(D48=450,'A.0_Tablas salariales SC'!$G$219,IF(D48=401,'A.0_Tablas salariales SC'!$G$220,IF(D48=451,'A.0_Tablas salariales SC'!$G$221,'A.0_Tablas salariales SC'!$G$215)))))))</f>
        <v>0.34584999999999999</v>
      </c>
      <c r="R48" s="183">
        <f t="shared" si="1"/>
        <v>1175.4818970000001</v>
      </c>
      <c r="S48" s="183">
        <f t="shared" si="2"/>
        <v>0</v>
      </c>
      <c r="T48" s="179"/>
    </row>
    <row r="49" spans="1:20">
      <c r="A49" s="508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2">
        <f>'A.1. Plantilla_Subrogacion'!F49</f>
        <v>0</v>
      </c>
      <c r="H49" s="181">
        <f>'A.1.0_TablaAntigüedad_Sub'!M49</f>
        <v>130</v>
      </c>
      <c r="I49" s="183">
        <f>'A.1.0_TablaAntigüedad_Sub'!AA49</f>
        <v>527.70000000000005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6"/>
        <v>7915.5000000000009</v>
      </c>
      <c r="O49" s="183">
        <f>'A.0_Tablas salariales SC'!$K$118</f>
        <v>25525.020000000004</v>
      </c>
      <c r="P49" s="183">
        <f>(O49+N49)*G49+'A.0_Tablas salariales SC'!$R$136*(100%-G49)</f>
        <v>3398.82</v>
      </c>
      <c r="Q49" s="184">
        <f>IF(D49=100,'A.0_Tablas salariales SC'!$G$215,IF(D49=150,'A.0_Tablas salariales SC'!$G$216,IF(D49=189,'A.0_Tablas salariales SC'!$G$217,IF(D49=400,'A.0_Tablas salariales SC'!$G$218,IF(D49=450,'A.0_Tablas salariales SC'!$G$219,IF(D49=401,'A.0_Tablas salariales SC'!$G$220,IF(D49=451,'A.0_Tablas salariales SC'!$G$221,'A.0_Tablas salariales SC'!$G$215)))))))</f>
        <v>0.34584999999999999</v>
      </c>
      <c r="R49" s="183">
        <f t="shared" si="1"/>
        <v>1175.4818970000001</v>
      </c>
      <c r="S49" s="183">
        <f t="shared" si="2"/>
        <v>0</v>
      </c>
      <c r="T49" s="179"/>
    </row>
    <row r="50" spans="1:20">
      <c r="A50" s="508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2">
        <f>'A.1. Plantilla_Subrogacion'!F50</f>
        <v>0</v>
      </c>
      <c r="H50" s="181">
        <f>'A.1.0_TablaAntigüedad_Sub'!M50</f>
        <v>130</v>
      </c>
      <c r="I50" s="183">
        <f>'A.1.0_TablaAntigüedad_Sub'!AA50</f>
        <v>527.70000000000005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6"/>
        <v>7915.5000000000009</v>
      </c>
      <c r="O50" s="183">
        <f>'A.0_Tablas salariales SC'!$K$118</f>
        <v>25525.020000000004</v>
      </c>
      <c r="P50" s="183">
        <f>(O50+N50)*G50+'A.0_Tablas salariales SC'!$R$136*(100%-G50)</f>
        <v>3398.82</v>
      </c>
      <c r="Q50" s="184">
        <f>IF(D50=100,'A.0_Tablas salariales SC'!$G$215,IF(D50=150,'A.0_Tablas salariales SC'!$G$216,IF(D50=189,'A.0_Tablas salariales SC'!$G$217,IF(D50=400,'A.0_Tablas salariales SC'!$G$218,IF(D50=450,'A.0_Tablas salariales SC'!$G$219,IF(D50=401,'A.0_Tablas salariales SC'!$G$220,IF(D50=451,'A.0_Tablas salariales SC'!$G$221,'A.0_Tablas salariales SC'!$G$215)))))))</f>
        <v>0.34584999999999999</v>
      </c>
      <c r="R50" s="183">
        <f t="shared" si="1"/>
        <v>1175.4818970000001</v>
      </c>
      <c r="S50" s="183">
        <f t="shared" si="2"/>
        <v>0</v>
      </c>
      <c r="T50" s="179"/>
    </row>
    <row r="51" spans="1:20">
      <c r="A51" s="508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2">
        <f>'A.1. Plantilla_Subrogacion'!F51</f>
        <v>0</v>
      </c>
      <c r="H51" s="181">
        <f>'A.1.0_TablaAntigüedad_Sub'!M51</f>
        <v>130</v>
      </c>
      <c r="I51" s="183">
        <f>'A.1.0_TablaAntigüedad_Sub'!AA51</f>
        <v>527.70000000000005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6"/>
        <v>7915.5000000000009</v>
      </c>
      <c r="O51" s="183">
        <f>'A.0_Tablas salariales SC'!$K$118</f>
        <v>25525.020000000004</v>
      </c>
      <c r="P51" s="183">
        <f>(O51+N51)*G51+'A.0_Tablas salariales SC'!$R$136*(100%-G51)</f>
        <v>3398.82</v>
      </c>
      <c r="Q51" s="184">
        <f>IF(D51=100,'A.0_Tablas salariales SC'!$G$215,IF(D51=150,'A.0_Tablas salariales SC'!$G$216,IF(D51=189,'A.0_Tablas salariales SC'!$G$217,IF(D51=400,'A.0_Tablas salariales SC'!$G$218,IF(D51=450,'A.0_Tablas salariales SC'!$G$219,IF(D51=401,'A.0_Tablas salariales SC'!$G$220,IF(D51=451,'A.0_Tablas salariales SC'!$G$221,'A.0_Tablas salariales SC'!$G$215)))))))</f>
        <v>0.34584999999999999</v>
      </c>
      <c r="R51" s="183">
        <f t="shared" si="1"/>
        <v>1175.4818970000001</v>
      </c>
      <c r="S51" s="183">
        <f t="shared" si="2"/>
        <v>0</v>
      </c>
      <c r="T51" s="179"/>
    </row>
    <row r="52" spans="1:20">
      <c r="A52" s="508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2">
        <f>'A.1. Plantilla_Subrogacion'!F52</f>
        <v>0</v>
      </c>
      <c r="H52" s="181">
        <f>'A.1.0_TablaAntigüedad_Sub'!M52</f>
        <v>130</v>
      </c>
      <c r="I52" s="183">
        <f>'A.1.0_TablaAntigüedad_Sub'!AA52</f>
        <v>527.70000000000005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6"/>
        <v>7915.5000000000009</v>
      </c>
      <c r="O52" s="183">
        <f>'A.0_Tablas salariales SC'!$K$118</f>
        <v>25525.020000000004</v>
      </c>
      <c r="P52" s="183">
        <f>(O52+N52)*G52+'A.0_Tablas salariales SC'!$R$136*(100%-G52)</f>
        <v>3398.82</v>
      </c>
      <c r="Q52" s="184">
        <f>IF(D52=100,'A.0_Tablas salariales SC'!$G$215,IF(D52=150,'A.0_Tablas salariales SC'!$G$216,IF(D52=189,'A.0_Tablas salariales SC'!$G$217,IF(D52=400,'A.0_Tablas salariales SC'!$G$218,IF(D52=450,'A.0_Tablas salariales SC'!$G$219,IF(D52=401,'A.0_Tablas salariales SC'!$G$220,IF(D52=451,'A.0_Tablas salariales SC'!$G$221,'A.0_Tablas salariales SC'!$G$215)))))))</f>
        <v>0.34584999999999999</v>
      </c>
      <c r="R52" s="183">
        <f t="shared" si="1"/>
        <v>1175.4818970000001</v>
      </c>
      <c r="S52" s="183">
        <f t="shared" si="2"/>
        <v>0</v>
      </c>
      <c r="T52" s="179"/>
    </row>
    <row r="53" spans="1:20">
      <c r="A53" s="508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2">
        <f>'A.1. Plantilla_Subrogacion'!F53</f>
        <v>0</v>
      </c>
      <c r="H53" s="181">
        <f>'A.1.0_TablaAntigüedad_Sub'!M53</f>
        <v>130</v>
      </c>
      <c r="I53" s="183">
        <f>'A.1.0_TablaAntigüedad_Sub'!AA53</f>
        <v>527.70000000000005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6"/>
        <v>7915.5000000000009</v>
      </c>
      <c r="O53" s="183">
        <f>'A.0_Tablas salariales SC'!$K$118</f>
        <v>25525.020000000004</v>
      </c>
      <c r="P53" s="183">
        <f>(O53+N53)*G53+'A.0_Tablas salariales SC'!$R$136*(100%-G53)</f>
        <v>3398.82</v>
      </c>
      <c r="Q53" s="184">
        <f>IF(D53=100,'A.0_Tablas salariales SC'!$G$215,IF(D53=150,'A.0_Tablas salariales SC'!$G$216,IF(D53=189,'A.0_Tablas salariales SC'!$G$217,IF(D53=400,'A.0_Tablas salariales SC'!$G$218,IF(D53=450,'A.0_Tablas salariales SC'!$G$219,IF(D53=401,'A.0_Tablas salariales SC'!$G$220,IF(D53=451,'A.0_Tablas salariales SC'!$G$221,'A.0_Tablas salariales SC'!$G$215)))))))</f>
        <v>0.34584999999999999</v>
      </c>
      <c r="R53" s="183">
        <f t="shared" si="1"/>
        <v>1175.4818970000001</v>
      </c>
      <c r="S53" s="183">
        <f t="shared" si="2"/>
        <v>0</v>
      </c>
      <c r="T53" s="179"/>
    </row>
    <row r="54" spans="1:20">
      <c r="A54" s="508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2">
        <f>'A.1. Plantilla_Subrogacion'!F54</f>
        <v>0</v>
      </c>
      <c r="H54" s="181">
        <f>'A.1.0_TablaAntigüedad_Sub'!M54</f>
        <v>130</v>
      </c>
      <c r="I54" s="183">
        <f>'A.1.0_TablaAntigüedad_Sub'!AA54</f>
        <v>527.70000000000005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6"/>
        <v>7915.5000000000009</v>
      </c>
      <c r="O54" s="183">
        <f>'A.0_Tablas salariales SC'!$K$118</f>
        <v>25525.020000000004</v>
      </c>
      <c r="P54" s="183">
        <f>(O54+N54)*G54+'A.0_Tablas salariales SC'!$R$136*(100%-G54)</f>
        <v>3398.82</v>
      </c>
      <c r="Q54" s="184">
        <f>IF(D54=100,'A.0_Tablas salariales SC'!$G$215,IF(D54=150,'A.0_Tablas salariales SC'!$G$216,IF(D54=189,'A.0_Tablas salariales SC'!$G$217,IF(D54=400,'A.0_Tablas salariales SC'!$G$218,IF(D54=450,'A.0_Tablas salariales SC'!$G$219,IF(D54=401,'A.0_Tablas salariales SC'!$G$220,IF(D54=451,'A.0_Tablas salariales SC'!$G$221,'A.0_Tablas salariales SC'!$G$215)))))))</f>
        <v>0.34584999999999999</v>
      </c>
      <c r="R54" s="183">
        <f t="shared" si="1"/>
        <v>1175.4818970000001</v>
      </c>
      <c r="S54" s="183">
        <f t="shared" si="2"/>
        <v>0</v>
      </c>
      <c r="T54" s="179"/>
    </row>
    <row r="55" spans="1:20">
      <c r="A55" s="508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2">
        <f>'A.1. Plantilla_Subrogacion'!F55</f>
        <v>0</v>
      </c>
      <c r="H55" s="181">
        <f>'A.1.0_TablaAntigüedad_Sub'!M55</f>
        <v>130</v>
      </c>
      <c r="I55" s="183">
        <f>'A.1.0_TablaAntigüedad_Sub'!AA55</f>
        <v>527.70000000000005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6"/>
        <v>7915.5000000000009</v>
      </c>
      <c r="O55" s="183">
        <f>'A.0_Tablas salariales SC'!$K$118</f>
        <v>25525.020000000004</v>
      </c>
      <c r="P55" s="183">
        <f>(O55+N55)*G55+'A.0_Tablas salariales SC'!$R$136*(100%-G55)</f>
        <v>3398.82</v>
      </c>
      <c r="Q55" s="184">
        <f>IF(D55=100,'A.0_Tablas salariales SC'!$G$215,IF(D55=150,'A.0_Tablas salariales SC'!$G$216,IF(D55=189,'A.0_Tablas salariales SC'!$G$217,IF(D55=400,'A.0_Tablas salariales SC'!$G$218,IF(D55=450,'A.0_Tablas salariales SC'!$G$219,IF(D55=401,'A.0_Tablas salariales SC'!$G$220,IF(D55=451,'A.0_Tablas salariales SC'!$G$221,'A.0_Tablas salariales SC'!$G$215)))))))</f>
        <v>0.34584999999999999</v>
      </c>
      <c r="R55" s="183">
        <f t="shared" si="1"/>
        <v>1175.4818970000001</v>
      </c>
      <c r="S55" s="183">
        <f t="shared" si="2"/>
        <v>0</v>
      </c>
      <c r="T55" s="179"/>
    </row>
    <row r="56" spans="1:20">
      <c r="A56" s="508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2">
        <f>'A.1. Plantilla_Subrogacion'!F56</f>
        <v>0</v>
      </c>
      <c r="H56" s="181">
        <f>'A.1.0_TablaAntigüedad_Sub'!M56</f>
        <v>130</v>
      </c>
      <c r="I56" s="183">
        <f>'A.1.0_TablaAntigüedad_Sub'!AA56</f>
        <v>527.70000000000005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6"/>
        <v>7915.5000000000009</v>
      </c>
      <c r="O56" s="183">
        <f>'A.0_Tablas salariales SC'!$K$118</f>
        <v>25525.020000000004</v>
      </c>
      <c r="P56" s="183">
        <f>(O56+N56)*G56+'A.0_Tablas salariales SC'!$R$136*(100%-G56)</f>
        <v>3398.82</v>
      </c>
      <c r="Q56" s="184">
        <f>IF(D56=100,'A.0_Tablas salariales SC'!$G$215,IF(D56=150,'A.0_Tablas salariales SC'!$G$216,IF(D56=189,'A.0_Tablas salariales SC'!$G$217,IF(D56=400,'A.0_Tablas salariales SC'!$G$218,IF(D56=450,'A.0_Tablas salariales SC'!$G$219,IF(D56=401,'A.0_Tablas salariales SC'!$G$220,IF(D56=451,'A.0_Tablas salariales SC'!$G$221,'A.0_Tablas salariales SC'!$G$215)))))))</f>
        <v>0.34584999999999999</v>
      </c>
      <c r="R56" s="183">
        <f t="shared" si="1"/>
        <v>1175.4818970000001</v>
      </c>
      <c r="S56" s="183">
        <f t="shared" si="2"/>
        <v>0</v>
      </c>
      <c r="T56" s="179"/>
    </row>
    <row r="57" spans="1:20">
      <c r="A57" s="508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2">
        <f>'A.1. Plantilla_Subrogacion'!F57</f>
        <v>0</v>
      </c>
      <c r="H57" s="181">
        <f>'A.1.0_TablaAntigüedad_Sub'!M57</f>
        <v>130</v>
      </c>
      <c r="I57" s="183">
        <f>'A.1.0_TablaAntigüedad_Sub'!AA57</f>
        <v>527.70000000000005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6"/>
        <v>7915.5000000000009</v>
      </c>
      <c r="O57" s="183">
        <f>'A.0_Tablas salariales SC'!$K$118</f>
        <v>25525.020000000004</v>
      </c>
      <c r="P57" s="183">
        <f>(O57+N57)*G57+'A.0_Tablas salariales SC'!$R$136*(100%-G57)</f>
        <v>3398.82</v>
      </c>
      <c r="Q57" s="184">
        <f>IF(D57=100,'A.0_Tablas salariales SC'!$G$215,IF(D57=150,'A.0_Tablas salariales SC'!$G$216,IF(D57=189,'A.0_Tablas salariales SC'!$G$217,IF(D57=400,'A.0_Tablas salariales SC'!$G$218,IF(D57=450,'A.0_Tablas salariales SC'!$G$219,IF(D57=401,'A.0_Tablas salariales SC'!$G$220,IF(D57=451,'A.0_Tablas salariales SC'!$G$221,'A.0_Tablas salariales SC'!$G$215)))))))</f>
        <v>0.34584999999999999</v>
      </c>
      <c r="R57" s="183">
        <f t="shared" si="1"/>
        <v>1175.4818970000001</v>
      </c>
      <c r="S57" s="183">
        <f t="shared" si="2"/>
        <v>0</v>
      </c>
      <c r="T57" s="179"/>
    </row>
    <row r="58" spans="1:20">
      <c r="A58" s="508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2">
        <f>'A.1. Plantilla_Subrogacion'!F58</f>
        <v>0</v>
      </c>
      <c r="H58" s="181">
        <f>'A.1.0_TablaAntigüedad_Sub'!M58</f>
        <v>130</v>
      </c>
      <c r="I58" s="183">
        <f>'A.1.0_TablaAntigüedad_Sub'!AA58</f>
        <v>527.70000000000005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6"/>
        <v>7915.5000000000009</v>
      </c>
      <c r="O58" s="183">
        <f>'A.0_Tablas salariales SC'!$K$118</f>
        <v>25525.020000000004</v>
      </c>
      <c r="P58" s="183">
        <f>(O58+N58)*G58+'A.0_Tablas salariales SC'!$R$136*(100%-G58)</f>
        <v>3398.82</v>
      </c>
      <c r="Q58" s="184">
        <f>IF(D58=100,'A.0_Tablas salariales SC'!$G$215,IF(D58=150,'A.0_Tablas salariales SC'!$G$216,IF(D58=189,'A.0_Tablas salariales SC'!$G$217,IF(D58=400,'A.0_Tablas salariales SC'!$G$218,IF(D58=450,'A.0_Tablas salariales SC'!$G$219,IF(D58=401,'A.0_Tablas salariales SC'!$G$220,IF(D58=451,'A.0_Tablas salariales SC'!$G$221,'A.0_Tablas salariales SC'!$G$215)))))))</f>
        <v>0.34584999999999999</v>
      </c>
      <c r="R58" s="183">
        <f t="shared" si="1"/>
        <v>1175.4818970000001</v>
      </c>
      <c r="S58" s="183">
        <f t="shared" si="2"/>
        <v>0</v>
      </c>
      <c r="T58" s="179"/>
    </row>
    <row r="59" spans="1:20">
      <c r="A59" s="508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2">
        <f>'A.1. Plantilla_Subrogacion'!F59</f>
        <v>0</v>
      </c>
      <c r="H59" s="181">
        <f>'A.1.0_TablaAntigüedad_Sub'!M59</f>
        <v>130</v>
      </c>
      <c r="I59" s="183">
        <f>'A.1.0_TablaAntigüedad_Sub'!AA59</f>
        <v>527.70000000000005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6"/>
        <v>7915.5000000000009</v>
      </c>
      <c r="O59" s="183">
        <f>'A.0_Tablas salariales SC'!$K$118</f>
        <v>25525.020000000004</v>
      </c>
      <c r="P59" s="183">
        <f>(O59+N59)*G59+'A.0_Tablas salariales SC'!$R$136*(100%-G59)</f>
        <v>3398.82</v>
      </c>
      <c r="Q59" s="184">
        <f>IF(D59=100,'A.0_Tablas salariales SC'!$G$215,IF(D59=150,'A.0_Tablas salariales SC'!$G$216,IF(D59=189,'A.0_Tablas salariales SC'!$G$217,IF(D59=400,'A.0_Tablas salariales SC'!$G$218,IF(D59=450,'A.0_Tablas salariales SC'!$G$219,IF(D59=401,'A.0_Tablas salariales SC'!$G$220,IF(D59=451,'A.0_Tablas salariales SC'!$G$221,'A.0_Tablas salariales SC'!$G$215)))))))</f>
        <v>0.34584999999999999</v>
      </c>
      <c r="R59" s="183">
        <f t="shared" si="1"/>
        <v>1175.4818970000001</v>
      </c>
      <c r="S59" s="183">
        <f t="shared" si="2"/>
        <v>0</v>
      </c>
      <c r="T59" s="179"/>
    </row>
    <row r="60" spans="1:20">
      <c r="A60" s="508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2">
        <f>'A.1. Plantilla_Subrogacion'!F60</f>
        <v>0</v>
      </c>
      <c r="H60" s="181">
        <f>'A.1.0_TablaAntigüedad_Sub'!M60</f>
        <v>130</v>
      </c>
      <c r="I60" s="183">
        <f>'A.1.0_TablaAntigüedad_Sub'!AA60</f>
        <v>527.70000000000005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6"/>
        <v>7915.5000000000009</v>
      </c>
      <c r="O60" s="183">
        <f>'A.0_Tablas salariales SC'!$K$118</f>
        <v>25525.020000000004</v>
      </c>
      <c r="P60" s="183">
        <f>(O60+N60)*G60+'A.0_Tablas salariales SC'!$R$136*(100%-G60)</f>
        <v>3398.82</v>
      </c>
      <c r="Q60" s="184">
        <f>IF(D60=100,'A.0_Tablas salariales SC'!$G$215,IF(D60=150,'A.0_Tablas salariales SC'!$G$216,IF(D60=189,'A.0_Tablas salariales SC'!$G$217,IF(D60=400,'A.0_Tablas salariales SC'!$G$218,IF(D60=450,'A.0_Tablas salariales SC'!$G$219,IF(D60=401,'A.0_Tablas salariales SC'!$G$220,IF(D60=451,'A.0_Tablas salariales SC'!$G$221,'A.0_Tablas salariales SC'!$G$215)))))))</f>
        <v>0.34584999999999999</v>
      </c>
      <c r="R60" s="183">
        <f t="shared" si="1"/>
        <v>1175.4818970000001</v>
      </c>
      <c r="S60" s="183">
        <f t="shared" si="2"/>
        <v>0</v>
      </c>
      <c r="T60" s="179"/>
    </row>
    <row r="61" spans="1:20">
      <c r="A61" s="508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2">
        <f>'A.1. Plantilla_Subrogacion'!F61</f>
        <v>0</v>
      </c>
      <c r="H61" s="181">
        <f>'A.1.0_TablaAntigüedad_Sub'!M61</f>
        <v>130</v>
      </c>
      <c r="I61" s="183">
        <f>'A.1.0_TablaAntigüedad_Sub'!AA61</f>
        <v>527.70000000000005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6"/>
        <v>7915.5000000000009</v>
      </c>
      <c r="O61" s="183">
        <f>'A.0_Tablas salariales SC'!$K$118</f>
        <v>25525.020000000004</v>
      </c>
      <c r="P61" s="183">
        <f>(O61+N61)*G61+'A.0_Tablas salariales SC'!$R$136*(100%-G61)</f>
        <v>3398.82</v>
      </c>
      <c r="Q61" s="184">
        <f>IF(D61=100,'A.0_Tablas salariales SC'!$G$215,IF(D61=150,'A.0_Tablas salariales SC'!$G$216,IF(D61=189,'A.0_Tablas salariales SC'!$G$217,IF(D61=400,'A.0_Tablas salariales SC'!$G$218,IF(D61=450,'A.0_Tablas salariales SC'!$G$219,IF(D61=401,'A.0_Tablas salariales SC'!$G$220,IF(D61=451,'A.0_Tablas salariales SC'!$G$221,'A.0_Tablas salariales SC'!$G$215)))))))</f>
        <v>0.34584999999999999</v>
      </c>
      <c r="R61" s="183">
        <f t="shared" si="1"/>
        <v>1175.4818970000001</v>
      </c>
      <c r="S61" s="183">
        <f t="shared" si="2"/>
        <v>0</v>
      </c>
      <c r="T61" s="179"/>
    </row>
    <row r="62" spans="1:20">
      <c r="A62" s="508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2">
        <f>'A.1. Plantilla_Subrogacion'!F62</f>
        <v>0</v>
      </c>
      <c r="H62" s="181">
        <f>'A.1.0_TablaAntigüedad_Sub'!M62</f>
        <v>130</v>
      </c>
      <c r="I62" s="183">
        <f>'A.1.0_TablaAntigüedad_Sub'!AA62</f>
        <v>527.70000000000005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6"/>
        <v>7915.5000000000009</v>
      </c>
      <c r="O62" s="183">
        <f>'A.0_Tablas salariales SC'!$K$118</f>
        <v>25525.020000000004</v>
      </c>
      <c r="P62" s="183">
        <f>(O62+N62)*G62+'A.0_Tablas salariales SC'!$R$136*(100%-G62)</f>
        <v>3398.82</v>
      </c>
      <c r="Q62" s="184">
        <f>IF(D62=100,'A.0_Tablas salariales SC'!$G$215,IF(D62=150,'A.0_Tablas salariales SC'!$G$216,IF(D62=189,'A.0_Tablas salariales SC'!$G$217,IF(D62=400,'A.0_Tablas salariales SC'!$G$218,IF(D62=450,'A.0_Tablas salariales SC'!$G$219,IF(D62=401,'A.0_Tablas salariales SC'!$G$220,IF(D62=451,'A.0_Tablas salariales SC'!$G$221,'A.0_Tablas salariales SC'!$G$215)))))))</f>
        <v>0.34584999999999999</v>
      </c>
      <c r="R62" s="183">
        <f t="shared" si="1"/>
        <v>1175.4818970000001</v>
      </c>
      <c r="S62" s="183">
        <f t="shared" si="2"/>
        <v>0</v>
      </c>
      <c r="T62" s="179"/>
    </row>
    <row r="63" spans="1:20">
      <c r="A63" s="508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2">
        <f>'A.1. Plantilla_Subrogacion'!F63</f>
        <v>0</v>
      </c>
      <c r="H63" s="181">
        <f>'A.1.0_TablaAntigüedad_Sub'!M63</f>
        <v>130</v>
      </c>
      <c r="I63" s="183">
        <f>'A.1.0_TablaAntigüedad_Sub'!AA63</f>
        <v>527.70000000000005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6"/>
        <v>7915.5000000000009</v>
      </c>
      <c r="O63" s="183">
        <f>'A.0_Tablas salariales SC'!$K$118</f>
        <v>25525.020000000004</v>
      </c>
      <c r="P63" s="183">
        <f>(O63+N63)*G63+'A.0_Tablas salariales SC'!$R$136*(100%-G63)</f>
        <v>3398.82</v>
      </c>
      <c r="Q63" s="184">
        <f>IF(D63=100,'A.0_Tablas salariales SC'!$G$215,IF(D63=150,'A.0_Tablas salariales SC'!$G$216,IF(D63=189,'A.0_Tablas salariales SC'!$G$217,IF(D63=400,'A.0_Tablas salariales SC'!$G$218,IF(D63=450,'A.0_Tablas salariales SC'!$G$219,IF(D63=401,'A.0_Tablas salariales SC'!$G$220,IF(D63=451,'A.0_Tablas salariales SC'!$G$221,'A.0_Tablas salariales SC'!$G$215)))))))</f>
        <v>0.34584999999999999</v>
      </c>
      <c r="R63" s="183">
        <f t="shared" si="1"/>
        <v>1175.4818970000001</v>
      </c>
      <c r="S63" s="183">
        <f t="shared" si="2"/>
        <v>0</v>
      </c>
      <c r="T63" s="179"/>
    </row>
    <row r="64" spans="1:20">
      <c r="A64" s="508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2">
        <f>'A.1. Plantilla_Subrogacion'!F64</f>
        <v>0</v>
      </c>
      <c r="H64" s="181">
        <f>'A.1.0_TablaAntigüedad_Sub'!M64</f>
        <v>130</v>
      </c>
      <c r="I64" s="183">
        <f>'A.1.0_TablaAntigüedad_Sub'!AA64</f>
        <v>527.70000000000005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6"/>
        <v>7915.5000000000009</v>
      </c>
      <c r="O64" s="183">
        <f>'A.0_Tablas salariales SC'!$K$118</f>
        <v>25525.020000000004</v>
      </c>
      <c r="P64" s="183">
        <f>(O64+N64)*G64+'A.0_Tablas salariales SC'!$R$136*(100%-G64)</f>
        <v>3398.82</v>
      </c>
      <c r="Q64" s="184">
        <f>IF(D64=100,'A.0_Tablas salariales SC'!$G$215,IF(D64=150,'A.0_Tablas salariales SC'!$G$216,IF(D64=189,'A.0_Tablas salariales SC'!$G$217,IF(D64=400,'A.0_Tablas salariales SC'!$G$218,IF(D64=450,'A.0_Tablas salariales SC'!$G$219,IF(D64=401,'A.0_Tablas salariales SC'!$G$220,IF(D64=451,'A.0_Tablas salariales SC'!$G$221,'A.0_Tablas salariales SC'!$G$215)))))))</f>
        <v>0.34584999999999999</v>
      </c>
      <c r="R64" s="183">
        <f t="shared" si="1"/>
        <v>1175.4818970000001</v>
      </c>
      <c r="S64" s="183">
        <f t="shared" si="2"/>
        <v>0</v>
      </c>
      <c r="T64" s="179"/>
    </row>
    <row r="65" spans="1:20">
      <c r="A65" s="508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2">
        <f>'A.1. Plantilla_Subrogacion'!F65</f>
        <v>0</v>
      </c>
      <c r="H65" s="181">
        <f>'A.1.0_TablaAntigüedad_Sub'!M65</f>
        <v>130</v>
      </c>
      <c r="I65" s="183">
        <f>'A.1.0_TablaAntigüedad_Sub'!AA65</f>
        <v>527.70000000000005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6"/>
        <v>7915.5000000000009</v>
      </c>
      <c r="O65" s="183">
        <f>'A.0_Tablas salariales SC'!$K$118</f>
        <v>25525.020000000004</v>
      </c>
      <c r="P65" s="183">
        <f>(O65+N65)*G65+'A.0_Tablas salariales SC'!$R$136*(100%-G65)</f>
        <v>3398.82</v>
      </c>
      <c r="Q65" s="184">
        <f>IF(D65=100,'A.0_Tablas salariales SC'!$G$215,IF(D65=150,'A.0_Tablas salariales SC'!$G$216,IF(D65=189,'A.0_Tablas salariales SC'!$G$217,IF(D65=400,'A.0_Tablas salariales SC'!$G$218,IF(D65=450,'A.0_Tablas salariales SC'!$G$219,IF(D65=401,'A.0_Tablas salariales SC'!$G$220,IF(D65=451,'A.0_Tablas salariales SC'!$G$221,'A.0_Tablas salariales SC'!$G$215)))))))</f>
        <v>0.34584999999999999</v>
      </c>
      <c r="R65" s="183">
        <f t="shared" si="1"/>
        <v>1175.4818970000001</v>
      </c>
      <c r="S65" s="183">
        <f t="shared" si="2"/>
        <v>0</v>
      </c>
      <c r="T65" s="179"/>
    </row>
    <row r="66" spans="1:20">
      <c r="A66" s="508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2">
        <f>'A.1. Plantilla_Subrogacion'!F66</f>
        <v>0</v>
      </c>
      <c r="H66" s="181">
        <f>'A.1.0_TablaAntigüedad_Sub'!M66</f>
        <v>130</v>
      </c>
      <c r="I66" s="183">
        <f>'A.1.0_TablaAntigüedad_Sub'!AA66</f>
        <v>527.70000000000005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6"/>
        <v>7915.5000000000009</v>
      </c>
      <c r="O66" s="183">
        <f>'A.0_Tablas salariales SC'!$K$118</f>
        <v>25525.020000000004</v>
      </c>
      <c r="P66" s="183">
        <f>(O66+N66)*G66+'A.0_Tablas salariales SC'!$R$136*(100%-G66)</f>
        <v>3398.82</v>
      </c>
      <c r="Q66" s="184">
        <f>IF(D66=100,'A.0_Tablas salariales SC'!$G$215,IF(D66=150,'A.0_Tablas salariales SC'!$G$216,IF(D66=189,'A.0_Tablas salariales SC'!$G$217,IF(D66=400,'A.0_Tablas salariales SC'!$G$218,IF(D66=450,'A.0_Tablas salariales SC'!$G$219,IF(D66=401,'A.0_Tablas salariales SC'!$G$220,IF(D66=451,'A.0_Tablas salariales SC'!$G$221,'A.0_Tablas salariales SC'!$G$215)))))))</f>
        <v>0.34584999999999999</v>
      </c>
      <c r="R66" s="183">
        <f t="shared" si="1"/>
        <v>1175.4818970000001</v>
      </c>
      <c r="S66" s="183">
        <f t="shared" si="2"/>
        <v>0</v>
      </c>
      <c r="T66" s="179"/>
    </row>
    <row r="67" spans="1:20">
      <c r="A67" s="508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2">
        <f>'A.1. Plantilla_Subrogacion'!F67</f>
        <v>0</v>
      </c>
      <c r="H67" s="181">
        <f>'A.1.0_TablaAntigüedad_Sub'!M67</f>
        <v>130</v>
      </c>
      <c r="I67" s="183">
        <f>'A.1.0_TablaAntigüedad_Sub'!AA67</f>
        <v>527.70000000000005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6"/>
        <v>7915.5000000000009</v>
      </c>
      <c r="O67" s="183">
        <f>'A.0_Tablas salariales SC'!$K$118</f>
        <v>25525.020000000004</v>
      </c>
      <c r="P67" s="183">
        <f>(O67+N67)*G67+'A.0_Tablas salariales SC'!$R$136*(100%-G67)</f>
        <v>3398.82</v>
      </c>
      <c r="Q67" s="184">
        <f>IF(D67=100,'A.0_Tablas salariales SC'!$G$215,IF(D67=150,'A.0_Tablas salariales SC'!$G$216,IF(D67=189,'A.0_Tablas salariales SC'!$G$217,IF(D67=400,'A.0_Tablas salariales SC'!$G$218,IF(D67=450,'A.0_Tablas salariales SC'!$G$219,IF(D67=401,'A.0_Tablas salariales SC'!$G$220,IF(D67=451,'A.0_Tablas salariales SC'!$G$221,'A.0_Tablas salariales SC'!$G$215)))))))</f>
        <v>0.34584999999999999</v>
      </c>
      <c r="R67" s="183">
        <f t="shared" si="1"/>
        <v>1175.4818970000001</v>
      </c>
      <c r="S67" s="183">
        <f t="shared" si="2"/>
        <v>0</v>
      </c>
      <c r="T67" s="179"/>
    </row>
    <row r="68" spans="1:20">
      <c r="A68" s="508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2">
        <f>'A.1. Plantilla_Subrogacion'!F68</f>
        <v>0</v>
      </c>
      <c r="H68" s="181">
        <f>'A.1.0_TablaAntigüedad_Sub'!M68</f>
        <v>130</v>
      </c>
      <c r="I68" s="183">
        <f>'A.1.0_TablaAntigüedad_Sub'!AA68</f>
        <v>527.70000000000005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6"/>
        <v>7915.5000000000009</v>
      </c>
      <c r="O68" s="183">
        <f>'A.0_Tablas salariales SC'!$K$118</f>
        <v>25525.020000000004</v>
      </c>
      <c r="P68" s="183">
        <f>(O68+N68)*G68+'A.0_Tablas salariales SC'!$R$136*(100%-G68)</f>
        <v>3398.82</v>
      </c>
      <c r="Q68" s="184">
        <f>IF(D68=100,'A.0_Tablas salariales SC'!$G$215,IF(D68=150,'A.0_Tablas salariales SC'!$G$216,IF(D68=189,'A.0_Tablas salariales SC'!$G$217,IF(D68=400,'A.0_Tablas salariales SC'!$G$218,IF(D68=450,'A.0_Tablas salariales SC'!$G$219,IF(D68=401,'A.0_Tablas salariales SC'!$G$220,IF(D68=451,'A.0_Tablas salariales SC'!$G$221,'A.0_Tablas salariales SC'!$G$215)))))))</f>
        <v>0.34584999999999999</v>
      </c>
      <c r="R68" s="183">
        <f t="shared" si="1"/>
        <v>1175.4818970000001</v>
      </c>
      <c r="S68" s="183">
        <f t="shared" si="2"/>
        <v>0</v>
      </c>
      <c r="T68" s="179"/>
    </row>
    <row r="69" spans="1:20">
      <c r="A69" s="508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2">
        <f>'A.1. Plantilla_Subrogacion'!F69</f>
        <v>0</v>
      </c>
      <c r="H69" s="181">
        <f>'A.1.0_TablaAntigüedad_Sub'!M69</f>
        <v>130</v>
      </c>
      <c r="I69" s="183">
        <f>'A.1.0_TablaAntigüedad_Sub'!AA69</f>
        <v>527.70000000000005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6"/>
        <v>7915.5000000000009</v>
      </c>
      <c r="O69" s="183">
        <f>'A.0_Tablas salariales SC'!$K$118</f>
        <v>25525.020000000004</v>
      </c>
      <c r="P69" s="183">
        <f>(O69+N69)*G69+'A.0_Tablas salariales SC'!$R$136*(100%-G69)</f>
        <v>3398.82</v>
      </c>
      <c r="Q69" s="184">
        <f>IF(D69=100,'A.0_Tablas salariales SC'!$G$215,IF(D69=150,'A.0_Tablas salariales SC'!$G$216,IF(D69=189,'A.0_Tablas salariales SC'!$G$217,IF(D69=400,'A.0_Tablas salariales SC'!$G$218,IF(D69=450,'A.0_Tablas salariales SC'!$G$219,IF(D69=401,'A.0_Tablas salariales SC'!$G$220,IF(D69=451,'A.0_Tablas salariales SC'!$G$221,'A.0_Tablas salariales SC'!$G$215)))))))</f>
        <v>0.34584999999999999</v>
      </c>
      <c r="R69" s="183">
        <f t="shared" ref="R69:R84" si="7">Q69*P69</f>
        <v>1175.4818970000001</v>
      </c>
      <c r="S69" s="183">
        <f t="shared" ref="S69:S84" si="8">(R69+P69)*A69</f>
        <v>0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'A.1.0_TablaAntigüedad_Sub'!M70</f>
        <v>130</v>
      </c>
      <c r="I70" s="183">
        <f>'A.1.0_TablaAntigüedad_Sub'!AA70</f>
        <v>527.70000000000005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si="6"/>
        <v>7915.5000000000009</v>
      </c>
      <c r="O70" s="183">
        <f>'A.0_Tablas salariales SC'!$K$118</f>
        <v>25525.020000000004</v>
      </c>
      <c r="P70" s="183">
        <f>(O70+N70)*G70+'A.0_Tablas salariales SC'!$R$136*(100%-G70)</f>
        <v>3398.82</v>
      </c>
      <c r="Q70" s="184">
        <f>IF(D70=100,'A.0_Tablas salariales SC'!$G$215,IF(D70=150,'A.0_Tablas salariales SC'!$G$216,IF(D70=189,'A.0_Tablas salariales SC'!$G$217,IF(D70=400,'A.0_Tablas salariales SC'!$G$218,IF(D70=450,'A.0_Tablas salariales SC'!$G$219,IF(D70=401,'A.0_Tablas salariales SC'!$G$220,IF(D70=451,'A.0_Tablas salariales SC'!$G$221,'A.0_Tablas salariales SC'!$G$215)))))))</f>
        <v>0.34584999999999999</v>
      </c>
      <c r="R70" s="183">
        <f t="shared" si="7"/>
        <v>1175.4818970000001</v>
      </c>
      <c r="S70" s="183">
        <f t="shared" si="8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'A.1.0_TablaAntigüedad_Sub'!M71</f>
        <v>130</v>
      </c>
      <c r="I71" s="183">
        <f>'A.1.0_TablaAntigüedad_Sub'!AA71</f>
        <v>527.70000000000005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6"/>
        <v>7915.5000000000009</v>
      </c>
      <c r="O71" s="183">
        <f>'A.0_Tablas salariales SC'!$K$118</f>
        <v>25525.020000000004</v>
      </c>
      <c r="P71" s="183">
        <f>(O71+N71)*G71+'A.0_Tablas salariales SC'!$R$136*(100%-G71)</f>
        <v>3398.82</v>
      </c>
      <c r="Q71" s="184">
        <f>IF(D71=100,'A.0_Tablas salariales SC'!$G$215,IF(D71=150,'A.0_Tablas salariales SC'!$G$216,IF(D71=189,'A.0_Tablas salariales SC'!$G$217,IF(D71=400,'A.0_Tablas salariales SC'!$G$218,IF(D71=450,'A.0_Tablas salariales SC'!$G$219,IF(D71=401,'A.0_Tablas salariales SC'!$G$220,IF(D71=451,'A.0_Tablas salariales SC'!$G$221,'A.0_Tablas salariales SC'!$G$215)))))))</f>
        <v>0.34584999999999999</v>
      </c>
      <c r="R71" s="183">
        <f t="shared" si="7"/>
        <v>1175.4818970000001</v>
      </c>
      <c r="S71" s="183">
        <f t="shared" si="8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'A.1.0_TablaAntigüedad_Sub'!M72</f>
        <v>130</v>
      </c>
      <c r="I72" s="183">
        <f>'A.1.0_TablaAntigüedad_Sub'!AA72</f>
        <v>527.70000000000005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6"/>
        <v>7915.5000000000009</v>
      </c>
      <c r="O72" s="183">
        <f>'A.0_Tablas salariales SC'!$K$118</f>
        <v>25525.020000000004</v>
      </c>
      <c r="P72" s="183">
        <f>(O72+N72)*G72+'A.0_Tablas salariales SC'!$R$136*(100%-G72)</f>
        <v>3398.82</v>
      </c>
      <c r="Q72" s="184">
        <f>IF(D72=100,'A.0_Tablas salariales SC'!$G$215,IF(D72=150,'A.0_Tablas salariales SC'!$G$216,IF(D72=189,'A.0_Tablas salariales SC'!$G$217,IF(D72=400,'A.0_Tablas salariales SC'!$G$218,IF(D72=450,'A.0_Tablas salariales SC'!$G$219,IF(D72=401,'A.0_Tablas salariales SC'!$G$220,IF(D72=451,'A.0_Tablas salariales SC'!$G$221,'A.0_Tablas salariales SC'!$G$215)))))))</f>
        <v>0.34584999999999999</v>
      </c>
      <c r="R72" s="183">
        <f t="shared" si="7"/>
        <v>1175.4818970000001</v>
      </c>
      <c r="S72" s="183">
        <f t="shared" si="8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'A.1.0_TablaAntigüedad_Sub'!M73</f>
        <v>130</v>
      </c>
      <c r="I73" s="183">
        <f>'A.1.0_TablaAntigüedad_Sub'!AA73</f>
        <v>527.70000000000005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6"/>
        <v>7915.5000000000009</v>
      </c>
      <c r="O73" s="183">
        <f>'A.0_Tablas salariales SC'!$K$118</f>
        <v>25525.020000000004</v>
      </c>
      <c r="P73" s="183">
        <f>(O73+N73)*G73+'A.0_Tablas salariales SC'!$R$136*(100%-G73)</f>
        <v>3398.82</v>
      </c>
      <c r="Q73" s="184">
        <f>IF(D73=100,'A.0_Tablas salariales SC'!$G$215,IF(D73=150,'A.0_Tablas salariales SC'!$G$216,IF(D73=189,'A.0_Tablas salariales SC'!$G$217,IF(D73=400,'A.0_Tablas salariales SC'!$G$218,IF(D73=450,'A.0_Tablas salariales SC'!$G$219,IF(D73=401,'A.0_Tablas salariales SC'!$G$220,IF(D73=451,'A.0_Tablas salariales SC'!$G$221,'A.0_Tablas salariales SC'!$G$215)))))))</f>
        <v>0.34584999999999999</v>
      </c>
      <c r="R73" s="183">
        <f t="shared" si="7"/>
        <v>1175.4818970000001</v>
      </c>
      <c r="S73" s="183">
        <f t="shared" si="8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'A.1.0_TablaAntigüedad_Sub'!M74</f>
        <v>130</v>
      </c>
      <c r="I74" s="183">
        <f>'A.1.0_TablaAntigüedad_Sub'!AA74</f>
        <v>527.70000000000005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6"/>
        <v>7915.5000000000009</v>
      </c>
      <c r="O74" s="183">
        <f>'A.0_Tablas salariales SC'!$K$118</f>
        <v>25525.020000000004</v>
      </c>
      <c r="P74" s="183">
        <f>(O74+N74)*G74+'A.0_Tablas salariales SC'!$R$136*(100%-G74)</f>
        <v>3398.82</v>
      </c>
      <c r="Q74" s="184">
        <f>IF(D74=100,'A.0_Tablas salariales SC'!$G$215,IF(D74=150,'A.0_Tablas salariales SC'!$G$216,IF(D74=189,'A.0_Tablas salariales SC'!$G$217,IF(D74=400,'A.0_Tablas salariales SC'!$G$218,IF(D74=450,'A.0_Tablas salariales SC'!$G$219,IF(D74=401,'A.0_Tablas salariales SC'!$G$220,IF(D74=451,'A.0_Tablas salariales SC'!$G$221,'A.0_Tablas salariales SC'!$G$215)))))))</f>
        <v>0.34584999999999999</v>
      </c>
      <c r="R74" s="183">
        <f t="shared" si="7"/>
        <v>1175.4818970000001</v>
      </c>
      <c r="S74" s="183">
        <f t="shared" si="8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'A.1.0_TablaAntigüedad_Sub'!M75</f>
        <v>130</v>
      </c>
      <c r="I75" s="183">
        <f>'A.1.0_TablaAntigüedad_Sub'!AA75</f>
        <v>527.70000000000005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6"/>
        <v>7915.5000000000009</v>
      </c>
      <c r="O75" s="183">
        <f>'A.0_Tablas salariales SC'!$K$118</f>
        <v>25525.020000000004</v>
      </c>
      <c r="P75" s="183">
        <f>(O75+N75)*G75+'A.0_Tablas salariales SC'!$R$136*(100%-G75)</f>
        <v>3398.82</v>
      </c>
      <c r="Q75" s="184">
        <f>IF(D75=100,'A.0_Tablas salariales SC'!$G$215,IF(D75=150,'A.0_Tablas salariales SC'!$G$216,IF(D75=189,'A.0_Tablas salariales SC'!$G$217,IF(D75=400,'A.0_Tablas salariales SC'!$G$218,IF(D75=450,'A.0_Tablas salariales SC'!$G$219,IF(D75=401,'A.0_Tablas salariales SC'!$G$220,IF(D75=451,'A.0_Tablas salariales SC'!$G$221,'A.0_Tablas salariales SC'!$G$215)))))))</f>
        <v>0.34584999999999999</v>
      </c>
      <c r="R75" s="183">
        <f t="shared" si="7"/>
        <v>1175.4818970000001</v>
      </c>
      <c r="S75" s="183">
        <f t="shared" si="8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'A.1.0_TablaAntigüedad_Sub'!M76</f>
        <v>130</v>
      </c>
      <c r="I76" s="183">
        <f>'A.1.0_TablaAntigüedad_Sub'!AA76</f>
        <v>527.70000000000005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6"/>
        <v>7915.5000000000009</v>
      </c>
      <c r="O76" s="183">
        <f>'A.0_Tablas salariales SC'!$K$118</f>
        <v>25525.020000000004</v>
      </c>
      <c r="P76" s="183">
        <f>(O76+N76)*G76+'A.0_Tablas salariales SC'!$R$136*(100%-G76)</f>
        <v>3398.82</v>
      </c>
      <c r="Q76" s="184">
        <f>IF(D76=100,'A.0_Tablas salariales SC'!$G$215,IF(D76=150,'A.0_Tablas salariales SC'!$G$216,IF(D76=189,'A.0_Tablas salariales SC'!$G$217,IF(D76=400,'A.0_Tablas salariales SC'!$G$218,IF(D76=450,'A.0_Tablas salariales SC'!$G$219,IF(D76=401,'A.0_Tablas salariales SC'!$G$220,IF(D76=451,'A.0_Tablas salariales SC'!$G$221,'A.0_Tablas salariales SC'!$G$215)))))))</f>
        <v>0.34584999999999999</v>
      </c>
      <c r="R76" s="183">
        <f t="shared" si="7"/>
        <v>1175.4818970000001</v>
      </c>
      <c r="S76" s="183">
        <f t="shared" si="8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'A.1.0_TablaAntigüedad_Sub'!M77</f>
        <v>130</v>
      </c>
      <c r="I77" s="183">
        <f>'A.1.0_TablaAntigüedad_Sub'!AA77</f>
        <v>527.70000000000005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6"/>
        <v>7915.5000000000009</v>
      </c>
      <c r="O77" s="183">
        <f>'A.0_Tablas salariales SC'!$K$118</f>
        <v>25525.020000000004</v>
      </c>
      <c r="P77" s="183">
        <f>(O77+N77)*G77+'A.0_Tablas salariales SC'!$R$136*(100%-G77)</f>
        <v>3398.82</v>
      </c>
      <c r="Q77" s="184">
        <f>IF(D77=100,'A.0_Tablas salariales SC'!$G$215,IF(D77=150,'A.0_Tablas salariales SC'!$G$216,IF(D77=189,'A.0_Tablas salariales SC'!$G$217,IF(D77=400,'A.0_Tablas salariales SC'!$G$218,IF(D77=450,'A.0_Tablas salariales SC'!$G$219,IF(D77=401,'A.0_Tablas salariales SC'!$G$220,IF(D77=451,'A.0_Tablas salariales SC'!$G$221,'A.0_Tablas salariales SC'!$G$215)))))))</f>
        <v>0.34584999999999999</v>
      </c>
      <c r="R77" s="183">
        <f t="shared" si="7"/>
        <v>1175.4818970000001</v>
      </c>
      <c r="S77" s="183">
        <f t="shared" si="8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'A.1.0_TablaAntigüedad_Sub'!M78</f>
        <v>130</v>
      </c>
      <c r="I78" s="183">
        <f>'A.1.0_TablaAntigüedad_Sub'!AA78</f>
        <v>527.70000000000005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ref="N78:N85" si="9">I78*$I$4+J78*$J$4+K78*$K$4+$M$4*M78+L78*$L$4</f>
        <v>7915.5000000000009</v>
      </c>
      <c r="O78" s="183">
        <f>'A.0_Tablas salariales SC'!$K$118</f>
        <v>25525.020000000004</v>
      </c>
      <c r="P78" s="183">
        <f>(O78+N78)*G78+'A.0_Tablas salariales SC'!$R$136*(100%-G78)</f>
        <v>3398.82</v>
      </c>
      <c r="Q78" s="184">
        <f>IF(D78=100,'A.0_Tablas salariales SC'!$G$215,IF(D78=150,'A.0_Tablas salariales SC'!$G$216,IF(D78=189,'A.0_Tablas salariales SC'!$G$217,IF(D78=400,'A.0_Tablas salariales SC'!$G$218,IF(D78=450,'A.0_Tablas salariales SC'!$G$219,IF(D78=401,'A.0_Tablas salariales SC'!$G$220,IF(D78=451,'A.0_Tablas salariales SC'!$G$221,'A.0_Tablas salariales SC'!$G$215)))))))</f>
        <v>0.34584999999999999</v>
      </c>
      <c r="R78" s="183">
        <f t="shared" si="7"/>
        <v>1175.4818970000001</v>
      </c>
      <c r="S78" s="183">
        <f t="shared" si="8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'A.1.0_TablaAntigüedad_Sub'!M79</f>
        <v>130</v>
      </c>
      <c r="I79" s="183">
        <f>'A.1.0_TablaAntigüedad_Sub'!AA79</f>
        <v>527.70000000000005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9"/>
        <v>7915.5000000000009</v>
      </c>
      <c r="O79" s="183">
        <f>'A.0_Tablas salariales SC'!$K$118</f>
        <v>25525.020000000004</v>
      </c>
      <c r="P79" s="183">
        <f>(O79+N79)*G79+'A.0_Tablas salariales SC'!$R$136*(100%-G79)</f>
        <v>3398.82</v>
      </c>
      <c r="Q79" s="184">
        <f>IF(D79=100,'A.0_Tablas salariales SC'!$G$215,IF(D79=150,'A.0_Tablas salariales SC'!$G$216,IF(D79=189,'A.0_Tablas salariales SC'!$G$217,IF(D79=400,'A.0_Tablas salariales SC'!$G$218,IF(D79=450,'A.0_Tablas salariales SC'!$G$219,IF(D79=401,'A.0_Tablas salariales SC'!$G$220,IF(D79=451,'A.0_Tablas salariales SC'!$G$221,'A.0_Tablas salariales SC'!$G$215)))))))</f>
        <v>0.34584999999999999</v>
      </c>
      <c r="R79" s="183">
        <f t="shared" si="7"/>
        <v>1175.4818970000001</v>
      </c>
      <c r="S79" s="183">
        <f t="shared" si="8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'A.1.0_TablaAntigüedad_Sub'!M80</f>
        <v>130</v>
      </c>
      <c r="I80" s="183">
        <f>'A.1.0_TablaAntigüedad_Sub'!AA80</f>
        <v>527.70000000000005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9"/>
        <v>7915.5000000000009</v>
      </c>
      <c r="O80" s="183">
        <f>'A.0_Tablas salariales SC'!$K$118</f>
        <v>25525.020000000004</v>
      </c>
      <c r="P80" s="183">
        <f>(O80+N80)*G80+'A.0_Tablas salariales SC'!$R$136*(100%-G80)</f>
        <v>3398.82</v>
      </c>
      <c r="Q80" s="184">
        <f>IF(D80=100,'A.0_Tablas salariales SC'!$G$215,IF(D80=150,'A.0_Tablas salariales SC'!$G$216,IF(D80=189,'A.0_Tablas salariales SC'!$G$217,IF(D80=400,'A.0_Tablas salariales SC'!$G$218,IF(D80=450,'A.0_Tablas salariales SC'!$G$219,IF(D80=401,'A.0_Tablas salariales SC'!$G$220,IF(D80=451,'A.0_Tablas salariales SC'!$G$221,'A.0_Tablas salariales SC'!$G$215)))))))</f>
        <v>0.34584999999999999</v>
      </c>
      <c r="R80" s="183">
        <f t="shared" si="7"/>
        <v>1175.4818970000001</v>
      </c>
      <c r="S80" s="183">
        <f t="shared" si="8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'A.1.0_TablaAntigüedad_Sub'!M81</f>
        <v>130</v>
      </c>
      <c r="I81" s="183">
        <f>'A.1.0_TablaAntigüedad_Sub'!AA81</f>
        <v>527.70000000000005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9"/>
        <v>7915.5000000000009</v>
      </c>
      <c r="O81" s="183">
        <f>'A.0_Tablas salariales SC'!$K$118</f>
        <v>25525.020000000004</v>
      </c>
      <c r="P81" s="183">
        <f>(O81+N81)*G81+'A.0_Tablas salariales SC'!$R$136*(100%-G81)</f>
        <v>3398.82</v>
      </c>
      <c r="Q81" s="184">
        <f>IF(D81=100,'A.0_Tablas salariales SC'!$G$215,IF(D81=150,'A.0_Tablas salariales SC'!$G$216,IF(D81=189,'A.0_Tablas salariales SC'!$G$217,IF(D81=400,'A.0_Tablas salariales SC'!$G$218,IF(D81=450,'A.0_Tablas salariales SC'!$G$219,IF(D81=401,'A.0_Tablas salariales SC'!$G$220,IF(D81=451,'A.0_Tablas salariales SC'!$G$221,'A.0_Tablas salariales SC'!$G$215)))))))</f>
        <v>0.34584999999999999</v>
      </c>
      <c r="R81" s="183">
        <f t="shared" si="7"/>
        <v>1175.4818970000001</v>
      </c>
      <c r="S81" s="183">
        <f t="shared" si="8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'A.1.0_TablaAntigüedad_Sub'!M82</f>
        <v>130</v>
      </c>
      <c r="I82" s="183">
        <f>'A.1.0_TablaAntigüedad_Sub'!AA82</f>
        <v>527.70000000000005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9"/>
        <v>7915.5000000000009</v>
      </c>
      <c r="O82" s="183">
        <f>'A.0_Tablas salariales SC'!$K$118</f>
        <v>25525.020000000004</v>
      </c>
      <c r="P82" s="183">
        <f>(O82+N82)*G82+'A.0_Tablas salariales SC'!$R$136*(100%-G82)</f>
        <v>3398.82</v>
      </c>
      <c r="Q82" s="184">
        <f>IF(D82=100,'A.0_Tablas salariales SC'!$G$215,IF(D82=150,'A.0_Tablas salariales SC'!$G$216,IF(D82=189,'A.0_Tablas salariales SC'!$G$217,IF(D82=400,'A.0_Tablas salariales SC'!$G$218,IF(D82=450,'A.0_Tablas salariales SC'!$G$219,IF(D82=401,'A.0_Tablas salariales SC'!$G$220,IF(D82=451,'A.0_Tablas salariales SC'!$G$221,'A.0_Tablas salariales SC'!$G$215)))))))</f>
        <v>0.34584999999999999</v>
      </c>
      <c r="R82" s="183">
        <f t="shared" si="7"/>
        <v>1175.4818970000001</v>
      </c>
      <c r="S82" s="183">
        <f t="shared" si="8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'A.1.0_TablaAntigüedad_Sub'!M83</f>
        <v>130</v>
      </c>
      <c r="I83" s="183">
        <f>'A.1.0_TablaAntigüedad_Sub'!AA83</f>
        <v>527.70000000000005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9"/>
        <v>7915.5000000000009</v>
      </c>
      <c r="O83" s="183">
        <f>'A.0_Tablas salariales SC'!$K$118</f>
        <v>25525.020000000004</v>
      </c>
      <c r="P83" s="183">
        <f>(O83+N83)*G83+'A.0_Tablas salariales SC'!$R$136*(100%-G83)</f>
        <v>3398.82</v>
      </c>
      <c r="Q83" s="184">
        <f>IF(D83=100,'A.0_Tablas salariales SC'!$G$215,IF(D83=150,'A.0_Tablas salariales SC'!$G$216,IF(D83=189,'A.0_Tablas salariales SC'!$G$217,IF(D83=400,'A.0_Tablas salariales SC'!$G$218,IF(D83=450,'A.0_Tablas salariales SC'!$G$219,IF(D83=401,'A.0_Tablas salariales SC'!$G$220,IF(D83=451,'A.0_Tablas salariales SC'!$G$221,'A.0_Tablas salariales SC'!$G$215)))))))</f>
        <v>0.34584999999999999</v>
      </c>
      <c r="R83" s="183">
        <f t="shared" si="7"/>
        <v>1175.4818970000001</v>
      </c>
      <c r="S83" s="183">
        <f t="shared" si="8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'A.1.0_TablaAntigüedad_Sub'!M84</f>
        <v>130</v>
      </c>
      <c r="I84" s="183">
        <f>'A.1.0_TablaAntigüedad_Sub'!AA84</f>
        <v>527.70000000000005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9"/>
        <v>7915.5000000000009</v>
      </c>
      <c r="O84" s="183">
        <f>'A.0_Tablas salariales SC'!$K$118</f>
        <v>25525.020000000004</v>
      </c>
      <c r="P84" s="183">
        <f>(O84+N84)*G84+'A.0_Tablas salariales SC'!$R$136*(100%-G84)</f>
        <v>3398.82</v>
      </c>
      <c r="Q84" s="184">
        <f>IF(D84=100,'A.0_Tablas salariales SC'!$G$215,IF(D84=150,'A.0_Tablas salariales SC'!$G$216,IF(D84=189,'A.0_Tablas salariales SC'!$G$217,IF(D84=400,'A.0_Tablas salariales SC'!$G$218,IF(D84=450,'A.0_Tablas salariales SC'!$G$219,IF(D84=401,'A.0_Tablas salariales SC'!$G$220,IF(D84=451,'A.0_Tablas salariales SC'!$G$221,'A.0_Tablas salariales SC'!$G$215)))))))</f>
        <v>0.34584999999999999</v>
      </c>
      <c r="R84" s="183">
        <f t="shared" si="7"/>
        <v>1175.4818970000001</v>
      </c>
      <c r="S84" s="183">
        <f t="shared" si="8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'A.1.0_TablaAntigüedad_Sub'!M85</f>
        <v>130</v>
      </c>
      <c r="I85" s="183">
        <f>'A.1.0_TablaAntigüedad_Sub'!AA85</f>
        <v>527.70000000000005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9"/>
        <v>7915.5000000000009</v>
      </c>
      <c r="O85" s="183">
        <f>'A.0_Tablas salariales SC'!$K$118</f>
        <v>25525.020000000004</v>
      </c>
      <c r="P85" s="183">
        <f>(O85+N85)*G85+'A.0_Tablas salariales SC'!$R$136*(100%-G85)</f>
        <v>3398.82</v>
      </c>
      <c r="Q85" s="184">
        <f>IF(D85=100,'A.0_Tablas salariales SC'!$G$215,IF(D85=150,'A.0_Tablas salariales SC'!$G$216,IF(D85=189,'A.0_Tablas salariales SC'!$G$217,IF(D85=400,'A.0_Tablas salariales SC'!$G$218,IF(D85=450,'A.0_Tablas salariales SC'!$G$219,IF(D85=401,'A.0_Tablas salariales SC'!$G$220,IF(D85=451,'A.0_Tablas salariales SC'!$G$221,'A.0_Tablas salariales SC'!$G$215)))))))</f>
        <v>0.34584999999999999</v>
      </c>
      <c r="R85" s="183">
        <f t="shared" si="1"/>
        <v>1175.4818970000001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0</v>
      </c>
    </row>
    <row r="87" spans="1:20">
      <c r="A87" s="508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2">
        <f>'A.1. Plantilla_Subrogacion'!F87</f>
        <v>0</v>
      </c>
      <c r="H87" s="181">
        <f>'A.1.0_TablaAntigüedad_Sub'!M87</f>
        <v>130</v>
      </c>
      <c r="I87" s="183">
        <f>'A.1.0_TablaAntigüedad_Sub'!AA87</f>
        <v>527.70000000000005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ref="N87:N113" si="10">I87*$I$4+J87*$J$4+K87*$K$4+$M$4*M87+L87*$L$4</f>
        <v>7915.5000000000009</v>
      </c>
      <c r="O87" s="183">
        <f>'A.0_Tablas salariales SC'!$K$121</f>
        <v>26469.119999999999</v>
      </c>
      <c r="P87" s="183">
        <f>(O87+N87)*G87+'A.0_Tablas salariales SC'!$R$136*(100%-G87)</f>
        <v>3398.82</v>
      </c>
      <c r="Q87" s="184">
        <f>IF(D87=100,'A.0_Tablas salariales SC'!$G$215,IF(D87=150,'A.0_Tablas salariales SC'!$G$216,IF(D87=189,'A.0_Tablas salariales SC'!$G$217,IF(D87=400,'A.0_Tablas salariales SC'!$G$218,IF(D87=450,'A.0_Tablas salariales SC'!$G$219,IF(D87=401,'A.0_Tablas salariales SC'!$G$220,IF(D87=451,'A.0_Tablas salariales SC'!$G$221,'A.0_Tablas salariales SC'!$G$215)))))))</f>
        <v>0.34584999999999999</v>
      </c>
      <c r="R87" s="183">
        <f t="shared" si="1"/>
        <v>1175.4818970000001</v>
      </c>
      <c r="S87" s="183">
        <f t="shared" si="2"/>
        <v>0</v>
      </c>
      <c r="T87" s="179"/>
    </row>
    <row r="88" spans="1:20">
      <c r="A88" s="508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2">
        <f>'A.1. Plantilla_Subrogacion'!F88</f>
        <v>0</v>
      </c>
      <c r="H88" s="181">
        <f>'A.1.0_TablaAntigüedad_Sub'!M88</f>
        <v>130</v>
      </c>
      <c r="I88" s="183">
        <f>'A.1.0_TablaAntigüedad_Sub'!AA88</f>
        <v>527.70000000000005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10"/>
        <v>7915.5000000000009</v>
      </c>
      <c r="O88" s="183">
        <f>'A.0_Tablas salariales SC'!$K$121</f>
        <v>26469.119999999999</v>
      </c>
      <c r="P88" s="183">
        <f>(O88+N88)*G88+'A.0_Tablas salariales SC'!$R$136*(100%-G88)</f>
        <v>3398.82</v>
      </c>
      <c r="Q88" s="184">
        <f>IF(D88=100,'A.0_Tablas salariales SC'!$G$215,IF(D88=150,'A.0_Tablas salariales SC'!$G$216,IF(D88=189,'A.0_Tablas salariales SC'!$G$217,IF(D88=400,'A.0_Tablas salariales SC'!$G$218,IF(D88=450,'A.0_Tablas salariales SC'!$G$219,IF(D88=401,'A.0_Tablas salariales SC'!$G$220,IF(D88=451,'A.0_Tablas salariales SC'!$G$221,'A.0_Tablas salariales SC'!$G$215)))))))</f>
        <v>0.34584999999999999</v>
      </c>
      <c r="R88" s="183">
        <f t="shared" si="1"/>
        <v>1175.4818970000001</v>
      </c>
      <c r="S88" s="183">
        <f t="shared" si="2"/>
        <v>0</v>
      </c>
      <c r="T88" s="179"/>
    </row>
    <row r="89" spans="1:20">
      <c r="A89" s="508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2">
        <f>'A.1. Plantilla_Subrogacion'!F89</f>
        <v>0</v>
      </c>
      <c r="H89" s="181">
        <f>'A.1.0_TablaAntigüedad_Sub'!M89</f>
        <v>130</v>
      </c>
      <c r="I89" s="183">
        <f>'A.1.0_TablaAntigüedad_Sub'!AA89</f>
        <v>527.70000000000005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10"/>
        <v>7915.5000000000009</v>
      </c>
      <c r="O89" s="183">
        <f>'A.0_Tablas salariales SC'!$K$121</f>
        <v>26469.119999999999</v>
      </c>
      <c r="P89" s="183">
        <f>(O89+N89)*G89+'A.0_Tablas salariales SC'!$R$136*(100%-G89)</f>
        <v>3398.82</v>
      </c>
      <c r="Q89" s="184">
        <f>IF(D89=100,'A.0_Tablas salariales SC'!$G$215,IF(D89=150,'A.0_Tablas salariales SC'!$G$216,IF(D89=189,'A.0_Tablas salariales SC'!$G$217,IF(D89=400,'A.0_Tablas salariales SC'!$G$218,IF(D89=450,'A.0_Tablas salariales SC'!$G$219,IF(D89=401,'A.0_Tablas salariales SC'!$G$220,IF(D89=451,'A.0_Tablas salariales SC'!$G$221,'A.0_Tablas salariales SC'!$G$215)))))))</f>
        <v>0.34584999999999999</v>
      </c>
      <c r="R89" s="183">
        <f t="shared" si="1"/>
        <v>1175.4818970000001</v>
      </c>
      <c r="S89" s="183">
        <f t="shared" si="2"/>
        <v>0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'A.1.0_TablaAntigüedad_Sub'!M90</f>
        <v>130</v>
      </c>
      <c r="I90" s="183">
        <f>'A.1.0_TablaAntigüedad_Sub'!AA90</f>
        <v>527.70000000000005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10"/>
        <v>7915.5000000000009</v>
      </c>
      <c r="O90" s="183">
        <f>'A.0_Tablas salariales SC'!$K$121</f>
        <v>26469.119999999999</v>
      </c>
      <c r="P90" s="183">
        <f>(O90+N90)*G90+'A.0_Tablas salariales SC'!$R$136*(100%-G90)</f>
        <v>3398.82</v>
      </c>
      <c r="Q90" s="184">
        <f>IF(D90=100,'A.0_Tablas salariales SC'!$G$215,IF(D90=150,'A.0_Tablas salariales SC'!$G$216,IF(D90=189,'A.0_Tablas salariales SC'!$G$217,IF(D90=400,'A.0_Tablas salariales SC'!$G$218,IF(D90=450,'A.0_Tablas salariales SC'!$G$219,IF(D90=401,'A.0_Tablas salariales SC'!$G$220,IF(D90=451,'A.0_Tablas salariales SC'!$G$221,'A.0_Tablas salariales SC'!$G$215)))))))</f>
        <v>0.34584999999999999</v>
      </c>
      <c r="R90" s="183">
        <f t="shared" ref="R90:R112" si="11">Q90*P90</f>
        <v>1175.4818970000001</v>
      </c>
      <c r="S90" s="183">
        <f t="shared" ref="S90:S112" si="12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'A.1.0_TablaAntigüedad_Sub'!M91</f>
        <v>130</v>
      </c>
      <c r="I91" s="183">
        <f>'A.1.0_TablaAntigüedad_Sub'!AA91</f>
        <v>527.70000000000005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10"/>
        <v>7915.5000000000009</v>
      </c>
      <c r="O91" s="183">
        <f>'A.0_Tablas salariales SC'!$K$121</f>
        <v>26469.119999999999</v>
      </c>
      <c r="P91" s="183">
        <f>(O91+N91)*G91+'A.0_Tablas salariales SC'!$R$136*(100%-G91)</f>
        <v>3398.82</v>
      </c>
      <c r="Q91" s="184">
        <f>IF(D91=100,'A.0_Tablas salariales SC'!$G$215,IF(D91=150,'A.0_Tablas salariales SC'!$G$216,IF(D91=189,'A.0_Tablas salariales SC'!$G$217,IF(D91=400,'A.0_Tablas salariales SC'!$G$218,IF(D91=450,'A.0_Tablas salariales SC'!$G$219,IF(D91=401,'A.0_Tablas salariales SC'!$G$220,IF(D91=451,'A.0_Tablas salariales SC'!$G$221,'A.0_Tablas salariales SC'!$G$215)))))))</f>
        <v>0.34584999999999999</v>
      </c>
      <c r="R91" s="183">
        <f t="shared" si="11"/>
        <v>1175.4818970000001</v>
      </c>
      <c r="S91" s="183">
        <f t="shared" si="12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'A.1.0_TablaAntigüedad_Sub'!M92</f>
        <v>130</v>
      </c>
      <c r="I92" s="183">
        <f>'A.1.0_TablaAntigüedad_Sub'!AA92</f>
        <v>527.70000000000005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10"/>
        <v>7915.5000000000009</v>
      </c>
      <c r="O92" s="183">
        <f>'A.0_Tablas salariales SC'!$K$121</f>
        <v>26469.119999999999</v>
      </c>
      <c r="P92" s="183">
        <f>(O92+N92)*G92+'A.0_Tablas salariales SC'!$R$136*(100%-G92)</f>
        <v>3398.82</v>
      </c>
      <c r="Q92" s="184">
        <f>IF(D92=100,'A.0_Tablas salariales SC'!$G$215,IF(D92=150,'A.0_Tablas salariales SC'!$G$216,IF(D92=189,'A.0_Tablas salariales SC'!$G$217,IF(D92=400,'A.0_Tablas salariales SC'!$G$218,IF(D92=450,'A.0_Tablas salariales SC'!$G$219,IF(D92=401,'A.0_Tablas salariales SC'!$G$220,IF(D92=451,'A.0_Tablas salariales SC'!$G$221,'A.0_Tablas salariales SC'!$G$215)))))))</f>
        <v>0.34584999999999999</v>
      </c>
      <c r="R92" s="183">
        <f t="shared" si="11"/>
        <v>1175.4818970000001</v>
      </c>
      <c r="S92" s="183">
        <f t="shared" si="12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'A.1.0_TablaAntigüedad_Sub'!M93</f>
        <v>130</v>
      </c>
      <c r="I93" s="183">
        <f>'A.1.0_TablaAntigüedad_Sub'!AA93</f>
        <v>527.70000000000005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10"/>
        <v>7915.5000000000009</v>
      </c>
      <c r="O93" s="183">
        <f>'A.0_Tablas salariales SC'!$K$121</f>
        <v>26469.119999999999</v>
      </c>
      <c r="P93" s="183">
        <f>(O93+N93)*G93+'A.0_Tablas salariales SC'!$R$136*(100%-G93)</f>
        <v>3398.82</v>
      </c>
      <c r="Q93" s="184">
        <f>IF(D93=100,'A.0_Tablas salariales SC'!$G$215,IF(D93=150,'A.0_Tablas salariales SC'!$G$216,IF(D93=189,'A.0_Tablas salariales SC'!$G$217,IF(D93=400,'A.0_Tablas salariales SC'!$G$218,IF(D93=450,'A.0_Tablas salariales SC'!$G$219,IF(D93=401,'A.0_Tablas salariales SC'!$G$220,IF(D93=451,'A.0_Tablas salariales SC'!$G$221,'A.0_Tablas salariales SC'!$G$215)))))))</f>
        <v>0.34584999999999999</v>
      </c>
      <c r="R93" s="183">
        <f t="shared" si="11"/>
        <v>1175.4818970000001</v>
      </c>
      <c r="S93" s="183">
        <f t="shared" si="12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'A.1.0_TablaAntigüedad_Sub'!M94</f>
        <v>130</v>
      </c>
      <c r="I94" s="183">
        <f>'A.1.0_TablaAntigüedad_Sub'!AA94</f>
        <v>527.70000000000005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10"/>
        <v>7915.5000000000009</v>
      </c>
      <c r="O94" s="183">
        <f>'A.0_Tablas salariales SC'!$K$121</f>
        <v>26469.119999999999</v>
      </c>
      <c r="P94" s="183">
        <f>(O94+N94)*G94+'A.0_Tablas salariales SC'!$R$136*(100%-G94)</f>
        <v>3398.82</v>
      </c>
      <c r="Q94" s="184">
        <f>IF(D94=100,'A.0_Tablas salariales SC'!$G$215,IF(D94=150,'A.0_Tablas salariales SC'!$G$216,IF(D94=189,'A.0_Tablas salariales SC'!$G$217,IF(D94=400,'A.0_Tablas salariales SC'!$G$218,IF(D94=450,'A.0_Tablas salariales SC'!$G$219,IF(D94=401,'A.0_Tablas salariales SC'!$G$220,IF(D94=451,'A.0_Tablas salariales SC'!$G$221,'A.0_Tablas salariales SC'!$G$215)))))))</f>
        <v>0.34584999999999999</v>
      </c>
      <c r="R94" s="183">
        <f t="shared" si="11"/>
        <v>1175.4818970000001</v>
      </c>
      <c r="S94" s="183">
        <f t="shared" si="12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'A.1.0_TablaAntigüedad_Sub'!M95</f>
        <v>130</v>
      </c>
      <c r="I95" s="183">
        <f>'A.1.0_TablaAntigüedad_Sub'!AA95</f>
        <v>527.70000000000005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10"/>
        <v>7915.5000000000009</v>
      </c>
      <c r="O95" s="183">
        <f>'A.0_Tablas salariales SC'!$K$121</f>
        <v>26469.119999999999</v>
      </c>
      <c r="P95" s="183">
        <f>(O95+N95)*G95+'A.0_Tablas salariales SC'!$R$136*(100%-G95)</f>
        <v>3398.82</v>
      </c>
      <c r="Q95" s="184">
        <f>IF(D95=100,'A.0_Tablas salariales SC'!$G$215,IF(D95=150,'A.0_Tablas salariales SC'!$G$216,IF(D95=189,'A.0_Tablas salariales SC'!$G$217,IF(D95=400,'A.0_Tablas salariales SC'!$G$218,IF(D95=450,'A.0_Tablas salariales SC'!$G$219,IF(D95=401,'A.0_Tablas salariales SC'!$G$220,IF(D95=451,'A.0_Tablas salariales SC'!$G$221,'A.0_Tablas salariales SC'!$G$215)))))))</f>
        <v>0.34584999999999999</v>
      </c>
      <c r="R95" s="183">
        <f t="shared" si="11"/>
        <v>1175.4818970000001</v>
      </c>
      <c r="S95" s="183">
        <f t="shared" si="12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'A.1.0_TablaAntigüedad_Sub'!M96</f>
        <v>130</v>
      </c>
      <c r="I96" s="183">
        <f>'A.1.0_TablaAntigüedad_Sub'!AA96</f>
        <v>527.70000000000005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10"/>
        <v>7915.5000000000009</v>
      </c>
      <c r="O96" s="183">
        <f>'A.0_Tablas salariales SC'!$K$121</f>
        <v>26469.119999999999</v>
      </c>
      <c r="P96" s="183">
        <f>(O96+N96)*G96+'A.0_Tablas salariales SC'!$R$136*(100%-G96)</f>
        <v>3398.82</v>
      </c>
      <c r="Q96" s="184">
        <f>IF(D96=100,'A.0_Tablas salariales SC'!$G$215,IF(D96=150,'A.0_Tablas salariales SC'!$G$216,IF(D96=189,'A.0_Tablas salariales SC'!$G$217,IF(D96=400,'A.0_Tablas salariales SC'!$G$218,IF(D96=450,'A.0_Tablas salariales SC'!$G$219,IF(D96=401,'A.0_Tablas salariales SC'!$G$220,IF(D96=451,'A.0_Tablas salariales SC'!$G$221,'A.0_Tablas salariales SC'!$G$215)))))))</f>
        <v>0.34584999999999999</v>
      </c>
      <c r="R96" s="183">
        <f t="shared" si="11"/>
        <v>1175.4818970000001</v>
      </c>
      <c r="S96" s="183">
        <f t="shared" si="12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'A.1.0_TablaAntigüedad_Sub'!M97</f>
        <v>130</v>
      </c>
      <c r="I97" s="183">
        <f>'A.1.0_TablaAntigüedad_Sub'!AA97</f>
        <v>527.70000000000005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10"/>
        <v>7915.5000000000009</v>
      </c>
      <c r="O97" s="183">
        <f>'A.0_Tablas salariales SC'!$K$121</f>
        <v>26469.119999999999</v>
      </c>
      <c r="P97" s="183">
        <f>(O97+N97)*G97+'A.0_Tablas salariales SC'!$R$136*(100%-G97)</f>
        <v>3398.82</v>
      </c>
      <c r="Q97" s="184">
        <f>IF(D97=100,'A.0_Tablas salariales SC'!$G$215,IF(D97=150,'A.0_Tablas salariales SC'!$G$216,IF(D97=189,'A.0_Tablas salariales SC'!$G$217,IF(D97=400,'A.0_Tablas salariales SC'!$G$218,IF(D97=450,'A.0_Tablas salariales SC'!$G$219,IF(D97=401,'A.0_Tablas salariales SC'!$G$220,IF(D97=451,'A.0_Tablas salariales SC'!$G$221,'A.0_Tablas salariales SC'!$G$215)))))))</f>
        <v>0.34584999999999999</v>
      </c>
      <c r="R97" s="183">
        <f t="shared" si="11"/>
        <v>1175.4818970000001</v>
      </c>
      <c r="S97" s="183">
        <f t="shared" si="12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'A.1.0_TablaAntigüedad_Sub'!M98</f>
        <v>130</v>
      </c>
      <c r="I98" s="183">
        <f>'A.1.0_TablaAntigüedad_Sub'!AA98</f>
        <v>527.70000000000005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10"/>
        <v>7915.5000000000009</v>
      </c>
      <c r="O98" s="183">
        <f>'A.0_Tablas salariales SC'!$K$121</f>
        <v>26469.119999999999</v>
      </c>
      <c r="P98" s="183">
        <f>(O98+N98)*G98+'A.0_Tablas salariales SC'!$R$136*(100%-G98)</f>
        <v>3398.82</v>
      </c>
      <c r="Q98" s="184">
        <f>IF(D98=100,'A.0_Tablas salariales SC'!$G$215,IF(D98=150,'A.0_Tablas salariales SC'!$G$216,IF(D98=189,'A.0_Tablas salariales SC'!$G$217,IF(D98=400,'A.0_Tablas salariales SC'!$G$218,IF(D98=450,'A.0_Tablas salariales SC'!$G$219,IF(D98=401,'A.0_Tablas salariales SC'!$G$220,IF(D98=451,'A.0_Tablas salariales SC'!$G$221,'A.0_Tablas salariales SC'!$G$215)))))))</f>
        <v>0.34584999999999999</v>
      </c>
      <c r="R98" s="183">
        <f t="shared" si="11"/>
        <v>1175.4818970000001</v>
      </c>
      <c r="S98" s="183">
        <f t="shared" si="12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'A.1.0_TablaAntigüedad_Sub'!M99</f>
        <v>130</v>
      </c>
      <c r="I99" s="183">
        <f>'A.1.0_TablaAntigüedad_Sub'!AA99</f>
        <v>527.70000000000005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10"/>
        <v>7915.5000000000009</v>
      </c>
      <c r="O99" s="183">
        <f>'A.0_Tablas salariales SC'!$K$121</f>
        <v>26469.119999999999</v>
      </c>
      <c r="P99" s="183">
        <f>(O99+N99)*G99+'A.0_Tablas salariales SC'!$R$136*(100%-G99)</f>
        <v>3398.82</v>
      </c>
      <c r="Q99" s="184">
        <f>IF(D99=100,'A.0_Tablas salariales SC'!$G$215,IF(D99=150,'A.0_Tablas salariales SC'!$G$216,IF(D99=189,'A.0_Tablas salariales SC'!$G$217,IF(D99=400,'A.0_Tablas salariales SC'!$G$218,IF(D99=450,'A.0_Tablas salariales SC'!$G$219,IF(D99=401,'A.0_Tablas salariales SC'!$G$220,IF(D99=451,'A.0_Tablas salariales SC'!$G$221,'A.0_Tablas salariales SC'!$G$215)))))))</f>
        <v>0.34584999999999999</v>
      </c>
      <c r="R99" s="183">
        <f t="shared" si="11"/>
        <v>1175.4818970000001</v>
      </c>
      <c r="S99" s="183">
        <f t="shared" si="12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'A.1.0_TablaAntigüedad_Sub'!M100</f>
        <v>130</v>
      </c>
      <c r="I100" s="183">
        <f>'A.1.0_TablaAntigüedad_Sub'!AA100</f>
        <v>527.70000000000005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10"/>
        <v>7915.5000000000009</v>
      </c>
      <c r="O100" s="183">
        <f>'A.0_Tablas salariales SC'!$K$121</f>
        <v>26469.119999999999</v>
      </c>
      <c r="P100" s="183">
        <f>(O100+N100)*G100+'A.0_Tablas salariales SC'!$R$136*(100%-G100)</f>
        <v>3398.82</v>
      </c>
      <c r="Q100" s="184">
        <f>IF(D100=100,'A.0_Tablas salariales SC'!$G$215,IF(D100=150,'A.0_Tablas salariales SC'!$G$216,IF(D100=189,'A.0_Tablas salariales SC'!$G$217,IF(D100=400,'A.0_Tablas salariales SC'!$G$218,IF(D100=450,'A.0_Tablas salariales SC'!$G$219,IF(D100=401,'A.0_Tablas salariales SC'!$G$220,IF(D100=451,'A.0_Tablas salariales SC'!$G$221,'A.0_Tablas salariales SC'!$G$215)))))))</f>
        <v>0.34584999999999999</v>
      </c>
      <c r="R100" s="183">
        <f t="shared" si="11"/>
        <v>1175.4818970000001</v>
      </c>
      <c r="S100" s="183">
        <f t="shared" si="12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'A.1.0_TablaAntigüedad_Sub'!M101</f>
        <v>130</v>
      </c>
      <c r="I101" s="183">
        <f>'A.1.0_TablaAntigüedad_Sub'!AA101</f>
        <v>527.70000000000005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10"/>
        <v>7915.5000000000009</v>
      </c>
      <c r="O101" s="183">
        <f>'A.0_Tablas salariales SC'!$K$121</f>
        <v>26469.119999999999</v>
      </c>
      <c r="P101" s="183">
        <f>(O101+N101)*G101+'A.0_Tablas salariales SC'!$R$136*(100%-G101)</f>
        <v>3398.82</v>
      </c>
      <c r="Q101" s="184">
        <f>IF(D101=100,'A.0_Tablas salariales SC'!$G$215,IF(D101=150,'A.0_Tablas salariales SC'!$G$216,IF(D101=189,'A.0_Tablas salariales SC'!$G$217,IF(D101=400,'A.0_Tablas salariales SC'!$G$218,IF(D101=450,'A.0_Tablas salariales SC'!$G$219,IF(D101=401,'A.0_Tablas salariales SC'!$G$220,IF(D101=451,'A.0_Tablas salariales SC'!$G$221,'A.0_Tablas salariales SC'!$G$215)))))))</f>
        <v>0.34584999999999999</v>
      </c>
      <c r="R101" s="183">
        <f t="shared" si="11"/>
        <v>1175.4818970000001</v>
      </c>
      <c r="S101" s="183">
        <f t="shared" si="12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'A.1.0_TablaAntigüedad_Sub'!M102</f>
        <v>130</v>
      </c>
      <c r="I102" s="183">
        <f>'A.1.0_TablaAntigüedad_Sub'!AA102</f>
        <v>527.70000000000005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10"/>
        <v>7915.5000000000009</v>
      </c>
      <c r="O102" s="183">
        <f>'A.0_Tablas salariales SC'!$K$121</f>
        <v>26469.119999999999</v>
      </c>
      <c r="P102" s="183">
        <f>(O102+N102)*G102+'A.0_Tablas salariales SC'!$R$136*(100%-G102)</f>
        <v>3398.82</v>
      </c>
      <c r="Q102" s="184">
        <f>IF(D102=100,'A.0_Tablas salariales SC'!$G$215,IF(D102=150,'A.0_Tablas salariales SC'!$G$216,IF(D102=189,'A.0_Tablas salariales SC'!$G$217,IF(D102=400,'A.0_Tablas salariales SC'!$G$218,IF(D102=450,'A.0_Tablas salariales SC'!$G$219,IF(D102=401,'A.0_Tablas salariales SC'!$G$220,IF(D102=451,'A.0_Tablas salariales SC'!$G$221,'A.0_Tablas salariales SC'!$G$215)))))))</f>
        <v>0.34584999999999999</v>
      </c>
      <c r="R102" s="183">
        <f t="shared" si="11"/>
        <v>1175.4818970000001</v>
      </c>
      <c r="S102" s="183">
        <f t="shared" si="12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'A.1.0_TablaAntigüedad_Sub'!M103</f>
        <v>130</v>
      </c>
      <c r="I103" s="183">
        <f>'A.1.0_TablaAntigüedad_Sub'!AA103</f>
        <v>527.70000000000005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10"/>
        <v>7915.5000000000009</v>
      </c>
      <c r="O103" s="183">
        <f>'A.0_Tablas salariales SC'!$K$121</f>
        <v>26469.119999999999</v>
      </c>
      <c r="P103" s="183">
        <f>(O103+N103)*G103+'A.0_Tablas salariales SC'!$R$136*(100%-G103)</f>
        <v>3398.82</v>
      </c>
      <c r="Q103" s="184">
        <f>IF(D103=100,'A.0_Tablas salariales SC'!$G$215,IF(D103=150,'A.0_Tablas salariales SC'!$G$216,IF(D103=189,'A.0_Tablas salariales SC'!$G$217,IF(D103=400,'A.0_Tablas salariales SC'!$G$218,IF(D103=450,'A.0_Tablas salariales SC'!$G$219,IF(D103=401,'A.0_Tablas salariales SC'!$G$220,IF(D103=451,'A.0_Tablas salariales SC'!$G$221,'A.0_Tablas salariales SC'!$G$215)))))))</f>
        <v>0.34584999999999999</v>
      </c>
      <c r="R103" s="183">
        <f t="shared" si="11"/>
        <v>1175.4818970000001</v>
      </c>
      <c r="S103" s="183">
        <f t="shared" si="12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'A.1.0_TablaAntigüedad_Sub'!M104</f>
        <v>130</v>
      </c>
      <c r="I104" s="183">
        <f>'A.1.0_TablaAntigüedad_Sub'!AA104</f>
        <v>527.70000000000005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10"/>
        <v>7915.5000000000009</v>
      </c>
      <c r="O104" s="183">
        <f>'A.0_Tablas salariales SC'!$K$121</f>
        <v>26469.119999999999</v>
      </c>
      <c r="P104" s="183">
        <f>(O104+N104)*G104+'A.0_Tablas salariales SC'!$R$136*(100%-G104)</f>
        <v>3398.82</v>
      </c>
      <c r="Q104" s="184">
        <f>IF(D104=100,'A.0_Tablas salariales SC'!$G$215,IF(D104=150,'A.0_Tablas salariales SC'!$G$216,IF(D104=189,'A.0_Tablas salariales SC'!$G$217,IF(D104=400,'A.0_Tablas salariales SC'!$G$218,IF(D104=450,'A.0_Tablas salariales SC'!$G$219,IF(D104=401,'A.0_Tablas salariales SC'!$G$220,IF(D104=451,'A.0_Tablas salariales SC'!$G$221,'A.0_Tablas salariales SC'!$G$215)))))))</f>
        <v>0.34584999999999999</v>
      </c>
      <c r="R104" s="183">
        <f t="shared" si="11"/>
        <v>1175.4818970000001</v>
      </c>
      <c r="S104" s="183">
        <f t="shared" si="12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'A.1.0_TablaAntigüedad_Sub'!M105</f>
        <v>130</v>
      </c>
      <c r="I105" s="183">
        <f>'A.1.0_TablaAntigüedad_Sub'!AA105</f>
        <v>527.70000000000005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10"/>
        <v>7915.5000000000009</v>
      </c>
      <c r="O105" s="183">
        <f>'A.0_Tablas salariales SC'!$K$121</f>
        <v>26469.119999999999</v>
      </c>
      <c r="P105" s="183">
        <f>(O105+N105)*G105+'A.0_Tablas salariales SC'!$R$136*(100%-G105)</f>
        <v>3398.82</v>
      </c>
      <c r="Q105" s="184">
        <f>IF(D105=100,'A.0_Tablas salariales SC'!$G$215,IF(D105=150,'A.0_Tablas salariales SC'!$G$216,IF(D105=189,'A.0_Tablas salariales SC'!$G$217,IF(D105=400,'A.0_Tablas salariales SC'!$G$218,IF(D105=450,'A.0_Tablas salariales SC'!$G$219,IF(D105=401,'A.0_Tablas salariales SC'!$G$220,IF(D105=451,'A.0_Tablas salariales SC'!$G$221,'A.0_Tablas salariales SC'!$G$215)))))))</f>
        <v>0.34584999999999999</v>
      </c>
      <c r="R105" s="183">
        <f t="shared" si="11"/>
        <v>1175.4818970000001</v>
      </c>
      <c r="S105" s="183">
        <f t="shared" si="12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'A.1.0_TablaAntigüedad_Sub'!M106</f>
        <v>130</v>
      </c>
      <c r="I106" s="183">
        <f>'A.1.0_TablaAntigüedad_Sub'!AA106</f>
        <v>527.70000000000005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10"/>
        <v>7915.5000000000009</v>
      </c>
      <c r="O106" s="183">
        <f>'A.0_Tablas salariales SC'!$K$121</f>
        <v>26469.119999999999</v>
      </c>
      <c r="P106" s="183">
        <f>(O106+N106)*G106+'A.0_Tablas salariales SC'!$R$136*(100%-G106)</f>
        <v>3398.82</v>
      </c>
      <c r="Q106" s="184">
        <f>IF(D106=100,'A.0_Tablas salariales SC'!$G$215,IF(D106=150,'A.0_Tablas salariales SC'!$G$216,IF(D106=189,'A.0_Tablas salariales SC'!$G$217,IF(D106=400,'A.0_Tablas salariales SC'!$G$218,IF(D106=450,'A.0_Tablas salariales SC'!$G$219,IF(D106=401,'A.0_Tablas salariales SC'!$G$220,IF(D106=451,'A.0_Tablas salariales SC'!$G$221,'A.0_Tablas salariales SC'!$G$215)))))))</f>
        <v>0.34584999999999999</v>
      </c>
      <c r="R106" s="183">
        <f t="shared" si="11"/>
        <v>1175.4818970000001</v>
      </c>
      <c r="S106" s="183">
        <f t="shared" si="12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'A.1.0_TablaAntigüedad_Sub'!M107</f>
        <v>130</v>
      </c>
      <c r="I107" s="183">
        <f>'A.1.0_TablaAntigüedad_Sub'!AA107</f>
        <v>527.70000000000005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10"/>
        <v>7915.5000000000009</v>
      </c>
      <c r="O107" s="183">
        <f>'A.0_Tablas salariales SC'!$K$121</f>
        <v>26469.119999999999</v>
      </c>
      <c r="P107" s="183">
        <f>(O107+N107)*G107+'A.0_Tablas salariales SC'!$R$136*(100%-G107)</f>
        <v>3398.82</v>
      </c>
      <c r="Q107" s="184">
        <f>IF(D107=100,'A.0_Tablas salariales SC'!$G$215,IF(D107=150,'A.0_Tablas salariales SC'!$G$216,IF(D107=189,'A.0_Tablas salariales SC'!$G$217,IF(D107=400,'A.0_Tablas salariales SC'!$G$218,IF(D107=450,'A.0_Tablas salariales SC'!$G$219,IF(D107=401,'A.0_Tablas salariales SC'!$G$220,IF(D107=451,'A.0_Tablas salariales SC'!$G$221,'A.0_Tablas salariales SC'!$G$215)))))))</f>
        <v>0.34584999999999999</v>
      </c>
      <c r="R107" s="183">
        <f t="shared" si="11"/>
        <v>1175.4818970000001</v>
      </c>
      <c r="S107" s="183">
        <f t="shared" si="12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'A.1.0_TablaAntigüedad_Sub'!M108</f>
        <v>130</v>
      </c>
      <c r="I108" s="183">
        <f>'A.1.0_TablaAntigüedad_Sub'!AA108</f>
        <v>527.70000000000005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10"/>
        <v>7915.5000000000009</v>
      </c>
      <c r="O108" s="183">
        <f>'A.0_Tablas salariales SC'!$K$121</f>
        <v>26469.119999999999</v>
      </c>
      <c r="P108" s="183">
        <f>(O108+N108)*G108+'A.0_Tablas salariales SC'!$R$136*(100%-G108)</f>
        <v>3398.82</v>
      </c>
      <c r="Q108" s="184">
        <f>IF(D108=100,'A.0_Tablas salariales SC'!$G$215,IF(D108=150,'A.0_Tablas salariales SC'!$G$216,IF(D108=189,'A.0_Tablas salariales SC'!$G$217,IF(D108=400,'A.0_Tablas salariales SC'!$G$218,IF(D108=450,'A.0_Tablas salariales SC'!$G$219,IF(D108=401,'A.0_Tablas salariales SC'!$G$220,IF(D108=451,'A.0_Tablas salariales SC'!$G$221,'A.0_Tablas salariales SC'!$G$215)))))))</f>
        <v>0.34584999999999999</v>
      </c>
      <c r="R108" s="183">
        <f t="shared" si="11"/>
        <v>1175.4818970000001</v>
      </c>
      <c r="S108" s="183">
        <f t="shared" si="12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'A.1.0_TablaAntigüedad_Sub'!M109</f>
        <v>130</v>
      </c>
      <c r="I109" s="183">
        <f>'A.1.0_TablaAntigüedad_Sub'!AA109</f>
        <v>527.70000000000005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10"/>
        <v>7915.5000000000009</v>
      </c>
      <c r="O109" s="183">
        <f>'A.0_Tablas salariales SC'!$K$121</f>
        <v>26469.119999999999</v>
      </c>
      <c r="P109" s="183">
        <f>(O109+N109)*G109+'A.0_Tablas salariales SC'!$R$136*(100%-G109)</f>
        <v>3398.82</v>
      </c>
      <c r="Q109" s="184">
        <f>IF(D109=100,'A.0_Tablas salariales SC'!$G$215,IF(D109=150,'A.0_Tablas salariales SC'!$G$216,IF(D109=189,'A.0_Tablas salariales SC'!$G$217,IF(D109=400,'A.0_Tablas salariales SC'!$G$218,IF(D109=450,'A.0_Tablas salariales SC'!$G$219,IF(D109=401,'A.0_Tablas salariales SC'!$G$220,IF(D109=451,'A.0_Tablas salariales SC'!$G$221,'A.0_Tablas salariales SC'!$G$215)))))))</f>
        <v>0.34584999999999999</v>
      </c>
      <c r="R109" s="183">
        <f t="shared" si="11"/>
        <v>1175.4818970000001</v>
      </c>
      <c r="S109" s="183">
        <f t="shared" si="12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'A.1.0_TablaAntigüedad_Sub'!M110</f>
        <v>130</v>
      </c>
      <c r="I110" s="183">
        <f>'A.1.0_TablaAntigüedad_Sub'!AA110</f>
        <v>527.70000000000005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10"/>
        <v>7915.5000000000009</v>
      </c>
      <c r="O110" s="183">
        <f>'A.0_Tablas salariales SC'!$K$121</f>
        <v>26469.119999999999</v>
      </c>
      <c r="P110" s="183">
        <f>(O110+N110)*G110+'A.0_Tablas salariales SC'!$R$136*(100%-G110)</f>
        <v>3398.82</v>
      </c>
      <c r="Q110" s="184">
        <f>IF(D110=100,'A.0_Tablas salariales SC'!$G$215,IF(D110=150,'A.0_Tablas salariales SC'!$G$216,IF(D110=189,'A.0_Tablas salariales SC'!$G$217,IF(D110=400,'A.0_Tablas salariales SC'!$G$218,IF(D110=450,'A.0_Tablas salariales SC'!$G$219,IF(D110=401,'A.0_Tablas salariales SC'!$G$220,IF(D110=451,'A.0_Tablas salariales SC'!$G$221,'A.0_Tablas salariales SC'!$G$215)))))))</f>
        <v>0.34584999999999999</v>
      </c>
      <c r="R110" s="183">
        <f t="shared" si="11"/>
        <v>1175.4818970000001</v>
      </c>
      <c r="S110" s="183">
        <f t="shared" si="12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'A.1.0_TablaAntigüedad_Sub'!M111</f>
        <v>130</v>
      </c>
      <c r="I111" s="183">
        <f>'A.1.0_TablaAntigüedad_Sub'!AA111</f>
        <v>527.70000000000005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10"/>
        <v>7915.5000000000009</v>
      </c>
      <c r="O111" s="183">
        <f>'A.0_Tablas salariales SC'!$K$121</f>
        <v>26469.119999999999</v>
      </c>
      <c r="P111" s="183">
        <f>(O111+N111)*G111+'A.0_Tablas salariales SC'!$R$136*(100%-G111)</f>
        <v>3398.82</v>
      </c>
      <c r="Q111" s="184">
        <f>IF(D111=100,'A.0_Tablas salariales SC'!$G$215,IF(D111=150,'A.0_Tablas salariales SC'!$G$216,IF(D111=189,'A.0_Tablas salariales SC'!$G$217,IF(D111=400,'A.0_Tablas salariales SC'!$G$218,IF(D111=450,'A.0_Tablas salariales SC'!$G$219,IF(D111=401,'A.0_Tablas salariales SC'!$G$220,IF(D111=451,'A.0_Tablas salariales SC'!$G$221,'A.0_Tablas salariales SC'!$G$215)))))))</f>
        <v>0.34584999999999999</v>
      </c>
      <c r="R111" s="183">
        <f t="shared" si="11"/>
        <v>1175.4818970000001</v>
      </c>
      <c r="S111" s="183">
        <f t="shared" si="12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'A.1.0_TablaAntigüedad_Sub'!M112</f>
        <v>130</v>
      </c>
      <c r="I112" s="183">
        <f>'A.1.0_TablaAntigüedad_Sub'!AA112</f>
        <v>527.70000000000005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10"/>
        <v>7915.5000000000009</v>
      </c>
      <c r="O112" s="183">
        <f>'A.0_Tablas salariales SC'!$K$121</f>
        <v>26469.119999999999</v>
      </c>
      <c r="P112" s="183">
        <f>(O112+N112)*G112+'A.0_Tablas salariales SC'!$R$136*(100%-G112)</f>
        <v>3398.82</v>
      </c>
      <c r="Q112" s="184">
        <f>IF(D112=100,'A.0_Tablas salariales SC'!$G$215,IF(D112=150,'A.0_Tablas salariales SC'!$G$216,IF(D112=189,'A.0_Tablas salariales SC'!$G$217,IF(D112=400,'A.0_Tablas salariales SC'!$G$218,IF(D112=450,'A.0_Tablas salariales SC'!$G$219,IF(D112=401,'A.0_Tablas salariales SC'!$G$220,IF(D112=451,'A.0_Tablas salariales SC'!$G$221,'A.0_Tablas salariales SC'!$G$215)))))))</f>
        <v>0.34584999999999999</v>
      </c>
      <c r="R112" s="183">
        <f t="shared" si="11"/>
        <v>1175.4818970000001</v>
      </c>
      <c r="S112" s="183">
        <f t="shared" si="12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'A.1.0_TablaAntigüedad_Sub'!M113</f>
        <v>130</v>
      </c>
      <c r="I113" s="183">
        <f>'A.1.0_TablaAntigüedad_Sub'!AA113</f>
        <v>527.70000000000005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10"/>
        <v>7915.5000000000009</v>
      </c>
      <c r="O113" s="183">
        <f>'A.0_Tablas salariales SC'!$K$121</f>
        <v>26469.119999999999</v>
      </c>
      <c r="P113" s="183">
        <f>(O113+N113)*G113+'A.0_Tablas salariales SC'!$R$136*(100%-G113)</f>
        <v>3398.82</v>
      </c>
      <c r="Q113" s="184">
        <f>IF(D113=100,'A.0_Tablas salariales SC'!$G$215,IF(D113=150,'A.0_Tablas salariales SC'!$G$216,IF(D113=189,'A.0_Tablas salariales SC'!$G$217,IF(D113=400,'A.0_Tablas salariales SC'!$G$218,IF(D113=450,'A.0_Tablas salariales SC'!$G$219,IF(D113=401,'A.0_Tablas salariales SC'!$G$220,IF(D113=451,'A.0_Tablas salariales SC'!$G$221,'A.0_Tablas salariales SC'!$G$215)))))))</f>
        <v>0.34584999999999999</v>
      </c>
      <c r="R113" s="183">
        <f t="shared" si="1"/>
        <v>1175.4818970000001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4"/>
      <c r="Q114" s="174"/>
      <c r="R114" s="174"/>
      <c r="S114" s="174"/>
      <c r="T114" s="180">
        <f>SUM(S87:S113)</f>
        <v>0</v>
      </c>
    </row>
    <row r="115" spans="1:20">
      <c r="A115" s="508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2">
        <f>'A.1. Plantilla_Subrogacion'!F115</f>
        <v>0</v>
      </c>
      <c r="H115" s="181">
        <f>'A.1.0_TablaAntigüedad_Sub'!M115</f>
        <v>130</v>
      </c>
      <c r="I115" s="183">
        <f>'A.1.0_TablaAntigüedad_Sub'!AA115</f>
        <v>527.70000000000005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ref="N115:N138" si="13">I115*$I$4+J115*$J$4+K115*$K$4+$M$4*M115+L115*$L$4</f>
        <v>7915.5000000000009</v>
      </c>
      <c r="O115" s="183">
        <f>'A.0_Tablas salariales SC'!$K$122</f>
        <v>27680.07</v>
      </c>
      <c r="P115" s="183">
        <f>(O115+N115)*G115+'A.0_Tablas salariales SC'!$R$136*(100%-G115)</f>
        <v>3398.82</v>
      </c>
      <c r="Q115" s="184">
        <f>IF(D115=100,'A.0_Tablas salariales SC'!$G$215,IF(D115=150,'A.0_Tablas salariales SC'!$G$216,IF(D115=189,'A.0_Tablas salariales SC'!$G$217,IF(D115=400,'A.0_Tablas salariales SC'!$G$218,IF(D115=450,'A.0_Tablas salariales SC'!$G$219,IF(D115=401,'A.0_Tablas salariales SC'!$G$220,IF(D115=451,'A.0_Tablas salariales SC'!$G$221,'A.0_Tablas salariales SC'!$G$215)))))))</f>
        <v>0.34584999999999999</v>
      </c>
      <c r="R115" s="183">
        <f t="shared" ref="R115:R175" si="14">Q115*P115</f>
        <v>1175.4818970000001</v>
      </c>
      <c r="S115" s="183">
        <f t="shared" ref="S115:S175" si="15">(R115+P115)*A115</f>
        <v>0</v>
      </c>
      <c r="T115" s="179"/>
    </row>
    <row r="116" spans="1:20">
      <c r="A116" s="508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2">
        <f>'A.1. Plantilla_Subrogacion'!F116</f>
        <v>0</v>
      </c>
      <c r="H116" s="181">
        <f>'A.1.0_TablaAntigüedad_Sub'!M116</f>
        <v>130</v>
      </c>
      <c r="I116" s="183">
        <f>'A.1.0_TablaAntigüedad_Sub'!AA116</f>
        <v>527.70000000000005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13"/>
        <v>7915.5000000000009</v>
      </c>
      <c r="O116" s="183">
        <f>'A.0_Tablas salariales SC'!$K$122</f>
        <v>27680.07</v>
      </c>
      <c r="P116" s="183">
        <f>(O116+N116)*G116+'A.0_Tablas salariales SC'!$R$136*(100%-G116)</f>
        <v>3398.82</v>
      </c>
      <c r="Q116" s="184">
        <f>IF(D116=100,'A.0_Tablas salariales SC'!$G$215,IF(D116=150,'A.0_Tablas salariales SC'!$G$216,IF(D116=189,'A.0_Tablas salariales SC'!$G$217,IF(D116=400,'A.0_Tablas salariales SC'!$G$218,IF(D116=450,'A.0_Tablas salariales SC'!$G$219,IF(D116=401,'A.0_Tablas salariales SC'!$G$220,IF(D116=451,'A.0_Tablas salariales SC'!$G$221,'A.0_Tablas salariales SC'!$G$215)))))))</f>
        <v>0.34584999999999999</v>
      </c>
      <c r="R116" s="183">
        <f t="shared" si="14"/>
        <v>1175.4818970000001</v>
      </c>
      <c r="S116" s="183">
        <f t="shared" si="15"/>
        <v>0</v>
      </c>
      <c r="T116" s="179"/>
    </row>
    <row r="117" spans="1:20">
      <c r="A117" s="508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2">
        <f>'A.1. Plantilla_Subrogacion'!F117</f>
        <v>0</v>
      </c>
      <c r="H117" s="181">
        <f>'A.1.0_TablaAntigüedad_Sub'!M117</f>
        <v>130</v>
      </c>
      <c r="I117" s="183">
        <f>'A.1.0_TablaAntigüedad_Sub'!AA117</f>
        <v>527.70000000000005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13"/>
        <v>7915.5000000000009</v>
      </c>
      <c r="O117" s="183">
        <f>'A.0_Tablas salariales SC'!$K$122</f>
        <v>27680.07</v>
      </c>
      <c r="P117" s="183">
        <f>(O117+N117)*G117+'A.0_Tablas salariales SC'!$R$136*(100%-G117)</f>
        <v>3398.82</v>
      </c>
      <c r="Q117" s="184">
        <f>IF(D117=100,'A.0_Tablas salariales SC'!$G$215,IF(D117=150,'A.0_Tablas salariales SC'!$G$216,IF(D117=189,'A.0_Tablas salariales SC'!$G$217,IF(D117=400,'A.0_Tablas salariales SC'!$G$218,IF(D117=450,'A.0_Tablas salariales SC'!$G$219,IF(D117=401,'A.0_Tablas salariales SC'!$G$220,IF(D117=451,'A.0_Tablas salariales SC'!$G$221,'A.0_Tablas salariales SC'!$G$215)))))))</f>
        <v>0.34584999999999999</v>
      </c>
      <c r="R117" s="183">
        <f t="shared" si="14"/>
        <v>1175.4818970000001</v>
      </c>
      <c r="S117" s="183">
        <f t="shared" si="15"/>
        <v>0</v>
      </c>
      <c r="T117" s="179"/>
    </row>
    <row r="118" spans="1:20">
      <c r="A118" s="508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2">
        <f>'A.1. Plantilla_Subrogacion'!F118</f>
        <v>0</v>
      </c>
      <c r="H118" s="181">
        <f>'A.1.0_TablaAntigüedad_Sub'!M118</f>
        <v>130</v>
      </c>
      <c r="I118" s="183">
        <f>'A.1.0_TablaAntigüedad_Sub'!AA118</f>
        <v>527.70000000000005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13"/>
        <v>7915.5000000000009</v>
      </c>
      <c r="O118" s="183">
        <f>'A.0_Tablas salariales SC'!$K$122</f>
        <v>27680.07</v>
      </c>
      <c r="P118" s="183">
        <f>(O118+N118)*G118+'A.0_Tablas salariales SC'!$R$136*(100%-G118)</f>
        <v>3398.82</v>
      </c>
      <c r="Q118" s="184">
        <f>IF(D118=100,'A.0_Tablas salariales SC'!$G$215,IF(D118=150,'A.0_Tablas salariales SC'!$G$216,IF(D118=189,'A.0_Tablas salariales SC'!$G$217,IF(D118=400,'A.0_Tablas salariales SC'!$G$218,IF(D118=450,'A.0_Tablas salariales SC'!$G$219,IF(D118=401,'A.0_Tablas salariales SC'!$G$220,IF(D118=451,'A.0_Tablas salariales SC'!$G$221,'A.0_Tablas salariales SC'!$G$215)))))))</f>
        <v>0.34584999999999999</v>
      </c>
      <c r="R118" s="183">
        <f t="shared" si="14"/>
        <v>1175.4818970000001</v>
      </c>
      <c r="S118" s="183">
        <f t="shared" si="15"/>
        <v>0</v>
      </c>
      <c r="T118" s="179"/>
    </row>
    <row r="119" spans="1:20">
      <c r="A119" s="508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2">
        <f>'A.1. Plantilla_Subrogacion'!F119</f>
        <v>0</v>
      </c>
      <c r="H119" s="181">
        <f>'A.1.0_TablaAntigüedad_Sub'!M119</f>
        <v>130</v>
      </c>
      <c r="I119" s="183">
        <f>'A.1.0_TablaAntigüedad_Sub'!AA119</f>
        <v>527.70000000000005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13"/>
        <v>7915.5000000000009</v>
      </c>
      <c r="O119" s="183">
        <f>'A.0_Tablas salariales SC'!$K$122</f>
        <v>27680.07</v>
      </c>
      <c r="P119" s="183">
        <f>(O119+N119)*G119+'A.0_Tablas salariales SC'!$R$136*(100%-G119)</f>
        <v>3398.82</v>
      </c>
      <c r="Q119" s="184">
        <f>IF(D119=100,'A.0_Tablas salariales SC'!$G$215,IF(D119=150,'A.0_Tablas salariales SC'!$G$216,IF(D119=189,'A.0_Tablas salariales SC'!$G$217,IF(D119=400,'A.0_Tablas salariales SC'!$G$218,IF(D119=450,'A.0_Tablas salariales SC'!$G$219,IF(D119=401,'A.0_Tablas salariales SC'!$G$220,IF(D119=451,'A.0_Tablas salariales SC'!$G$221,'A.0_Tablas salariales SC'!$G$215)))))))</f>
        <v>0.34584999999999999</v>
      </c>
      <c r="R119" s="183">
        <f t="shared" si="14"/>
        <v>1175.4818970000001</v>
      </c>
      <c r="S119" s="183">
        <f t="shared" si="15"/>
        <v>0</v>
      </c>
      <c r="T119" s="179"/>
    </row>
    <row r="120" spans="1:20">
      <c r="A120" s="508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2">
        <f>'A.1. Plantilla_Subrogacion'!F120</f>
        <v>0</v>
      </c>
      <c r="H120" s="181">
        <f>'A.1.0_TablaAntigüedad_Sub'!M120</f>
        <v>130</v>
      </c>
      <c r="I120" s="183">
        <f>'A.1.0_TablaAntigüedad_Sub'!AA120</f>
        <v>527.70000000000005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13"/>
        <v>7915.5000000000009</v>
      </c>
      <c r="O120" s="183">
        <f>'A.0_Tablas salariales SC'!$K$122</f>
        <v>27680.07</v>
      </c>
      <c r="P120" s="183">
        <f>(O120+N120)*G120+'A.0_Tablas salariales SC'!$R$136*(100%-G120)</f>
        <v>3398.82</v>
      </c>
      <c r="Q120" s="184">
        <f>IF(D120=100,'A.0_Tablas salariales SC'!$G$215,IF(D120=150,'A.0_Tablas salariales SC'!$G$216,IF(D120=189,'A.0_Tablas salariales SC'!$G$217,IF(D120=400,'A.0_Tablas salariales SC'!$G$218,IF(D120=450,'A.0_Tablas salariales SC'!$G$219,IF(D120=401,'A.0_Tablas salariales SC'!$G$220,IF(D120=451,'A.0_Tablas salariales SC'!$G$221,'A.0_Tablas salariales SC'!$G$215)))))))</f>
        <v>0.34584999999999999</v>
      </c>
      <c r="R120" s="183">
        <f t="shared" si="14"/>
        <v>1175.4818970000001</v>
      </c>
      <c r="S120" s="183">
        <f t="shared" si="15"/>
        <v>0</v>
      </c>
      <c r="T120" s="179"/>
    </row>
    <row r="121" spans="1:20">
      <c r="A121" s="508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2">
        <f>'A.1. Plantilla_Subrogacion'!F121</f>
        <v>0</v>
      </c>
      <c r="H121" s="181">
        <f>'A.1.0_TablaAntigüedad_Sub'!M121</f>
        <v>130</v>
      </c>
      <c r="I121" s="183">
        <f>'A.1.0_TablaAntigüedad_Sub'!AA121</f>
        <v>527.70000000000005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13"/>
        <v>7915.5000000000009</v>
      </c>
      <c r="O121" s="183">
        <f>'A.0_Tablas salariales SC'!$K$122</f>
        <v>27680.07</v>
      </c>
      <c r="P121" s="183">
        <f>(O121+N121)*G121+'A.0_Tablas salariales SC'!$R$136*(100%-G121)</f>
        <v>3398.82</v>
      </c>
      <c r="Q121" s="184">
        <f>IF(D121=100,'A.0_Tablas salariales SC'!$G$215,IF(D121=150,'A.0_Tablas salariales SC'!$G$216,IF(D121=189,'A.0_Tablas salariales SC'!$G$217,IF(D121=400,'A.0_Tablas salariales SC'!$G$218,IF(D121=450,'A.0_Tablas salariales SC'!$G$219,IF(D121=401,'A.0_Tablas salariales SC'!$G$220,IF(D121=451,'A.0_Tablas salariales SC'!$G$221,'A.0_Tablas salariales SC'!$G$215)))))))</f>
        <v>0.34584999999999999</v>
      </c>
      <c r="R121" s="183">
        <f t="shared" si="14"/>
        <v>1175.4818970000001</v>
      </c>
      <c r="S121" s="183">
        <f t="shared" si="15"/>
        <v>0</v>
      </c>
      <c r="T121" s="179"/>
    </row>
    <row r="122" spans="1:20">
      <c r="A122" s="508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2">
        <f>'A.1. Plantilla_Subrogacion'!F122</f>
        <v>0</v>
      </c>
      <c r="H122" s="181">
        <f>'A.1.0_TablaAntigüedad_Sub'!M122</f>
        <v>130</v>
      </c>
      <c r="I122" s="183">
        <f>'A.1.0_TablaAntigüedad_Sub'!AA122</f>
        <v>527.70000000000005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13"/>
        <v>7915.5000000000009</v>
      </c>
      <c r="O122" s="183">
        <f>'A.0_Tablas salariales SC'!$K$122</f>
        <v>27680.07</v>
      </c>
      <c r="P122" s="183">
        <f>(O122+N122)*G122+'A.0_Tablas salariales SC'!$R$136*(100%-G122)</f>
        <v>3398.82</v>
      </c>
      <c r="Q122" s="184">
        <f>IF(D122=100,'A.0_Tablas salariales SC'!$G$215,IF(D122=150,'A.0_Tablas salariales SC'!$G$216,IF(D122=189,'A.0_Tablas salariales SC'!$G$217,IF(D122=400,'A.0_Tablas salariales SC'!$G$218,IF(D122=450,'A.0_Tablas salariales SC'!$G$219,IF(D122=401,'A.0_Tablas salariales SC'!$G$220,IF(D122=451,'A.0_Tablas salariales SC'!$G$221,'A.0_Tablas salariales SC'!$G$215)))))))</f>
        <v>0.34584999999999999</v>
      </c>
      <c r="R122" s="183">
        <f t="shared" si="14"/>
        <v>1175.4818970000001</v>
      </c>
      <c r="S122" s="183">
        <f t="shared" si="15"/>
        <v>0</v>
      </c>
      <c r="T122" s="179"/>
    </row>
    <row r="123" spans="1:20">
      <c r="A123" s="508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2">
        <f>'A.1. Plantilla_Subrogacion'!F123</f>
        <v>0</v>
      </c>
      <c r="H123" s="181">
        <f>'A.1.0_TablaAntigüedad_Sub'!M123</f>
        <v>130</v>
      </c>
      <c r="I123" s="183">
        <f>'A.1.0_TablaAntigüedad_Sub'!AA123</f>
        <v>527.70000000000005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13"/>
        <v>7915.5000000000009</v>
      </c>
      <c r="O123" s="183">
        <f>'A.0_Tablas salariales SC'!$K$122</f>
        <v>27680.07</v>
      </c>
      <c r="P123" s="183">
        <f>(O123+N123)*G123+'A.0_Tablas salariales SC'!$R$136*(100%-G123)</f>
        <v>3398.82</v>
      </c>
      <c r="Q123" s="184">
        <f>IF(D123=100,'A.0_Tablas salariales SC'!$G$215,IF(D123=150,'A.0_Tablas salariales SC'!$G$216,IF(D123=189,'A.0_Tablas salariales SC'!$G$217,IF(D123=400,'A.0_Tablas salariales SC'!$G$218,IF(D123=450,'A.0_Tablas salariales SC'!$G$219,IF(D123=401,'A.0_Tablas salariales SC'!$G$220,IF(D123=451,'A.0_Tablas salariales SC'!$G$221,'A.0_Tablas salariales SC'!$G$215)))))))</f>
        <v>0.34584999999999999</v>
      </c>
      <c r="R123" s="183">
        <f t="shared" ref="R123:R137" si="16">Q123*P123</f>
        <v>1175.4818970000001</v>
      </c>
      <c r="S123" s="183">
        <f t="shared" ref="S123:S137" si="17">(R123+P123)*A123</f>
        <v>0</v>
      </c>
      <c r="T123" s="179"/>
    </row>
    <row r="124" spans="1:20">
      <c r="A124" s="508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2">
        <f>'A.1. Plantilla_Subrogacion'!F124</f>
        <v>0</v>
      </c>
      <c r="H124" s="181">
        <f>'A.1.0_TablaAntigüedad_Sub'!M124</f>
        <v>130</v>
      </c>
      <c r="I124" s="183">
        <f>'A.1.0_TablaAntigüedad_Sub'!AA124</f>
        <v>527.70000000000005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13"/>
        <v>7915.5000000000009</v>
      </c>
      <c r="O124" s="183">
        <f>'A.0_Tablas salariales SC'!$K$122</f>
        <v>27680.07</v>
      </c>
      <c r="P124" s="183">
        <f>(O124+N124)*G124+'A.0_Tablas salariales SC'!$R$136*(100%-G124)</f>
        <v>3398.82</v>
      </c>
      <c r="Q124" s="184">
        <f>IF(D124=100,'A.0_Tablas salariales SC'!$G$215,IF(D124=150,'A.0_Tablas salariales SC'!$G$216,IF(D124=189,'A.0_Tablas salariales SC'!$G$217,IF(D124=400,'A.0_Tablas salariales SC'!$G$218,IF(D124=450,'A.0_Tablas salariales SC'!$G$219,IF(D124=401,'A.0_Tablas salariales SC'!$G$220,IF(D124=451,'A.0_Tablas salariales SC'!$G$221,'A.0_Tablas salariales SC'!$G$215)))))))</f>
        <v>0.34584999999999999</v>
      </c>
      <c r="R124" s="183">
        <f t="shared" si="16"/>
        <v>1175.4818970000001</v>
      </c>
      <c r="S124" s="183">
        <f t="shared" si="17"/>
        <v>0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'A.1.0_TablaAntigüedad_Sub'!M125</f>
        <v>130</v>
      </c>
      <c r="I125" s="183">
        <f>'A.1.0_TablaAntigüedad_Sub'!AA125</f>
        <v>527.70000000000005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13"/>
        <v>7915.5000000000009</v>
      </c>
      <c r="O125" s="183">
        <f>'A.0_Tablas salariales SC'!$K$122</f>
        <v>27680.07</v>
      </c>
      <c r="P125" s="183">
        <f>(O125+N125)*G125+'A.0_Tablas salariales SC'!$R$136*(100%-G125)</f>
        <v>3398.82</v>
      </c>
      <c r="Q125" s="184">
        <f>IF(D125=100,'A.0_Tablas salariales SC'!$G$215,IF(D125=150,'A.0_Tablas salariales SC'!$G$216,IF(D125=189,'A.0_Tablas salariales SC'!$G$217,IF(D125=400,'A.0_Tablas salariales SC'!$G$218,IF(D125=450,'A.0_Tablas salariales SC'!$G$219,IF(D125=401,'A.0_Tablas salariales SC'!$G$220,IF(D125=451,'A.0_Tablas salariales SC'!$G$221,'A.0_Tablas salariales SC'!$G$215)))))))</f>
        <v>0.34584999999999999</v>
      </c>
      <c r="R125" s="183">
        <f t="shared" si="16"/>
        <v>1175.4818970000001</v>
      </c>
      <c r="S125" s="183">
        <f t="shared" si="17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'A.1.0_TablaAntigüedad_Sub'!M126</f>
        <v>130</v>
      </c>
      <c r="I126" s="183">
        <f>'A.1.0_TablaAntigüedad_Sub'!AA126</f>
        <v>527.70000000000005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13"/>
        <v>7915.5000000000009</v>
      </c>
      <c r="O126" s="183">
        <f>'A.0_Tablas salariales SC'!$K$122</f>
        <v>27680.07</v>
      </c>
      <c r="P126" s="183">
        <f>(O126+N126)*G126+'A.0_Tablas salariales SC'!$R$136*(100%-G126)</f>
        <v>3398.82</v>
      </c>
      <c r="Q126" s="184">
        <f>IF(D126=100,'A.0_Tablas salariales SC'!$G$215,IF(D126=150,'A.0_Tablas salariales SC'!$G$216,IF(D126=189,'A.0_Tablas salariales SC'!$G$217,IF(D126=400,'A.0_Tablas salariales SC'!$G$218,IF(D126=450,'A.0_Tablas salariales SC'!$G$219,IF(D126=401,'A.0_Tablas salariales SC'!$G$220,IF(D126=451,'A.0_Tablas salariales SC'!$G$221,'A.0_Tablas salariales SC'!$G$215)))))))</f>
        <v>0.34584999999999999</v>
      </c>
      <c r="R126" s="183">
        <f t="shared" si="16"/>
        <v>1175.4818970000001</v>
      </c>
      <c r="S126" s="183">
        <f t="shared" si="17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'A.1.0_TablaAntigüedad_Sub'!M127</f>
        <v>130</v>
      </c>
      <c r="I127" s="183">
        <f>'A.1.0_TablaAntigüedad_Sub'!AA127</f>
        <v>527.70000000000005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13"/>
        <v>7915.5000000000009</v>
      </c>
      <c r="O127" s="183">
        <f>'A.0_Tablas salariales SC'!$K$122</f>
        <v>27680.07</v>
      </c>
      <c r="P127" s="183">
        <f>(O127+N127)*G127+'A.0_Tablas salariales SC'!$R$136*(100%-G127)</f>
        <v>3398.82</v>
      </c>
      <c r="Q127" s="184">
        <f>IF(D127=100,'A.0_Tablas salariales SC'!$G$215,IF(D127=150,'A.0_Tablas salariales SC'!$G$216,IF(D127=189,'A.0_Tablas salariales SC'!$G$217,IF(D127=400,'A.0_Tablas salariales SC'!$G$218,IF(D127=450,'A.0_Tablas salariales SC'!$G$219,IF(D127=401,'A.0_Tablas salariales SC'!$G$220,IF(D127=451,'A.0_Tablas salariales SC'!$G$221,'A.0_Tablas salariales SC'!$G$215)))))))</f>
        <v>0.34584999999999999</v>
      </c>
      <c r="R127" s="183">
        <f t="shared" si="16"/>
        <v>1175.4818970000001</v>
      </c>
      <c r="S127" s="183">
        <f t="shared" si="17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'A.1.0_TablaAntigüedad_Sub'!M128</f>
        <v>130</v>
      </c>
      <c r="I128" s="183">
        <f>'A.1.0_TablaAntigüedad_Sub'!AA128</f>
        <v>527.70000000000005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13"/>
        <v>7915.5000000000009</v>
      </c>
      <c r="O128" s="183">
        <f>'A.0_Tablas salariales SC'!$K$122</f>
        <v>27680.07</v>
      </c>
      <c r="P128" s="183">
        <f>(O128+N128)*G128+'A.0_Tablas salariales SC'!$R$136*(100%-G128)</f>
        <v>3398.82</v>
      </c>
      <c r="Q128" s="184">
        <f>IF(D128=100,'A.0_Tablas salariales SC'!$G$215,IF(D128=150,'A.0_Tablas salariales SC'!$G$216,IF(D128=189,'A.0_Tablas salariales SC'!$G$217,IF(D128=400,'A.0_Tablas salariales SC'!$G$218,IF(D128=450,'A.0_Tablas salariales SC'!$G$219,IF(D128=401,'A.0_Tablas salariales SC'!$G$220,IF(D128=451,'A.0_Tablas salariales SC'!$G$221,'A.0_Tablas salariales SC'!$G$215)))))))</f>
        <v>0.34584999999999999</v>
      </c>
      <c r="R128" s="183">
        <f t="shared" si="16"/>
        <v>1175.4818970000001</v>
      </c>
      <c r="S128" s="183">
        <f t="shared" si="17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'A.1.0_TablaAntigüedad_Sub'!M129</f>
        <v>130</v>
      </c>
      <c r="I129" s="183">
        <f>'A.1.0_TablaAntigüedad_Sub'!AA129</f>
        <v>527.70000000000005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13"/>
        <v>7915.5000000000009</v>
      </c>
      <c r="O129" s="183">
        <f>'A.0_Tablas salariales SC'!$K$122</f>
        <v>27680.07</v>
      </c>
      <c r="P129" s="183">
        <f>(O129+N129)*G129+'A.0_Tablas salariales SC'!$R$136*(100%-G129)</f>
        <v>3398.82</v>
      </c>
      <c r="Q129" s="184">
        <f>IF(D129=100,'A.0_Tablas salariales SC'!$G$215,IF(D129=150,'A.0_Tablas salariales SC'!$G$216,IF(D129=189,'A.0_Tablas salariales SC'!$G$217,IF(D129=400,'A.0_Tablas salariales SC'!$G$218,IF(D129=450,'A.0_Tablas salariales SC'!$G$219,IF(D129=401,'A.0_Tablas salariales SC'!$G$220,IF(D129=451,'A.0_Tablas salariales SC'!$G$221,'A.0_Tablas salariales SC'!$G$215)))))))</f>
        <v>0.34584999999999999</v>
      </c>
      <c r="R129" s="183">
        <f t="shared" si="16"/>
        <v>1175.4818970000001</v>
      </c>
      <c r="S129" s="183">
        <f t="shared" si="17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'A.1.0_TablaAntigüedad_Sub'!M130</f>
        <v>130</v>
      </c>
      <c r="I130" s="183">
        <f>'A.1.0_TablaAntigüedad_Sub'!AA130</f>
        <v>527.70000000000005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13"/>
        <v>7915.5000000000009</v>
      </c>
      <c r="O130" s="183">
        <f>'A.0_Tablas salariales SC'!$K$122</f>
        <v>27680.07</v>
      </c>
      <c r="P130" s="183">
        <f>(O130+N130)*G130+'A.0_Tablas salariales SC'!$R$136*(100%-G130)</f>
        <v>3398.82</v>
      </c>
      <c r="Q130" s="184">
        <f>IF(D130=100,'A.0_Tablas salariales SC'!$G$215,IF(D130=150,'A.0_Tablas salariales SC'!$G$216,IF(D130=189,'A.0_Tablas salariales SC'!$G$217,IF(D130=400,'A.0_Tablas salariales SC'!$G$218,IF(D130=450,'A.0_Tablas salariales SC'!$G$219,IF(D130=401,'A.0_Tablas salariales SC'!$G$220,IF(D130=451,'A.0_Tablas salariales SC'!$G$221,'A.0_Tablas salariales SC'!$G$215)))))))</f>
        <v>0.34584999999999999</v>
      </c>
      <c r="R130" s="183">
        <f t="shared" si="16"/>
        <v>1175.4818970000001</v>
      </c>
      <c r="S130" s="183">
        <f t="shared" si="17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'A.1.0_TablaAntigüedad_Sub'!M131</f>
        <v>130</v>
      </c>
      <c r="I131" s="183">
        <f>'A.1.0_TablaAntigüedad_Sub'!AA131</f>
        <v>527.70000000000005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13"/>
        <v>7915.5000000000009</v>
      </c>
      <c r="O131" s="183">
        <f>'A.0_Tablas salariales SC'!$K$122</f>
        <v>27680.07</v>
      </c>
      <c r="P131" s="183">
        <f>(O131+N131)*G131+'A.0_Tablas salariales SC'!$R$136*(100%-G131)</f>
        <v>3398.82</v>
      </c>
      <c r="Q131" s="184">
        <f>IF(D131=100,'A.0_Tablas salariales SC'!$G$215,IF(D131=150,'A.0_Tablas salariales SC'!$G$216,IF(D131=189,'A.0_Tablas salariales SC'!$G$217,IF(D131=400,'A.0_Tablas salariales SC'!$G$218,IF(D131=450,'A.0_Tablas salariales SC'!$G$219,IF(D131=401,'A.0_Tablas salariales SC'!$G$220,IF(D131=451,'A.0_Tablas salariales SC'!$G$221,'A.0_Tablas salariales SC'!$G$215)))))))</f>
        <v>0.34584999999999999</v>
      </c>
      <c r="R131" s="183">
        <f t="shared" si="16"/>
        <v>1175.4818970000001</v>
      </c>
      <c r="S131" s="183">
        <f t="shared" si="17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'A.1.0_TablaAntigüedad_Sub'!M132</f>
        <v>130</v>
      </c>
      <c r="I132" s="183">
        <f>'A.1.0_TablaAntigüedad_Sub'!AA132</f>
        <v>527.70000000000005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13"/>
        <v>7915.5000000000009</v>
      </c>
      <c r="O132" s="183">
        <f>'A.0_Tablas salariales SC'!$K$122</f>
        <v>27680.07</v>
      </c>
      <c r="P132" s="183">
        <f>(O132+N132)*G132+'A.0_Tablas salariales SC'!$R$136*(100%-G132)</f>
        <v>3398.82</v>
      </c>
      <c r="Q132" s="184">
        <f>IF(D132=100,'A.0_Tablas salariales SC'!$G$215,IF(D132=150,'A.0_Tablas salariales SC'!$G$216,IF(D132=189,'A.0_Tablas salariales SC'!$G$217,IF(D132=400,'A.0_Tablas salariales SC'!$G$218,IF(D132=450,'A.0_Tablas salariales SC'!$G$219,IF(D132=401,'A.0_Tablas salariales SC'!$G$220,IF(D132=451,'A.0_Tablas salariales SC'!$G$221,'A.0_Tablas salariales SC'!$G$215)))))))</f>
        <v>0.34584999999999999</v>
      </c>
      <c r="R132" s="183">
        <f t="shared" si="16"/>
        <v>1175.4818970000001</v>
      </c>
      <c r="S132" s="183">
        <f t="shared" si="17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'A.1.0_TablaAntigüedad_Sub'!M133</f>
        <v>130</v>
      </c>
      <c r="I133" s="183">
        <f>'A.1.0_TablaAntigüedad_Sub'!AA133</f>
        <v>527.70000000000005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13"/>
        <v>7915.5000000000009</v>
      </c>
      <c r="O133" s="183">
        <f>'A.0_Tablas salariales SC'!$K$122</f>
        <v>27680.07</v>
      </c>
      <c r="P133" s="183">
        <f>(O133+N133)*G133+'A.0_Tablas salariales SC'!$R$136*(100%-G133)</f>
        <v>3398.82</v>
      </c>
      <c r="Q133" s="184">
        <f>IF(D133=100,'A.0_Tablas salariales SC'!$G$215,IF(D133=150,'A.0_Tablas salariales SC'!$G$216,IF(D133=189,'A.0_Tablas salariales SC'!$G$217,IF(D133=400,'A.0_Tablas salariales SC'!$G$218,IF(D133=450,'A.0_Tablas salariales SC'!$G$219,IF(D133=401,'A.0_Tablas salariales SC'!$G$220,IF(D133=451,'A.0_Tablas salariales SC'!$G$221,'A.0_Tablas salariales SC'!$G$215)))))))</f>
        <v>0.34584999999999999</v>
      </c>
      <c r="R133" s="183">
        <f t="shared" si="16"/>
        <v>1175.4818970000001</v>
      </c>
      <c r="S133" s="183">
        <f t="shared" si="17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'A.1.0_TablaAntigüedad_Sub'!M134</f>
        <v>130</v>
      </c>
      <c r="I134" s="183">
        <f>'A.1.0_TablaAntigüedad_Sub'!AA134</f>
        <v>527.70000000000005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si="13"/>
        <v>7915.5000000000009</v>
      </c>
      <c r="O134" s="183">
        <f>'A.0_Tablas salariales SC'!$K$122</f>
        <v>27680.07</v>
      </c>
      <c r="P134" s="183">
        <f>(O134+N134)*G134+'A.0_Tablas salariales SC'!$R$136*(100%-G134)</f>
        <v>3398.82</v>
      </c>
      <c r="Q134" s="184">
        <f>IF(D134=100,'A.0_Tablas salariales SC'!$G$215,IF(D134=150,'A.0_Tablas salariales SC'!$G$216,IF(D134=189,'A.0_Tablas salariales SC'!$G$217,IF(D134=400,'A.0_Tablas salariales SC'!$G$218,IF(D134=450,'A.0_Tablas salariales SC'!$G$219,IF(D134=401,'A.0_Tablas salariales SC'!$G$220,IF(D134=451,'A.0_Tablas salariales SC'!$G$221,'A.0_Tablas salariales SC'!$G$215)))))))</f>
        <v>0.34584999999999999</v>
      </c>
      <c r="R134" s="183">
        <f t="shared" si="16"/>
        <v>1175.4818970000001</v>
      </c>
      <c r="S134" s="183">
        <f t="shared" si="17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'A.1.0_TablaAntigüedad_Sub'!M135</f>
        <v>130</v>
      </c>
      <c r="I135" s="183">
        <f>'A.1.0_TablaAntigüedad_Sub'!AA135</f>
        <v>527.70000000000005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3"/>
        <v>7915.5000000000009</v>
      </c>
      <c r="O135" s="183">
        <f>'A.0_Tablas salariales SC'!$K$122</f>
        <v>27680.07</v>
      </c>
      <c r="P135" s="183">
        <f>(O135+N135)*G135+'A.0_Tablas salariales SC'!$R$136*(100%-G135)</f>
        <v>3398.82</v>
      </c>
      <c r="Q135" s="184">
        <f>IF(D135=100,'A.0_Tablas salariales SC'!$G$215,IF(D135=150,'A.0_Tablas salariales SC'!$G$216,IF(D135=189,'A.0_Tablas salariales SC'!$G$217,IF(D135=400,'A.0_Tablas salariales SC'!$G$218,IF(D135=450,'A.0_Tablas salariales SC'!$G$219,IF(D135=401,'A.0_Tablas salariales SC'!$G$220,IF(D135=451,'A.0_Tablas salariales SC'!$G$221,'A.0_Tablas salariales SC'!$G$215)))))))</f>
        <v>0.34584999999999999</v>
      </c>
      <c r="R135" s="183">
        <f t="shared" si="16"/>
        <v>1175.4818970000001</v>
      </c>
      <c r="S135" s="183">
        <f t="shared" si="17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'A.1.0_TablaAntigüedad_Sub'!M136</f>
        <v>130</v>
      </c>
      <c r="I136" s="183">
        <f>'A.1.0_TablaAntigüedad_Sub'!AA136</f>
        <v>527.70000000000005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3"/>
        <v>7915.5000000000009</v>
      </c>
      <c r="O136" s="183">
        <f>'A.0_Tablas salariales SC'!$K$122</f>
        <v>27680.07</v>
      </c>
      <c r="P136" s="183">
        <f>(O136+N136)*G136+'A.0_Tablas salariales SC'!$R$136*(100%-G136)</f>
        <v>3398.82</v>
      </c>
      <c r="Q136" s="184">
        <f>IF(D136=100,'A.0_Tablas salariales SC'!$G$215,IF(D136=150,'A.0_Tablas salariales SC'!$G$216,IF(D136=189,'A.0_Tablas salariales SC'!$G$217,IF(D136=400,'A.0_Tablas salariales SC'!$G$218,IF(D136=450,'A.0_Tablas salariales SC'!$G$219,IF(D136=401,'A.0_Tablas salariales SC'!$G$220,IF(D136=451,'A.0_Tablas salariales SC'!$G$221,'A.0_Tablas salariales SC'!$G$215)))))))</f>
        <v>0.34584999999999999</v>
      </c>
      <c r="R136" s="183">
        <f t="shared" si="16"/>
        <v>1175.4818970000001</v>
      </c>
      <c r="S136" s="183">
        <f t="shared" si="17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'A.1.0_TablaAntigüedad_Sub'!M137</f>
        <v>130</v>
      </c>
      <c r="I137" s="183">
        <f>'A.1.0_TablaAntigüedad_Sub'!AA137</f>
        <v>527.70000000000005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3"/>
        <v>7915.5000000000009</v>
      </c>
      <c r="O137" s="183">
        <f>'A.0_Tablas salariales SC'!$K$122</f>
        <v>27680.07</v>
      </c>
      <c r="P137" s="183">
        <f>(O137+N137)*G137+'A.0_Tablas salariales SC'!$R$136*(100%-G137)</f>
        <v>3398.82</v>
      </c>
      <c r="Q137" s="184">
        <f>IF(D137=100,'A.0_Tablas salariales SC'!$G$215,IF(D137=150,'A.0_Tablas salariales SC'!$G$216,IF(D137=189,'A.0_Tablas salariales SC'!$G$217,IF(D137=400,'A.0_Tablas salariales SC'!$G$218,IF(D137=450,'A.0_Tablas salariales SC'!$G$219,IF(D137=401,'A.0_Tablas salariales SC'!$G$220,IF(D137=451,'A.0_Tablas salariales SC'!$G$221,'A.0_Tablas salariales SC'!$G$215)))))))</f>
        <v>0.34584999999999999</v>
      </c>
      <c r="R137" s="183">
        <f t="shared" si="16"/>
        <v>1175.4818970000001</v>
      </c>
      <c r="S137" s="183">
        <f t="shared" si="17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'A.1.0_TablaAntigüedad_Sub'!M138</f>
        <v>130</v>
      </c>
      <c r="I138" s="183">
        <f>'A.1.0_TablaAntigüedad_Sub'!AA138</f>
        <v>527.70000000000005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3"/>
        <v>7915.5000000000009</v>
      </c>
      <c r="O138" s="183">
        <f>'A.0_Tablas salariales SC'!$K$122</f>
        <v>27680.07</v>
      </c>
      <c r="P138" s="183">
        <f>(O138+N138)*G138+'A.0_Tablas salariales SC'!$R$136*(100%-G138)</f>
        <v>3398.82</v>
      </c>
      <c r="Q138" s="184">
        <f>IF(D138=100,'A.0_Tablas salariales SC'!$G$215,IF(D138=150,'A.0_Tablas salariales SC'!$G$216,IF(D138=189,'A.0_Tablas salariales SC'!$G$217,IF(D138=400,'A.0_Tablas salariales SC'!$G$218,IF(D138=450,'A.0_Tablas salariales SC'!$G$219,IF(D138=401,'A.0_Tablas salariales SC'!$G$220,IF(D138=451,'A.0_Tablas salariales SC'!$G$221,'A.0_Tablas salariales SC'!$G$215)))))))</f>
        <v>0.34584999999999999</v>
      </c>
      <c r="R138" s="183">
        <f t="shared" si="14"/>
        <v>1175.4818970000001</v>
      </c>
      <c r="S138" s="183">
        <f t="shared" si="15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0</v>
      </c>
    </row>
    <row r="140" spans="1:20">
      <c r="A140" s="508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2">
        <f>'A.1. Plantilla_Subrogacion'!F140</f>
        <v>0</v>
      </c>
      <c r="H140" s="181">
        <f>'A.1.0_TablaAntigüedad_Sub'!M140</f>
        <v>130</v>
      </c>
      <c r="I140" s="183">
        <f>'A.1.0_TablaAntigüedad_Sub'!AA140</f>
        <v>527.70000000000005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ref="N140:N151" si="18">I140*$I$4+J140*$J$4+K140*$K$4+$M$4*M140+L140*$L$4</f>
        <v>7915.5000000000009</v>
      </c>
      <c r="O140" s="183">
        <f>'A.0_Tablas salariales SC'!$K$122</f>
        <v>27680.07</v>
      </c>
      <c r="P140" s="183">
        <f>(O140+N140)*G140+'A.0_Tablas salariales SC'!$R$136*(100%-G140)</f>
        <v>3398.82</v>
      </c>
      <c r="Q140" s="492">
        <f>IF(D140=100,'A.0_Tablas salariales SC'!$G$227,IF(D140=150,'A.0_Tablas salariales SC'!$G$228,IF(D140=189,'A.0_Tablas salariales SC'!$G$229,IF(D140=400,'A.0_Tablas salariales SC'!$G$230,IF(D140=450,'A.0_Tablas salariales SC'!$G$231,IF(D140=401,'A.0_Tablas salariales SC'!$G$232,IF(D140=451,'A.0_Tablas salariales SC'!$G$233,'A.0_Tablas salariales SC'!$G$227)))))))</f>
        <v>0.37685000000000002</v>
      </c>
      <c r="R140" s="183">
        <f t="shared" si="14"/>
        <v>1280.845317</v>
      </c>
      <c r="S140" s="183">
        <f t="shared" si="15"/>
        <v>0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'A.1.0_TablaAntigüedad_Sub'!M141</f>
        <v>130</v>
      </c>
      <c r="I141" s="183">
        <f>'A.1.0_TablaAntigüedad_Sub'!AA141</f>
        <v>527.70000000000005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8"/>
        <v>7915.5000000000009</v>
      </c>
      <c r="O141" s="183">
        <f>'A.0_Tablas salariales SC'!$K$122</f>
        <v>27680.07</v>
      </c>
      <c r="P141" s="183">
        <f>(O141+N141)*G141+'A.0_Tablas salariales SC'!$R$136*(100%-G141)</f>
        <v>3398.82</v>
      </c>
      <c r="Q141" s="492">
        <f>IF(D141=100,'A.0_Tablas salariales SC'!$G$227,IF(D141=150,'A.0_Tablas salariales SC'!$G$228,IF(D141=189,'A.0_Tablas salariales SC'!$G$229,IF(D141=400,'A.0_Tablas salariales SC'!$G$230,IF(D141=450,'A.0_Tablas salariales SC'!$G$231,IF(D141=401,'A.0_Tablas salariales SC'!$G$232,IF(D141=451,'A.0_Tablas salariales SC'!$G$233,'A.0_Tablas salariales SC'!$G$227)))))))</f>
        <v>0.37685000000000002</v>
      </c>
      <c r="R141" s="183">
        <f t="shared" si="14"/>
        <v>1280.845317</v>
      </c>
      <c r="S141" s="183">
        <f t="shared" si="15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'A.1.0_TablaAntigüedad_Sub'!M142</f>
        <v>130</v>
      </c>
      <c r="I142" s="183">
        <f>'A.1.0_TablaAntigüedad_Sub'!AA142</f>
        <v>527.70000000000005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8"/>
        <v>7915.5000000000009</v>
      </c>
      <c r="O142" s="183">
        <f>'A.0_Tablas salariales SC'!$K$122</f>
        <v>27680.07</v>
      </c>
      <c r="P142" s="183">
        <f>(O142+N142)*G142+'A.0_Tablas salariales SC'!$R$136*(100%-G142)</f>
        <v>3398.82</v>
      </c>
      <c r="Q142" s="492">
        <f>IF(D142=100,'A.0_Tablas salariales SC'!$G$227,IF(D142=150,'A.0_Tablas salariales SC'!$G$228,IF(D142=189,'A.0_Tablas salariales SC'!$G$229,IF(D142=400,'A.0_Tablas salariales SC'!$G$230,IF(D142=450,'A.0_Tablas salariales SC'!$G$231,IF(D142=401,'A.0_Tablas salariales SC'!$G$232,IF(D142=451,'A.0_Tablas salariales SC'!$G$233,'A.0_Tablas salariales SC'!$G$227)))))))</f>
        <v>0.37685000000000002</v>
      </c>
      <c r="R142" s="183">
        <f t="shared" si="14"/>
        <v>1280.845317</v>
      </c>
      <c r="S142" s="183">
        <f t="shared" si="15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'A.1.0_TablaAntigüedad_Sub'!M143</f>
        <v>130</v>
      </c>
      <c r="I143" s="183">
        <f>'A.1.0_TablaAntigüedad_Sub'!AA143</f>
        <v>527.70000000000005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8"/>
        <v>7915.5000000000009</v>
      </c>
      <c r="O143" s="183">
        <f>'A.0_Tablas salariales SC'!$K$122</f>
        <v>27680.07</v>
      </c>
      <c r="P143" s="183">
        <f>(O143+N143)*G143+'A.0_Tablas salariales SC'!$R$136*(100%-G143)</f>
        <v>3398.82</v>
      </c>
      <c r="Q143" s="492">
        <f>IF(D143=100,'A.0_Tablas salariales SC'!$G$227,IF(D143=150,'A.0_Tablas salariales SC'!$G$228,IF(D143=189,'A.0_Tablas salariales SC'!$G$229,IF(D143=400,'A.0_Tablas salariales SC'!$G$230,IF(D143=450,'A.0_Tablas salariales SC'!$G$231,IF(D143=401,'A.0_Tablas salariales SC'!$G$232,IF(D143=451,'A.0_Tablas salariales SC'!$G$233,'A.0_Tablas salariales SC'!$G$227)))))))</f>
        <v>0.37685000000000002</v>
      </c>
      <c r="R143" s="183">
        <f t="shared" ref="R143:R150" si="19">Q143*P143</f>
        <v>1280.845317</v>
      </c>
      <c r="S143" s="183">
        <f t="shared" ref="S143:S150" si="20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'A.1.0_TablaAntigüedad_Sub'!M144</f>
        <v>130</v>
      </c>
      <c r="I144" s="183">
        <f>'A.1.0_TablaAntigüedad_Sub'!AA144</f>
        <v>527.70000000000005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8"/>
        <v>7915.5000000000009</v>
      </c>
      <c r="O144" s="183">
        <f>'A.0_Tablas salariales SC'!$K$122</f>
        <v>27680.07</v>
      </c>
      <c r="P144" s="183">
        <f>(O144+N144)*G144+'A.0_Tablas salariales SC'!$R$136*(100%-G144)</f>
        <v>3398.82</v>
      </c>
      <c r="Q144" s="492">
        <f>IF(D144=100,'A.0_Tablas salariales SC'!$G$227,IF(D144=150,'A.0_Tablas salariales SC'!$G$228,IF(D144=189,'A.0_Tablas salariales SC'!$G$229,IF(D144=400,'A.0_Tablas salariales SC'!$G$230,IF(D144=450,'A.0_Tablas salariales SC'!$G$231,IF(D144=401,'A.0_Tablas salariales SC'!$G$232,IF(D144=451,'A.0_Tablas salariales SC'!$G$233,'A.0_Tablas salariales SC'!$G$227)))))))</f>
        <v>0.37685000000000002</v>
      </c>
      <c r="R144" s="183">
        <f t="shared" si="19"/>
        <v>1280.845317</v>
      </c>
      <c r="S144" s="183">
        <f t="shared" si="20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'A.1.0_TablaAntigüedad_Sub'!M145</f>
        <v>130</v>
      </c>
      <c r="I145" s="183">
        <f>'A.1.0_TablaAntigüedad_Sub'!AA145</f>
        <v>527.70000000000005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8"/>
        <v>7915.5000000000009</v>
      </c>
      <c r="O145" s="183">
        <f>'A.0_Tablas salariales SC'!$K$122</f>
        <v>27680.07</v>
      </c>
      <c r="P145" s="183">
        <f>(O145+N145)*G145+'A.0_Tablas salariales SC'!$R$136*(100%-G145)</f>
        <v>3398.82</v>
      </c>
      <c r="Q145" s="492">
        <f>IF(D145=100,'A.0_Tablas salariales SC'!$G$227,IF(D145=150,'A.0_Tablas salariales SC'!$G$228,IF(D145=189,'A.0_Tablas salariales SC'!$G$229,IF(D145=400,'A.0_Tablas salariales SC'!$G$230,IF(D145=450,'A.0_Tablas salariales SC'!$G$231,IF(D145=401,'A.0_Tablas salariales SC'!$G$232,IF(D145=451,'A.0_Tablas salariales SC'!$G$233,'A.0_Tablas salariales SC'!$G$227)))))))</f>
        <v>0.37685000000000002</v>
      </c>
      <c r="R145" s="183">
        <f t="shared" si="19"/>
        <v>1280.845317</v>
      </c>
      <c r="S145" s="183">
        <f t="shared" si="20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'A.1.0_TablaAntigüedad_Sub'!M146</f>
        <v>130</v>
      </c>
      <c r="I146" s="183">
        <f>'A.1.0_TablaAntigüedad_Sub'!AA146</f>
        <v>527.70000000000005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8"/>
        <v>7915.5000000000009</v>
      </c>
      <c r="O146" s="183">
        <f>'A.0_Tablas salariales SC'!$K$122</f>
        <v>27680.07</v>
      </c>
      <c r="P146" s="183">
        <f>(O146+N146)*G146+'A.0_Tablas salariales SC'!$R$136*(100%-G146)</f>
        <v>3398.82</v>
      </c>
      <c r="Q146" s="492">
        <f>IF(D146=100,'A.0_Tablas salariales SC'!$G$227,IF(D146=150,'A.0_Tablas salariales SC'!$G$228,IF(D146=189,'A.0_Tablas salariales SC'!$G$229,IF(D146=400,'A.0_Tablas salariales SC'!$G$230,IF(D146=450,'A.0_Tablas salariales SC'!$G$231,IF(D146=401,'A.0_Tablas salariales SC'!$G$232,IF(D146=451,'A.0_Tablas salariales SC'!$G$233,'A.0_Tablas salariales SC'!$G$227)))))))</f>
        <v>0.37685000000000002</v>
      </c>
      <c r="R146" s="183">
        <f t="shared" si="19"/>
        <v>1280.845317</v>
      </c>
      <c r="S146" s="183">
        <f t="shared" si="20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'A.1.0_TablaAntigüedad_Sub'!M147</f>
        <v>130</v>
      </c>
      <c r="I147" s="183">
        <f>'A.1.0_TablaAntigüedad_Sub'!AA147</f>
        <v>527.70000000000005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8"/>
        <v>7915.5000000000009</v>
      </c>
      <c r="O147" s="183">
        <f>'A.0_Tablas salariales SC'!$K$122</f>
        <v>27680.07</v>
      </c>
      <c r="P147" s="183">
        <f>(O147+N147)*G147+'A.0_Tablas salariales SC'!$R$136*(100%-G147)</f>
        <v>3398.82</v>
      </c>
      <c r="Q147" s="492">
        <f>IF(D147=100,'A.0_Tablas salariales SC'!$G$227,IF(D147=150,'A.0_Tablas salariales SC'!$G$228,IF(D147=189,'A.0_Tablas salariales SC'!$G$229,IF(D147=400,'A.0_Tablas salariales SC'!$G$230,IF(D147=450,'A.0_Tablas salariales SC'!$G$231,IF(D147=401,'A.0_Tablas salariales SC'!$G$232,IF(D147=451,'A.0_Tablas salariales SC'!$G$233,'A.0_Tablas salariales SC'!$G$227)))))))</f>
        <v>0.37685000000000002</v>
      </c>
      <c r="R147" s="183">
        <f t="shared" si="19"/>
        <v>1280.845317</v>
      </c>
      <c r="S147" s="183">
        <f t="shared" si="20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'A.1.0_TablaAntigüedad_Sub'!M148</f>
        <v>130</v>
      </c>
      <c r="I148" s="183">
        <f>'A.1.0_TablaAntigüedad_Sub'!AA148</f>
        <v>527.70000000000005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8"/>
        <v>7915.5000000000009</v>
      </c>
      <c r="O148" s="183">
        <f>'A.0_Tablas salariales SC'!$K$122</f>
        <v>27680.07</v>
      </c>
      <c r="P148" s="183">
        <f>(O148+N148)*G148+'A.0_Tablas salariales SC'!$R$136*(100%-G148)</f>
        <v>3398.82</v>
      </c>
      <c r="Q148" s="492">
        <f>IF(D148=100,'A.0_Tablas salariales SC'!$G$227,IF(D148=150,'A.0_Tablas salariales SC'!$G$228,IF(D148=189,'A.0_Tablas salariales SC'!$G$229,IF(D148=400,'A.0_Tablas salariales SC'!$G$230,IF(D148=450,'A.0_Tablas salariales SC'!$G$231,IF(D148=401,'A.0_Tablas salariales SC'!$G$232,IF(D148=451,'A.0_Tablas salariales SC'!$G$233,'A.0_Tablas salariales SC'!$G$227)))))))</f>
        <v>0.37685000000000002</v>
      </c>
      <c r="R148" s="183">
        <f t="shared" si="19"/>
        <v>1280.845317</v>
      </c>
      <c r="S148" s="183">
        <f t="shared" si="20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'A.1.0_TablaAntigüedad_Sub'!M149</f>
        <v>130</v>
      </c>
      <c r="I149" s="183">
        <f>'A.1.0_TablaAntigüedad_Sub'!AA149</f>
        <v>527.70000000000005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8"/>
        <v>7915.5000000000009</v>
      </c>
      <c r="O149" s="183">
        <f>'A.0_Tablas salariales SC'!$K$122</f>
        <v>27680.07</v>
      </c>
      <c r="P149" s="183">
        <f>(O149+N149)*G149+'A.0_Tablas salariales SC'!$R$136*(100%-G149)</f>
        <v>3398.82</v>
      </c>
      <c r="Q149" s="492">
        <f>IF(D149=100,'A.0_Tablas salariales SC'!$G$227,IF(D149=150,'A.0_Tablas salariales SC'!$G$228,IF(D149=189,'A.0_Tablas salariales SC'!$G$229,IF(D149=400,'A.0_Tablas salariales SC'!$G$230,IF(D149=450,'A.0_Tablas salariales SC'!$G$231,IF(D149=401,'A.0_Tablas salariales SC'!$G$232,IF(D149=451,'A.0_Tablas salariales SC'!$G$233,'A.0_Tablas salariales SC'!$G$227)))))))</f>
        <v>0.37685000000000002</v>
      </c>
      <c r="R149" s="183">
        <f t="shared" si="19"/>
        <v>1280.845317</v>
      </c>
      <c r="S149" s="183">
        <f t="shared" si="20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'A.1.0_TablaAntigüedad_Sub'!M150</f>
        <v>130</v>
      </c>
      <c r="I150" s="183">
        <f>'A.1.0_TablaAntigüedad_Sub'!AA150</f>
        <v>527.70000000000005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8"/>
        <v>7915.5000000000009</v>
      </c>
      <c r="O150" s="183">
        <f>'A.0_Tablas salariales SC'!$K$122</f>
        <v>27680.07</v>
      </c>
      <c r="P150" s="183">
        <f>(O150+N150)*G150+'A.0_Tablas salariales SC'!$R$136*(100%-G150)</f>
        <v>3398.82</v>
      </c>
      <c r="Q150" s="492">
        <f>IF(D150=100,'A.0_Tablas salariales SC'!$G$227,IF(D150=150,'A.0_Tablas salariales SC'!$G$228,IF(D150=189,'A.0_Tablas salariales SC'!$G$229,IF(D150=400,'A.0_Tablas salariales SC'!$G$230,IF(D150=450,'A.0_Tablas salariales SC'!$G$231,IF(D150=401,'A.0_Tablas salariales SC'!$G$232,IF(D150=451,'A.0_Tablas salariales SC'!$G$233,'A.0_Tablas salariales SC'!$G$227)))))))</f>
        <v>0.37685000000000002</v>
      </c>
      <c r="R150" s="183">
        <f t="shared" si="19"/>
        <v>1280.845317</v>
      </c>
      <c r="S150" s="183">
        <f t="shared" si="20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'A.1.0_TablaAntigüedad_Sub'!M151</f>
        <v>130</v>
      </c>
      <c r="I151" s="183">
        <f>'A.1.0_TablaAntigüedad_Sub'!AA151</f>
        <v>527.70000000000005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8"/>
        <v>7915.5000000000009</v>
      </c>
      <c r="O151" s="183">
        <f>'A.0_Tablas salariales SC'!$K$122</f>
        <v>27680.07</v>
      </c>
      <c r="P151" s="183">
        <f>(O151+N151)*G151+'A.0_Tablas salariales SC'!$R$136*(100%-G151)</f>
        <v>3398.82</v>
      </c>
      <c r="Q151" s="492">
        <f>IF(D151=100,'A.0_Tablas salariales SC'!$G$227,IF(D151=150,'A.0_Tablas salariales SC'!$G$228,IF(D151=189,'A.0_Tablas salariales SC'!$G$229,IF(D151=400,'A.0_Tablas salariales SC'!$G$230,IF(D151=450,'A.0_Tablas salariales SC'!$G$231,IF(D151=401,'A.0_Tablas salariales SC'!$G$232,IF(D151=451,'A.0_Tablas salariales SC'!$G$233,'A.0_Tablas salariales SC'!$G$227)))))))</f>
        <v>0.37685000000000002</v>
      </c>
      <c r="R151" s="183">
        <f t="shared" si="14"/>
        <v>1280.845317</v>
      </c>
      <c r="S151" s="183">
        <f t="shared" si="15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0</v>
      </c>
    </row>
    <row r="153" spans="1:20">
      <c r="A153" s="508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2">
        <f>'A.1. Plantilla_Subrogacion'!F153</f>
        <v>0</v>
      </c>
      <c r="H153" s="181">
        <f>'A.1.0_TablaAntigüedad_Sub'!M153</f>
        <v>130</v>
      </c>
      <c r="I153" s="183">
        <f>'A.1.0_TablaAntigüedad_Sub'!AA153</f>
        <v>527.70000000000005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ref="N153:N162" si="21">I153*$I$4+J153*$J$4+K153*$K$4+$M$4*M153+L153*$L$4</f>
        <v>7915.5000000000009</v>
      </c>
      <c r="O153" s="183">
        <f>'A.0_Tablas salariales SC'!$K$125</f>
        <v>28788.720000000001</v>
      </c>
      <c r="P153" s="183">
        <f>(O153+N153)*G153+'A.0_Tablas salariales SC'!$R$136*(100%-G153)</f>
        <v>3398.82</v>
      </c>
      <c r="Q153" s="184">
        <f>IF(D153=100,'A.0_Tablas salariales SC'!$G$215,IF(D153=150,'A.0_Tablas salariales SC'!$G$216,IF(D153=189,'A.0_Tablas salariales SC'!$G$217,IF(D153=400,'A.0_Tablas salariales SC'!$G$218,IF(D153=450,'A.0_Tablas salariales SC'!$G$219,IF(D153=401,'A.0_Tablas salariales SC'!$G$220,IF(D153=451,'A.0_Tablas salariales SC'!$G$221,'A.0_Tablas salariales SC'!$G$215)))))))</f>
        <v>0.34584999999999999</v>
      </c>
      <c r="R153" s="183">
        <f t="shared" si="14"/>
        <v>1175.4818970000001</v>
      </c>
      <c r="S153" s="183">
        <f t="shared" si="15"/>
        <v>0</v>
      </c>
      <c r="T153" s="179"/>
    </row>
    <row r="154" spans="1:20">
      <c r="A154" s="508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2">
        <f>'A.1. Plantilla_Subrogacion'!F154</f>
        <v>0</v>
      </c>
      <c r="H154" s="181">
        <f>'A.1.0_TablaAntigüedad_Sub'!M154</f>
        <v>130</v>
      </c>
      <c r="I154" s="183">
        <f>'A.1.0_TablaAntigüedad_Sub'!AA154</f>
        <v>527.70000000000005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21"/>
        <v>7915.5000000000009</v>
      </c>
      <c r="O154" s="183">
        <f>'A.0_Tablas salariales SC'!$K$125</f>
        <v>28788.720000000001</v>
      </c>
      <c r="P154" s="183">
        <f>(O154+N154)*G154+'A.0_Tablas salariales SC'!$R$136*(100%-G154)</f>
        <v>3398.82</v>
      </c>
      <c r="Q154" s="184">
        <f>IF(D154=100,'A.0_Tablas salariales SC'!$G$215,IF(D154=150,'A.0_Tablas salariales SC'!$G$216,IF(D154=189,'A.0_Tablas salariales SC'!$G$217,IF(D154=400,'A.0_Tablas salariales SC'!$G$218,IF(D154=450,'A.0_Tablas salariales SC'!$G$219,IF(D154=401,'A.0_Tablas salariales SC'!$G$220,IF(D154=451,'A.0_Tablas salariales SC'!$G$221,'A.0_Tablas salariales SC'!$G$215)))))))</f>
        <v>0.34584999999999999</v>
      </c>
      <c r="R154" s="183">
        <f t="shared" ref="R154:R161" si="22">Q154*P154</f>
        <v>1175.4818970000001</v>
      </c>
      <c r="S154" s="183">
        <f t="shared" ref="S154:S161" si="23">(R154+P154)*A154</f>
        <v>0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'A.1.0_TablaAntigüedad_Sub'!M155</f>
        <v>130</v>
      </c>
      <c r="I155" s="183">
        <f>'A.1.0_TablaAntigüedad_Sub'!AA155</f>
        <v>527.70000000000005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21"/>
        <v>7915.5000000000009</v>
      </c>
      <c r="O155" s="183">
        <f>'A.0_Tablas salariales SC'!$K$125</f>
        <v>28788.720000000001</v>
      </c>
      <c r="P155" s="183">
        <f>(O155+N155)*G155+'A.0_Tablas salariales SC'!$R$136*(100%-G155)</f>
        <v>3398.82</v>
      </c>
      <c r="Q155" s="184">
        <f>IF(D155=100,'A.0_Tablas salariales SC'!$G$215,IF(D155=150,'A.0_Tablas salariales SC'!$G$216,IF(D155=189,'A.0_Tablas salariales SC'!$G$217,IF(D155=400,'A.0_Tablas salariales SC'!$G$218,IF(D155=450,'A.0_Tablas salariales SC'!$G$219,IF(D155=401,'A.0_Tablas salariales SC'!$G$220,IF(D155=451,'A.0_Tablas salariales SC'!$G$221,'A.0_Tablas salariales SC'!$G$215)))))))</f>
        <v>0.34584999999999999</v>
      </c>
      <c r="R155" s="183">
        <f t="shared" si="22"/>
        <v>1175.4818970000001</v>
      </c>
      <c r="S155" s="183">
        <f t="shared" si="23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'A.1.0_TablaAntigüedad_Sub'!M156</f>
        <v>130</v>
      </c>
      <c r="I156" s="183">
        <f>'A.1.0_TablaAntigüedad_Sub'!AA156</f>
        <v>527.70000000000005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21"/>
        <v>7915.5000000000009</v>
      </c>
      <c r="O156" s="183">
        <f>'A.0_Tablas salariales SC'!$K$125</f>
        <v>28788.720000000001</v>
      </c>
      <c r="P156" s="183">
        <f>(O156+N156)*G156+'A.0_Tablas salariales SC'!$R$136*(100%-G156)</f>
        <v>3398.82</v>
      </c>
      <c r="Q156" s="184">
        <f>IF(D156=100,'A.0_Tablas salariales SC'!$G$215,IF(D156=150,'A.0_Tablas salariales SC'!$G$216,IF(D156=189,'A.0_Tablas salariales SC'!$G$217,IF(D156=400,'A.0_Tablas salariales SC'!$G$218,IF(D156=450,'A.0_Tablas salariales SC'!$G$219,IF(D156=401,'A.0_Tablas salariales SC'!$G$220,IF(D156=451,'A.0_Tablas salariales SC'!$G$221,'A.0_Tablas salariales SC'!$G$215)))))))</f>
        <v>0.34584999999999999</v>
      </c>
      <c r="R156" s="183">
        <f t="shared" si="22"/>
        <v>1175.4818970000001</v>
      </c>
      <c r="S156" s="183">
        <f t="shared" si="23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'A.1.0_TablaAntigüedad_Sub'!M157</f>
        <v>130</v>
      </c>
      <c r="I157" s="183">
        <f>'A.1.0_TablaAntigüedad_Sub'!AA157</f>
        <v>527.70000000000005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21"/>
        <v>7915.5000000000009</v>
      </c>
      <c r="O157" s="183">
        <f>'A.0_Tablas salariales SC'!$K$125</f>
        <v>28788.720000000001</v>
      </c>
      <c r="P157" s="183">
        <f>(O157+N157)*G157+'A.0_Tablas salariales SC'!$R$136*(100%-G157)</f>
        <v>3398.82</v>
      </c>
      <c r="Q157" s="184">
        <f>IF(D157=100,'A.0_Tablas salariales SC'!$G$215,IF(D157=150,'A.0_Tablas salariales SC'!$G$216,IF(D157=189,'A.0_Tablas salariales SC'!$G$217,IF(D157=400,'A.0_Tablas salariales SC'!$G$218,IF(D157=450,'A.0_Tablas salariales SC'!$G$219,IF(D157=401,'A.0_Tablas salariales SC'!$G$220,IF(D157=451,'A.0_Tablas salariales SC'!$G$221,'A.0_Tablas salariales SC'!$G$215)))))))</f>
        <v>0.34584999999999999</v>
      </c>
      <c r="R157" s="183">
        <f t="shared" si="22"/>
        <v>1175.4818970000001</v>
      </c>
      <c r="S157" s="183">
        <f t="shared" si="23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'A.1.0_TablaAntigüedad_Sub'!M158</f>
        <v>130</v>
      </c>
      <c r="I158" s="183">
        <f>'A.1.0_TablaAntigüedad_Sub'!AA158</f>
        <v>527.70000000000005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21"/>
        <v>7915.5000000000009</v>
      </c>
      <c r="O158" s="183">
        <f>'A.0_Tablas salariales SC'!$K$125</f>
        <v>28788.720000000001</v>
      </c>
      <c r="P158" s="183">
        <f>(O158+N158)*G158+'A.0_Tablas salariales SC'!$R$136*(100%-G158)</f>
        <v>3398.82</v>
      </c>
      <c r="Q158" s="184">
        <f>IF(D158=100,'A.0_Tablas salariales SC'!$G$215,IF(D158=150,'A.0_Tablas salariales SC'!$G$216,IF(D158=189,'A.0_Tablas salariales SC'!$G$217,IF(D158=400,'A.0_Tablas salariales SC'!$G$218,IF(D158=450,'A.0_Tablas salariales SC'!$G$219,IF(D158=401,'A.0_Tablas salariales SC'!$G$220,IF(D158=451,'A.0_Tablas salariales SC'!$G$221,'A.0_Tablas salariales SC'!$G$215)))))))</f>
        <v>0.34584999999999999</v>
      </c>
      <c r="R158" s="183">
        <f t="shared" si="22"/>
        <v>1175.4818970000001</v>
      </c>
      <c r="S158" s="183">
        <f t="shared" si="23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'A.1.0_TablaAntigüedad_Sub'!M159</f>
        <v>130</v>
      </c>
      <c r="I159" s="183">
        <f>'A.1.0_TablaAntigüedad_Sub'!AA159</f>
        <v>527.70000000000005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21"/>
        <v>7915.5000000000009</v>
      </c>
      <c r="O159" s="183">
        <f>'A.0_Tablas salariales SC'!$K$125</f>
        <v>28788.720000000001</v>
      </c>
      <c r="P159" s="183">
        <f>(O159+N159)*G159+'A.0_Tablas salariales SC'!$R$136*(100%-G159)</f>
        <v>3398.82</v>
      </c>
      <c r="Q159" s="184">
        <f>IF(D159=100,'A.0_Tablas salariales SC'!$G$215,IF(D159=150,'A.0_Tablas salariales SC'!$G$216,IF(D159=189,'A.0_Tablas salariales SC'!$G$217,IF(D159=400,'A.0_Tablas salariales SC'!$G$218,IF(D159=450,'A.0_Tablas salariales SC'!$G$219,IF(D159=401,'A.0_Tablas salariales SC'!$G$220,IF(D159=451,'A.0_Tablas salariales SC'!$G$221,'A.0_Tablas salariales SC'!$G$215)))))))</f>
        <v>0.34584999999999999</v>
      </c>
      <c r="R159" s="183">
        <f t="shared" si="22"/>
        <v>1175.4818970000001</v>
      </c>
      <c r="S159" s="183">
        <f t="shared" si="23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'A.1.0_TablaAntigüedad_Sub'!M160</f>
        <v>130</v>
      </c>
      <c r="I160" s="183">
        <f>'A.1.0_TablaAntigüedad_Sub'!AA160</f>
        <v>527.70000000000005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21"/>
        <v>7915.5000000000009</v>
      </c>
      <c r="O160" s="183">
        <f>'A.0_Tablas salariales SC'!$K$125</f>
        <v>28788.720000000001</v>
      </c>
      <c r="P160" s="183">
        <f>(O160+N160)*G160+'A.0_Tablas salariales SC'!$R$136*(100%-G160)</f>
        <v>3398.82</v>
      </c>
      <c r="Q160" s="184">
        <f>IF(D160=100,'A.0_Tablas salariales SC'!$G$215,IF(D160=150,'A.0_Tablas salariales SC'!$G$216,IF(D160=189,'A.0_Tablas salariales SC'!$G$217,IF(D160=400,'A.0_Tablas salariales SC'!$G$218,IF(D160=450,'A.0_Tablas salariales SC'!$G$219,IF(D160=401,'A.0_Tablas salariales SC'!$G$220,IF(D160=451,'A.0_Tablas salariales SC'!$G$221,'A.0_Tablas salariales SC'!$G$215)))))))</f>
        <v>0.34584999999999999</v>
      </c>
      <c r="R160" s="183">
        <f t="shared" si="22"/>
        <v>1175.4818970000001</v>
      </c>
      <c r="S160" s="183">
        <f t="shared" si="23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'A.1.0_TablaAntigüedad_Sub'!M161</f>
        <v>130</v>
      </c>
      <c r="I161" s="183">
        <f>'A.1.0_TablaAntigüedad_Sub'!AA161</f>
        <v>527.70000000000005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21"/>
        <v>7915.5000000000009</v>
      </c>
      <c r="O161" s="183">
        <f>'A.0_Tablas salariales SC'!$K$125</f>
        <v>28788.720000000001</v>
      </c>
      <c r="P161" s="183">
        <f>(O161+N161)*G161+'A.0_Tablas salariales SC'!$R$136*(100%-G161)</f>
        <v>3398.82</v>
      </c>
      <c r="Q161" s="184">
        <f>IF(D161=100,'A.0_Tablas salariales SC'!$G$215,IF(D161=150,'A.0_Tablas salariales SC'!$G$216,IF(D161=189,'A.0_Tablas salariales SC'!$G$217,IF(D161=400,'A.0_Tablas salariales SC'!$G$218,IF(D161=450,'A.0_Tablas salariales SC'!$G$219,IF(D161=401,'A.0_Tablas salariales SC'!$G$220,IF(D161=451,'A.0_Tablas salariales SC'!$G$221,'A.0_Tablas salariales SC'!$G$215)))))))</f>
        <v>0.34584999999999999</v>
      </c>
      <c r="R161" s="183">
        <f t="shared" si="22"/>
        <v>1175.4818970000001</v>
      </c>
      <c r="S161" s="183">
        <f t="shared" si="23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'A.1.0_TablaAntigüedad_Sub'!M162</f>
        <v>130</v>
      </c>
      <c r="I162" s="183">
        <f>'A.1.0_TablaAntigüedad_Sub'!AA162</f>
        <v>527.70000000000005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21"/>
        <v>7915.5000000000009</v>
      </c>
      <c r="O162" s="183">
        <f>'A.0_Tablas salariales SC'!$K$125</f>
        <v>28788.720000000001</v>
      </c>
      <c r="P162" s="183">
        <f>(O162+N162)*G162+'A.0_Tablas salariales SC'!$R$136*(100%-G162)</f>
        <v>3398.82</v>
      </c>
      <c r="Q162" s="184">
        <f>IF(D162=100,'A.0_Tablas salariales SC'!$G$215,IF(D162=150,'A.0_Tablas salariales SC'!$G$216,IF(D162=189,'A.0_Tablas salariales SC'!$G$217,IF(D162=400,'A.0_Tablas salariales SC'!$G$218,IF(D162=450,'A.0_Tablas salariales SC'!$G$219,IF(D162=401,'A.0_Tablas salariales SC'!$G$220,IF(D162=451,'A.0_Tablas salariales SC'!$G$221,'A.0_Tablas salariales SC'!$G$215)))))))</f>
        <v>0.34584999999999999</v>
      </c>
      <c r="R162" s="183">
        <f t="shared" si="14"/>
        <v>1175.4818970000001</v>
      </c>
      <c r="S162" s="183">
        <f t="shared" si="15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0</v>
      </c>
    </row>
    <row r="164" spans="1:20">
      <c r="A164" s="508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2">
        <f>'A.1. Plantilla_Subrogacion'!F164</f>
        <v>0</v>
      </c>
      <c r="H164" s="181">
        <f>'A.1.0_TablaAntigüedad_Sub'!M164</f>
        <v>130</v>
      </c>
      <c r="I164" s="183">
        <f>'A.1.0_TablaAntigüedad_Sub'!AA164</f>
        <v>722.77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ref="N164:N172" si="24">I164*$I$4+J164*$J$4+K164*$K$4+$M$4*M164+L164*$L$4</f>
        <v>10841.55</v>
      </c>
      <c r="O164" s="183">
        <f>'A.0_Tablas salariales SC'!$K$135</f>
        <v>35992.619999999995</v>
      </c>
      <c r="P164" s="183">
        <f>(O164+N164)*G164+'A.0_Tablas salariales SC'!$R$136*(100%-G164)</f>
        <v>3398.82</v>
      </c>
      <c r="Q164" s="184">
        <f>IF(D164=100,'A.0_Tablas salariales SC'!$G$215,IF(D164=150,'A.0_Tablas salariales SC'!$G$216,IF(D164=189,'A.0_Tablas salariales SC'!$G$217,IF(D164=400,'A.0_Tablas salariales SC'!$G$218,IF(D164=450,'A.0_Tablas salariales SC'!$G$219,IF(D164=401,'A.0_Tablas salariales SC'!$G$220,IF(D164=451,'A.0_Tablas salariales SC'!$G$221,'A.0_Tablas salariales SC'!$G$215)))))))</f>
        <v>0.34584999999999999</v>
      </c>
      <c r="R164" s="183">
        <f t="shared" si="14"/>
        <v>1175.4818970000001</v>
      </c>
      <c r="S164" s="183">
        <f t="shared" si="15"/>
        <v>0</v>
      </c>
      <c r="T164" s="179"/>
    </row>
    <row r="165" spans="1:20">
      <c r="A165" s="508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2">
        <f>'A.1. Plantilla_Subrogacion'!F165</f>
        <v>0</v>
      </c>
      <c r="H165" s="181">
        <f>'A.1.0_TablaAntigüedad_Sub'!M165</f>
        <v>130</v>
      </c>
      <c r="I165" s="183">
        <f>'A.1.0_TablaAntigüedad_Sub'!AA165</f>
        <v>722.77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24"/>
        <v>10841.55</v>
      </c>
      <c r="O165" s="183">
        <f>'A.0_Tablas salariales SC'!$K$135</f>
        <v>35992.619999999995</v>
      </c>
      <c r="P165" s="183">
        <f>(O165+N165)*G165+'A.0_Tablas salariales SC'!$R$136*(100%-G165)</f>
        <v>3398.82</v>
      </c>
      <c r="Q165" s="184">
        <f>IF(D165=100,'A.0_Tablas salariales SC'!$G$215,IF(D165=150,'A.0_Tablas salariales SC'!$G$216,IF(D165=189,'A.0_Tablas salariales SC'!$G$217,IF(D165=400,'A.0_Tablas salariales SC'!$G$218,IF(D165=450,'A.0_Tablas salariales SC'!$G$219,IF(D165=401,'A.0_Tablas salariales SC'!$G$220,IF(D165=451,'A.0_Tablas salariales SC'!$G$221,'A.0_Tablas salariales SC'!$G$215)))))))</f>
        <v>0.34584999999999999</v>
      </c>
      <c r="R165" s="183">
        <f t="shared" ref="R165:R167" si="25">Q165*P165</f>
        <v>1175.4818970000001</v>
      </c>
      <c r="S165" s="183">
        <f t="shared" ref="S165:S167" si="26">(R165+P165)*A165</f>
        <v>0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'A.1.0_TablaAntigüedad_Sub'!M166</f>
        <v>130</v>
      </c>
      <c r="I166" s="183">
        <f>'A.1.0_TablaAntigüedad_Sub'!AA166</f>
        <v>722.77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24"/>
        <v>10841.55</v>
      </c>
      <c r="O166" s="183">
        <f>'A.0_Tablas salariales SC'!$K$135</f>
        <v>35992.619999999995</v>
      </c>
      <c r="P166" s="183">
        <f>(O166+N166)*G166+'A.0_Tablas salariales SC'!$R$136*(100%-G166)</f>
        <v>3398.82</v>
      </c>
      <c r="Q166" s="184">
        <f>IF(D166=100,'A.0_Tablas salariales SC'!$G$215,IF(D166=150,'A.0_Tablas salariales SC'!$G$216,IF(D166=189,'A.0_Tablas salariales SC'!$G$217,IF(D166=400,'A.0_Tablas salariales SC'!$G$218,IF(D166=450,'A.0_Tablas salariales SC'!$G$219,IF(D166=401,'A.0_Tablas salariales SC'!$G$220,IF(D166=451,'A.0_Tablas salariales SC'!$G$221,'A.0_Tablas salariales SC'!$G$215)))))))</f>
        <v>0.34584999999999999</v>
      </c>
      <c r="R166" s="183">
        <f t="shared" si="25"/>
        <v>1175.4818970000001</v>
      </c>
      <c r="S166" s="183">
        <f t="shared" si="26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'A.1.0_TablaAntigüedad_Sub'!M167</f>
        <v>130</v>
      </c>
      <c r="I167" s="183">
        <f>'A.1.0_TablaAntigüedad_Sub'!AA167</f>
        <v>722.77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24"/>
        <v>10841.55</v>
      </c>
      <c r="O167" s="183">
        <f>'A.0_Tablas salariales SC'!$K$135</f>
        <v>35992.619999999995</v>
      </c>
      <c r="P167" s="183">
        <f>(O167+N167)*G167+'A.0_Tablas salariales SC'!$R$136*(100%-G167)</f>
        <v>3398.82</v>
      </c>
      <c r="Q167" s="184">
        <f>IF(D167=100,'A.0_Tablas salariales SC'!$G$215,IF(D167=150,'A.0_Tablas salariales SC'!$G$216,IF(D167=189,'A.0_Tablas salariales SC'!$G$217,IF(D167=400,'A.0_Tablas salariales SC'!$G$218,IF(D167=450,'A.0_Tablas salariales SC'!$G$219,IF(D167=401,'A.0_Tablas salariales SC'!$G$220,IF(D167=451,'A.0_Tablas salariales SC'!$G$221,'A.0_Tablas salariales SC'!$G$215)))))))</f>
        <v>0.34584999999999999</v>
      </c>
      <c r="R167" s="183">
        <f t="shared" si="25"/>
        <v>1175.4818970000001</v>
      </c>
      <c r="S167" s="183">
        <f t="shared" si="26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'A.1.0_TablaAntigüedad_Sub'!M168</f>
        <v>130</v>
      </c>
      <c r="I168" s="183">
        <f>'A.1.0_TablaAntigüedad_Sub'!AA168</f>
        <v>722.77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24"/>
        <v>10841.55</v>
      </c>
      <c r="O168" s="183">
        <f>'A.0_Tablas salariales SC'!$K$135</f>
        <v>35992.619999999995</v>
      </c>
      <c r="P168" s="183">
        <f>(O168+N168)*G168+'A.0_Tablas salariales SC'!$R$136*(100%-G168)</f>
        <v>3398.82</v>
      </c>
      <c r="Q168" s="184">
        <f>IF(D168=100,'A.0_Tablas salariales SC'!$G$215,IF(D168=150,'A.0_Tablas salariales SC'!$G$216,IF(D168=189,'A.0_Tablas salariales SC'!$G$217,IF(D168=400,'A.0_Tablas salariales SC'!$G$218,IF(D168=450,'A.0_Tablas salariales SC'!$G$219,IF(D168=401,'A.0_Tablas salariales SC'!$G$220,IF(D168=451,'A.0_Tablas salariales SC'!$G$221,'A.0_Tablas salariales SC'!$G$215)))))))</f>
        <v>0.34584999999999999</v>
      </c>
      <c r="R168" s="183">
        <f t="shared" si="14"/>
        <v>1175.4818970000001</v>
      </c>
      <c r="S168" s="183">
        <f t="shared" si="15"/>
        <v>0</v>
      </c>
      <c r="T168" s="179"/>
    </row>
    <row r="169" spans="1:20">
      <c r="A169" s="508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2">
        <f>'A.1. Plantilla_Subrogacion'!F169</f>
        <v>0</v>
      </c>
      <c r="H169" s="181">
        <f>'A.1.0_TablaAntigüedad_Sub'!M169</f>
        <v>130</v>
      </c>
      <c r="I169" s="183">
        <f>'A.1.0_TablaAntigüedad_Sub'!AA169</f>
        <v>722.77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24"/>
        <v>10841.55</v>
      </c>
      <c r="O169" s="183">
        <f>'A.0_Tablas salariales SC'!$K$136</f>
        <v>40713.120000000003</v>
      </c>
      <c r="P169" s="183">
        <f>(O169+N169)*G169+'A.0_Tablas salariales SC'!$R$136*(100%-G169)</f>
        <v>3398.82</v>
      </c>
      <c r="Q169" s="184">
        <f>IF(D169=100,'A.0_Tablas salariales SC'!$G$215,IF(D169=150,'A.0_Tablas salariales SC'!$G$216,IF(D169=189,'A.0_Tablas salariales SC'!$G$217,IF(D169=400,'A.0_Tablas salariales SC'!$G$218,IF(D169=450,'A.0_Tablas salariales SC'!$G$219,IF(D169=401,'A.0_Tablas salariales SC'!$G$220,IF(D169=451,'A.0_Tablas salariales SC'!$G$221,'A.0_Tablas salariales SC'!$G$215)))))))</f>
        <v>0.34584999999999999</v>
      </c>
      <c r="R169" s="183">
        <f t="shared" ref="R169:R171" si="27">Q169*P169</f>
        <v>1175.4818970000001</v>
      </c>
      <c r="S169" s="183">
        <f t="shared" ref="S169:S171" si="28">(R169+P169)*A169</f>
        <v>0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'A.1.0_TablaAntigüedad_Sub'!M170</f>
        <v>130</v>
      </c>
      <c r="I170" s="183">
        <f>'A.1.0_TablaAntigüedad_Sub'!AA170</f>
        <v>722.77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24"/>
        <v>10841.55</v>
      </c>
      <c r="O170" s="183">
        <f>'A.0_Tablas salariales SC'!$K$136</f>
        <v>40713.120000000003</v>
      </c>
      <c r="P170" s="183">
        <f>(O170+N170)*G170+'A.0_Tablas salariales SC'!$R$136*(100%-G170)</f>
        <v>3398.82</v>
      </c>
      <c r="Q170" s="184">
        <f>IF(D170=100,'A.0_Tablas salariales SC'!$G$215,IF(D170=150,'A.0_Tablas salariales SC'!$G$216,IF(D170=189,'A.0_Tablas salariales SC'!$G$217,IF(D170=400,'A.0_Tablas salariales SC'!$G$218,IF(D170=450,'A.0_Tablas salariales SC'!$G$219,IF(D170=401,'A.0_Tablas salariales SC'!$G$220,IF(D170=451,'A.0_Tablas salariales SC'!$G$221,'A.0_Tablas salariales SC'!$G$215)))))))</f>
        <v>0.34584999999999999</v>
      </c>
      <c r="R170" s="183">
        <f t="shared" si="27"/>
        <v>1175.4818970000001</v>
      </c>
      <c r="S170" s="183">
        <f t="shared" si="28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'A.1.0_TablaAntigüedad_Sub'!M171</f>
        <v>130</v>
      </c>
      <c r="I171" s="183">
        <f>'A.1.0_TablaAntigüedad_Sub'!AA171</f>
        <v>722.77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24"/>
        <v>10841.55</v>
      </c>
      <c r="O171" s="183">
        <f>'A.0_Tablas salariales SC'!$K$136</f>
        <v>40713.120000000003</v>
      </c>
      <c r="P171" s="183">
        <f>(O171+N171)*G171+'A.0_Tablas salariales SC'!$R$136*(100%-G171)</f>
        <v>3398.82</v>
      </c>
      <c r="Q171" s="184">
        <f>IF(D171=100,'A.0_Tablas salariales SC'!$G$215,IF(D171=150,'A.0_Tablas salariales SC'!$G$216,IF(D171=189,'A.0_Tablas salariales SC'!$G$217,IF(D171=400,'A.0_Tablas salariales SC'!$G$218,IF(D171=450,'A.0_Tablas salariales SC'!$G$219,IF(D171=401,'A.0_Tablas salariales SC'!$G$220,IF(D171=451,'A.0_Tablas salariales SC'!$G$221,'A.0_Tablas salariales SC'!$G$215)))))))</f>
        <v>0.34584999999999999</v>
      </c>
      <c r="R171" s="183">
        <f t="shared" si="27"/>
        <v>1175.4818970000001</v>
      </c>
      <c r="S171" s="183">
        <f t="shared" si="28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'A.1.0_TablaAntigüedad_Sub'!M172</f>
        <v>130</v>
      </c>
      <c r="I172" s="183">
        <f>'A.1.0_TablaAntigüedad_Sub'!AA172</f>
        <v>722.77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24"/>
        <v>10841.55</v>
      </c>
      <c r="O172" s="183">
        <f>'A.0_Tablas salariales SC'!$K$136</f>
        <v>40713.120000000003</v>
      </c>
      <c r="P172" s="183">
        <f>(O172+N172)*G172+'A.0_Tablas salariales SC'!$R$136*(100%-G172)</f>
        <v>3398.82</v>
      </c>
      <c r="Q172" s="184">
        <f>IF(D172=100,'A.0_Tablas salariales SC'!$G$215,IF(D172=150,'A.0_Tablas salariales SC'!$G$216,IF(D172=189,'A.0_Tablas salariales SC'!$G$217,IF(D172=400,'A.0_Tablas salariales SC'!$G$218,IF(D172=450,'A.0_Tablas salariales SC'!$G$219,IF(D172=401,'A.0_Tablas salariales SC'!$G$220,IF(D172=451,'A.0_Tablas salariales SC'!$G$221,'A.0_Tablas salariales SC'!$G$215)))))))</f>
        <v>0.34584999999999999</v>
      </c>
      <c r="R172" s="183">
        <f t="shared" si="14"/>
        <v>1175.4818970000001</v>
      </c>
      <c r="S172" s="183">
        <f t="shared" si="15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0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'A.1.0_TablaAntigüedad_Sub'!M174</f>
        <v>130</v>
      </c>
      <c r="I174" s="183">
        <f>'A.1.0_TablaAntigüedad_Sub'!AA174</f>
        <v>569.49</v>
      </c>
      <c r="J174" s="183"/>
      <c r="K174" s="183">
        <f>'A.1. Plantilla_Subrogacion'!I174</f>
        <v>0</v>
      </c>
      <c r="L174" s="183">
        <f>'A.1. Plantilla_Subrogacion'!J174</f>
        <v>0</v>
      </c>
      <c r="M174" s="183">
        <f>'A.1. Plantilla_Subrogacion'!K174</f>
        <v>0</v>
      </c>
      <c r="N174" s="183">
        <f>I174*$I$4+J174*$J$4+K174*$K$4+$M$4*M174+L174*$L$4</f>
        <v>8542.35</v>
      </c>
      <c r="O174" s="183">
        <f>'A.0_Tablas salariales SC'!K128</f>
        <v>26551.469999999994</v>
      </c>
      <c r="P174" s="183">
        <f>(O174+N174)*G174+'A.0_Tablas salariales SC'!$R$136*(100%-G174)</f>
        <v>3398.82</v>
      </c>
      <c r="Q174" s="184">
        <f>IF(D174=100,'A.0_Tablas salariales SC'!$G$215,IF(D174=150,'A.0_Tablas salariales SC'!$G$216,IF(D174=189,'A.0_Tablas salariales SC'!$G$217,IF(D174=400,'A.0_Tablas salariales SC'!$G$218,IF(D174=450,'A.0_Tablas salariales SC'!$G$219,IF(D174=401,'A.0_Tablas salariales SC'!$G$220,IF(D174=451,'A.0_Tablas salariales SC'!$G$221,'A.0_Tablas salariales SC'!$G$215)))))))</f>
        <v>0.34584999999999999</v>
      </c>
      <c r="R174" s="183">
        <f t="shared" ref="R174" si="29">Q174*P174</f>
        <v>1175.4818970000001</v>
      </c>
      <c r="S174" s="183">
        <f t="shared" ref="S174" si="30">(R174+P174)*A174</f>
        <v>0</v>
      </c>
      <c r="T174" s="179"/>
    </row>
    <row r="175" spans="1:20">
      <c r="A175" s="508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2">
        <f>'A.1. Plantilla_Subrogacion'!F175</f>
        <v>0</v>
      </c>
      <c r="H175" s="181">
        <f>'A.1.0_TablaAntigüedad_Sub'!M175</f>
        <v>130</v>
      </c>
      <c r="I175" s="183">
        <f>'A.1.0_TablaAntigüedad_Sub'!AA175</f>
        <v>569.49</v>
      </c>
      <c r="J175" s="183"/>
      <c r="K175" s="183">
        <f>'A.1. Plantilla_Subrogacion'!I175</f>
        <v>0</v>
      </c>
      <c r="L175" s="183">
        <f>'A.1. Plantilla_Subrogacion'!J175</f>
        <v>0</v>
      </c>
      <c r="M175" s="183">
        <f>'A.1. Plantilla_Subrogacion'!K175</f>
        <v>0</v>
      </c>
      <c r="N175" s="183">
        <f>I175*$I$4+J175*$J$4+K175*$K$4+$M$4*M175+L175*$L$4</f>
        <v>8542.35</v>
      </c>
      <c r="O175" s="183">
        <f>'A.0_Tablas salariales SC'!K129</f>
        <v>27583.62</v>
      </c>
      <c r="P175" s="183">
        <f>(O175+N175)*G175+'A.0_Tablas salariales SC'!$R$136*(100%-G175)</f>
        <v>3398.82</v>
      </c>
      <c r="Q175" s="184">
        <f>IF(D175=100,'A.0_Tablas salariales SC'!$G$215,IF(D175=150,'A.0_Tablas salariales SC'!$G$216,IF(D175=189,'A.0_Tablas salariales SC'!$G$217,IF(D175=400,'A.0_Tablas salariales SC'!$G$218,IF(D175=450,'A.0_Tablas salariales SC'!$G$219,IF(D175=401,'A.0_Tablas salariales SC'!$G$220,IF(D175=451,'A.0_Tablas salariales SC'!$G$221,'A.0_Tablas salariales SC'!$G$215)))))))</f>
        <v>0.34584999999999999</v>
      </c>
      <c r="R175" s="183">
        <f t="shared" si="14"/>
        <v>1175.4818970000001</v>
      </c>
      <c r="S175" s="183">
        <f t="shared" si="15"/>
        <v>0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'A.1.0_TablaAntigüedad_Sub'!M176</f>
        <v>130</v>
      </c>
      <c r="I176" s="183">
        <f>'A.1.0_TablaAntigüedad_Sub'!AA176</f>
        <v>569.49</v>
      </c>
      <c r="J176" s="183"/>
      <c r="K176" s="183">
        <f>'A.1. Plantilla_Subrogacion'!I176</f>
        <v>0</v>
      </c>
      <c r="L176" s="183">
        <f>'A.1. Plantilla_Subrogacion'!J176</f>
        <v>0</v>
      </c>
      <c r="M176" s="183">
        <f>'A.1. Plantilla_Subrogacion'!K176</f>
        <v>0</v>
      </c>
      <c r="N176" s="183">
        <f>I176*$I$4+J176*$J$4+K176*$K$4+$M$4*M176+L176*$L$4</f>
        <v>8542.35</v>
      </c>
      <c r="O176" s="183">
        <f>'A.0_Tablas salariales SC'!K131</f>
        <v>31107.719999999994</v>
      </c>
      <c r="P176" s="183">
        <f>(O176+N176)*G176+'A.0_Tablas salariales SC'!$R$136*(100%-G176)</f>
        <v>3398.82</v>
      </c>
      <c r="Q176" s="184">
        <f>IF(D176=100,'A.0_Tablas salariales SC'!$G$215,IF(D176=150,'A.0_Tablas salariales SC'!$G$216,IF(D176=189,'A.0_Tablas salariales SC'!$G$217,IF(D176=400,'A.0_Tablas salariales SC'!$G$218,IF(D176=450,'A.0_Tablas salariales SC'!$G$219,IF(D176=401,'A.0_Tablas salariales SC'!$G$220,IF(D176=451,'A.0_Tablas salariales SC'!$G$221,'A.0_Tablas salariales SC'!$G$215)))))))</f>
        <v>0.34584999999999999</v>
      </c>
      <c r="R176" s="183">
        <f t="shared" ref="R176" si="31">Q176*P176</f>
        <v>1175.4818970000001</v>
      </c>
      <c r="S176" s="183">
        <f t="shared" ref="S176" si="32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0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'A.1.0_TablaAntigüedad_Sub'!M178</f>
        <v>130</v>
      </c>
      <c r="I178" s="183">
        <f>'A.1.0_TablaAntigüedad_Sub'!AA178</f>
        <v>527.70000000000005</v>
      </c>
      <c r="J178" s="183"/>
      <c r="K178" s="183">
        <f>'A.1. Plantilla_Subrogacion'!I178</f>
        <v>0</v>
      </c>
      <c r="L178" s="183">
        <f>'A.1. Plantilla_Subrogacion'!J178</f>
        <v>0</v>
      </c>
      <c r="M178" s="183">
        <f>'A.1. Plantilla_Subrogacion'!K178</f>
        <v>0</v>
      </c>
      <c r="N178" s="183">
        <f>I178*$I$4+J178*$J$4+K178*$K$4+$M$4*M178+L178*$L$4</f>
        <v>7915.5000000000009</v>
      </c>
      <c r="O178" s="183">
        <f>'A.0_Tablas salariales SC'!K120</f>
        <v>26345.970000000005</v>
      </c>
      <c r="P178" s="183">
        <f>(O178+N178)*G178+'A.0_Tablas salariales SC'!$R$136*(100%-G178)</f>
        <v>3398.82</v>
      </c>
      <c r="Q178" s="184">
        <f>IF(D178=100,'A.0_Tablas salariales SC'!$G$215,IF(D178=150,'A.0_Tablas salariales SC'!$G$216,IF(D178=189,'A.0_Tablas salariales SC'!$G$217,IF(D178=400,'A.0_Tablas salariales SC'!$G$218,IF(D178=450,'A.0_Tablas salariales SC'!$G$219,IF(D178=401,'A.0_Tablas salariales SC'!$G$220,IF(D178=451,'A.0_Tablas salariales SC'!$G$221,'A.0_Tablas salariales SC'!$G$215)))))))</f>
        <v>0.34584999999999999</v>
      </c>
      <c r="R178" s="183">
        <f t="shared" ref="R178:R179" si="33">Q178*P178</f>
        <v>1175.4818970000001</v>
      </c>
      <c r="S178" s="183">
        <f t="shared" ref="S178:S179" si="34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'A.1.0_TablaAntigüedad_Sub'!M179</f>
        <v>130</v>
      </c>
      <c r="I179" s="183">
        <f>'A.1.0_TablaAntigüedad_Sub'!AA179</f>
        <v>527.70000000000005</v>
      </c>
      <c r="J179" s="183"/>
      <c r="K179" s="183">
        <f>'A.1. Plantilla_Subrogacion'!I179</f>
        <v>0</v>
      </c>
      <c r="L179" s="183">
        <f>'A.1. Plantilla_Subrogacion'!J179</f>
        <v>0</v>
      </c>
      <c r="M179" s="183">
        <f>'A.1. Plantilla_Subrogacion'!K179</f>
        <v>0</v>
      </c>
      <c r="N179" s="183">
        <f>I179*$I$4+J179*$J$4+K179*$K$4+$M$4*M179+L179*$L$4</f>
        <v>7915.5000000000009</v>
      </c>
      <c r="O179" s="183">
        <f>'A.0_Tablas salariales SC'!K119</f>
        <v>25525.47</v>
      </c>
      <c r="P179" s="183">
        <f>(O179+N179)*G179+'A.0_Tablas salariales SC'!$R$136*(100%-G179)</f>
        <v>3398.82</v>
      </c>
      <c r="Q179" s="184">
        <f>IF(D179=100,'A.0_Tablas salariales SC'!$G$215,IF(D179=150,'A.0_Tablas salariales SC'!$G$216,IF(D179=189,'A.0_Tablas salariales SC'!$G$217,IF(D179=400,'A.0_Tablas salariales SC'!$G$218,IF(D179=450,'A.0_Tablas salariales SC'!$G$219,IF(D179=401,'A.0_Tablas salariales SC'!$G$220,IF(D179=451,'A.0_Tablas salariales SC'!$G$221,'A.0_Tablas salariales SC'!$G$215)))))))</f>
        <v>0.34584999999999999</v>
      </c>
      <c r="R179" s="183">
        <f t="shared" si="33"/>
        <v>1175.4818970000001</v>
      </c>
      <c r="S179" s="183">
        <f t="shared" si="34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183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0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 A152:K152 A163:K163 A173:K173">
    <cfRule type="cellIs" dxfId="84" priority="23" operator="equal">
      <formula>0</formula>
    </cfRule>
  </conditionalFormatting>
  <conditionalFormatting sqref="A139:K139">
    <cfRule type="cellIs" dxfId="83" priority="22" operator="equal">
      <formula>0</formula>
    </cfRule>
  </conditionalFormatting>
  <conditionalFormatting sqref="G5:K12 G14:K85 G87:K113 G115:K138 G140:K151 G153:K162 G164:K172">
    <cfRule type="cellIs" dxfId="82" priority="24" operator="equal">
      <formula>0</formula>
    </cfRule>
  </conditionalFormatting>
  <conditionalFormatting sqref="G178:S179">
    <cfRule type="cellIs" dxfId="81" priority="3" operator="equal">
      <formula>0</formula>
    </cfRule>
  </conditionalFormatting>
  <conditionalFormatting sqref="L5:M176">
    <cfRule type="cellIs" dxfId="80" priority="1" operator="equal">
      <formula>0</formula>
    </cfRule>
  </conditionalFormatting>
  <conditionalFormatting sqref="M181:M182">
    <cfRule type="cellIs" dxfId="79" priority="11" operator="equal">
      <formula>0</formula>
    </cfRule>
  </conditionalFormatting>
  <conditionalFormatting sqref="N5:S113">
    <cfRule type="cellIs" dxfId="78" priority="2" operator="equal">
      <formula>0</formula>
    </cfRule>
  </conditionalFormatting>
  <conditionalFormatting sqref="N115:S176 G174:K176">
    <cfRule type="cellIs" dxfId="77" priority="2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187F-C4E8-4F4E-8F73-95CF44780870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4" sqref="M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974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975</v>
      </c>
      <c r="I3" s="241" t="s">
        <v>976</v>
      </c>
      <c r="J3" s="241" t="s">
        <v>977</v>
      </c>
      <c r="K3" s="241" t="s">
        <v>1006</v>
      </c>
      <c r="L3" s="241" t="s">
        <v>1103</v>
      </c>
      <c r="M3" s="241" t="s">
        <v>978</v>
      </c>
      <c r="N3" s="241" t="s">
        <v>979</v>
      </c>
      <c r="O3" s="241" t="s">
        <v>980</v>
      </c>
      <c r="P3" s="241" t="s">
        <v>981</v>
      </c>
      <c r="Q3" s="241" t="s">
        <v>982</v>
      </c>
      <c r="R3" s="241" t="s">
        <v>983</v>
      </c>
      <c r="S3" s="241" t="s">
        <v>984</v>
      </c>
      <c r="T3" s="241" t="s">
        <v>985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L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M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2">
        <f>'A.1. Plantilla_Subrogacion'!F5</f>
        <v>0</v>
      </c>
      <c r="H5" s="181">
        <f>'A.1.0_TablaAntigüedad_Sub'!N5</f>
        <v>131</v>
      </c>
      <c r="I5" s="183">
        <f>'A.1.0_TablaAntigüedad_Sub'!AB5</f>
        <v>543.53100000000006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8152.9650000000011</v>
      </c>
      <c r="O5" s="183">
        <f>'A.0_Tablas salariales SC'!$K$145</f>
        <v>25016.492099999999</v>
      </c>
      <c r="P5" s="183">
        <f>(O5+N5)*G5+'A.0_Tablas salariales SC'!$R$164*(100%-G5)</f>
        <v>3500.7846000000004</v>
      </c>
      <c r="Q5" s="184">
        <f>IF(D5=100,'A.0_Tablas salariales SC'!$H$215,IF(D5=150,'A.0_Tablas salariales SC'!$H$216,IF(D5=189,'A.0_Tablas salariales SC'!$H$217,IF(D5=400,'A.0_Tablas salariales SC'!$H$218,IF(D5=450,'A.0_Tablas salariales SC'!$H$219,IF(D5=401,'A.0_Tablas salariales SC'!$H$220,IF(D5=451,'A.0_Tablas salariales SC'!$H$221,'A.0_Tablas salariales SC'!$H$215)))))))</f>
        <v>0.34670000000000001</v>
      </c>
      <c r="R5" s="183">
        <f>Q5*P5</f>
        <v>1213.7220208200001</v>
      </c>
      <c r="S5" s="183">
        <f>(R5+P5)*A5</f>
        <v>0</v>
      </c>
      <c r="T5" s="179"/>
    </row>
    <row r="6" spans="1:20">
      <c r="A6" s="508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2">
        <f>'A.1. Plantilla_Subrogacion'!F6</f>
        <v>0</v>
      </c>
      <c r="H6" s="181">
        <f>'A.1.0_TablaAntigüedad_Sub'!N6</f>
        <v>131</v>
      </c>
      <c r="I6" s="183">
        <f>'A.1.0_TablaAntigüedad_Sub'!AB6</f>
        <v>543.53100000000006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8152.9650000000011</v>
      </c>
      <c r="O6" s="183">
        <f>'A.0_Tablas salariales SC'!$K$145</f>
        <v>25016.492099999999</v>
      </c>
      <c r="P6" s="183">
        <f>(O6+N6)*G6+'A.0_Tablas salariales SC'!$R$164*(100%-G6)</f>
        <v>3500.7846000000004</v>
      </c>
      <c r="Q6" s="184">
        <f>IF(D6=100,'A.0_Tablas salariales SC'!$H$215,IF(D6=150,'A.0_Tablas salariales SC'!$H$216,IF(D6=189,'A.0_Tablas salariales SC'!$H$217,IF(D6=400,'A.0_Tablas salariales SC'!$H$218,IF(D6=450,'A.0_Tablas salariales SC'!$H$219,IF(D6=401,'A.0_Tablas salariales SC'!$H$220,IF(D6=451,'A.0_Tablas salariales SC'!$H$221,'A.0_Tablas salariales SC'!$H$215)))))))</f>
        <v>0.34670000000000001</v>
      </c>
      <c r="R6" s="183">
        <f t="shared" ref="R6:R113" si="1">Q6*P6</f>
        <v>1213.7220208200001</v>
      </c>
      <c r="S6" s="183">
        <f t="shared" ref="S6:S113" si="2">(R6+P6)*A6</f>
        <v>0</v>
      </c>
      <c r="T6" s="179"/>
    </row>
    <row r="7" spans="1:20">
      <c r="A7" s="508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2">
        <f>'A.1. Plantilla_Subrogacion'!F7</f>
        <v>0</v>
      </c>
      <c r="H7" s="181">
        <f>'A.1.0_TablaAntigüedad_Sub'!N7</f>
        <v>131</v>
      </c>
      <c r="I7" s="183">
        <f>'A.1.0_TablaAntigüedad_Sub'!AB7</f>
        <v>543.53100000000006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8152.9650000000011</v>
      </c>
      <c r="O7" s="183">
        <f>'A.0_Tablas salariales SC'!$K$145</f>
        <v>25016.492099999999</v>
      </c>
      <c r="P7" s="183">
        <f>(O7+N7)*G7+'A.0_Tablas salariales SC'!$R$164*(100%-G7)</f>
        <v>3500.7846000000004</v>
      </c>
      <c r="Q7" s="184">
        <f>IF(D7=100,'A.0_Tablas salariales SC'!$H$215,IF(D7=150,'A.0_Tablas salariales SC'!$H$216,IF(D7=189,'A.0_Tablas salariales SC'!$H$217,IF(D7=400,'A.0_Tablas salariales SC'!$H$218,IF(D7=450,'A.0_Tablas salariales SC'!$H$219,IF(D7=401,'A.0_Tablas salariales SC'!$H$220,IF(D7=451,'A.0_Tablas salariales SC'!$H$221,'A.0_Tablas salariales SC'!$H$215)))))))</f>
        <v>0.34670000000000001</v>
      </c>
      <c r="R7" s="183">
        <f t="shared" si="1"/>
        <v>1213.7220208200001</v>
      </c>
      <c r="S7" s="183">
        <f t="shared" si="2"/>
        <v>0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'A.1.0_TablaAntigüedad_Sub'!N8</f>
        <v>131</v>
      </c>
      <c r="I8" s="183">
        <f>'A.1.0_TablaAntigüedad_Sub'!AB8</f>
        <v>543.53100000000006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8152.9650000000011</v>
      </c>
      <c r="O8" s="183">
        <f>'A.0_Tablas salariales SC'!$K$145</f>
        <v>25016.492099999999</v>
      </c>
      <c r="P8" s="183">
        <f>(O8+N8)*G8+'A.0_Tablas salariales SC'!$R$164*(100%-G8)</f>
        <v>3500.7846000000004</v>
      </c>
      <c r="Q8" s="184">
        <f>IF(D8=100,'A.0_Tablas salariales SC'!$H$215,IF(D8=150,'A.0_Tablas salariales SC'!$H$216,IF(D8=189,'A.0_Tablas salariales SC'!$H$217,IF(D8=400,'A.0_Tablas salariales SC'!$H$218,IF(D8=450,'A.0_Tablas salariales SC'!$H$219,IF(D8=401,'A.0_Tablas salariales SC'!$H$220,IF(D8=451,'A.0_Tablas salariales SC'!$H$221,'A.0_Tablas salariales SC'!$H$215)))))))</f>
        <v>0.34670000000000001</v>
      </c>
      <c r="R8" s="183">
        <f t="shared" ref="R8:R12" si="3">Q8*P8</f>
        <v>1213.7220208200001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'A.1.0_TablaAntigüedad_Sub'!N9</f>
        <v>131</v>
      </c>
      <c r="I9" s="183">
        <f>'A.1.0_TablaAntigüedad_Sub'!AB9</f>
        <v>543.53100000000006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8152.9650000000011</v>
      </c>
      <c r="O9" s="183">
        <f>'A.0_Tablas salariales SC'!$K$145</f>
        <v>25016.492099999999</v>
      </c>
      <c r="P9" s="183">
        <f>(O9+N9)*G9+'A.0_Tablas salariales SC'!$R$164*(100%-G9)</f>
        <v>3500.7846000000004</v>
      </c>
      <c r="Q9" s="184">
        <f>IF(D9=100,'A.0_Tablas salariales SC'!$H$215,IF(D9=150,'A.0_Tablas salariales SC'!$H$216,IF(D9=189,'A.0_Tablas salariales SC'!$H$217,IF(D9=400,'A.0_Tablas salariales SC'!$H$218,IF(D9=450,'A.0_Tablas salariales SC'!$H$219,IF(D9=401,'A.0_Tablas salariales SC'!$H$220,IF(D9=451,'A.0_Tablas salariales SC'!$H$221,'A.0_Tablas salariales SC'!$H$215)))))))</f>
        <v>0.34670000000000001</v>
      </c>
      <c r="R9" s="183">
        <f t="shared" si="3"/>
        <v>1213.7220208200001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'A.1.0_TablaAntigüedad_Sub'!N10</f>
        <v>131</v>
      </c>
      <c r="I10" s="183">
        <f>'A.1.0_TablaAntigüedad_Sub'!AB10</f>
        <v>543.53100000000006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8152.9650000000011</v>
      </c>
      <c r="O10" s="183">
        <f>'A.0_Tablas salariales SC'!$K$145</f>
        <v>25016.492099999999</v>
      </c>
      <c r="P10" s="183">
        <f>(O10+N10)*G10+'A.0_Tablas salariales SC'!$R$164*(100%-G10)</f>
        <v>3500.7846000000004</v>
      </c>
      <c r="Q10" s="184">
        <f>IF(D10=100,'A.0_Tablas salariales SC'!$H$215,IF(D10=150,'A.0_Tablas salariales SC'!$H$216,IF(D10=189,'A.0_Tablas salariales SC'!$H$217,IF(D10=400,'A.0_Tablas salariales SC'!$H$218,IF(D10=450,'A.0_Tablas salariales SC'!$H$219,IF(D10=401,'A.0_Tablas salariales SC'!$H$220,IF(D10=451,'A.0_Tablas salariales SC'!$H$221,'A.0_Tablas salariales SC'!$H$215)))))))</f>
        <v>0.34670000000000001</v>
      </c>
      <c r="R10" s="183">
        <f t="shared" si="3"/>
        <v>1213.7220208200001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'A.1.0_TablaAntigüedad_Sub'!N11</f>
        <v>131</v>
      </c>
      <c r="I11" s="183">
        <f>'A.1.0_TablaAntigüedad_Sub'!AB11</f>
        <v>543.53100000000006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8152.9650000000011</v>
      </c>
      <c r="O11" s="183">
        <f>'A.0_Tablas salariales SC'!$K$145</f>
        <v>25016.492099999999</v>
      </c>
      <c r="P11" s="183">
        <f>(O11+N11)*G11+'A.0_Tablas salariales SC'!$R$164*(100%-G11)</f>
        <v>3500.7846000000004</v>
      </c>
      <c r="Q11" s="184">
        <f>IF(D11=100,'A.0_Tablas salariales SC'!$H$215,IF(D11=150,'A.0_Tablas salariales SC'!$H$216,IF(D11=189,'A.0_Tablas salariales SC'!$H$217,IF(D11=400,'A.0_Tablas salariales SC'!$H$218,IF(D11=450,'A.0_Tablas salariales SC'!$H$219,IF(D11=401,'A.0_Tablas salariales SC'!$H$220,IF(D11=451,'A.0_Tablas salariales SC'!$H$221,'A.0_Tablas salariales SC'!$H$215)))))))</f>
        <v>0.34670000000000001</v>
      </c>
      <c r="R11" s="183">
        <f t="shared" si="3"/>
        <v>1213.7220208200001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'A.1.0_TablaAntigüedad_Sub'!N12</f>
        <v>131</v>
      </c>
      <c r="I12" s="183">
        <f>'A.1.0_TablaAntigüedad_Sub'!AB12</f>
        <v>543.53100000000006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8152.9650000000011</v>
      </c>
      <c r="O12" s="183">
        <f>'A.0_Tablas salariales SC'!$K$145</f>
        <v>25016.492099999999</v>
      </c>
      <c r="P12" s="183">
        <f>(O12+N12)*G12+'A.0_Tablas salariales SC'!$R$164*(100%-G12)</f>
        <v>3500.7846000000004</v>
      </c>
      <c r="Q12" s="184">
        <f>IF(D12=100,'A.0_Tablas salariales SC'!$H$215,IF(D12=150,'A.0_Tablas salariales SC'!$H$216,IF(D12=189,'A.0_Tablas salariales SC'!$H$217,IF(D12=400,'A.0_Tablas salariales SC'!$H$218,IF(D12=450,'A.0_Tablas salariales SC'!$H$219,IF(D12=401,'A.0_Tablas salariales SC'!$H$220,IF(D12=451,'A.0_Tablas salariales SC'!$H$221,'A.0_Tablas salariales SC'!$H$215)))))))</f>
        <v>0.34670000000000001</v>
      </c>
      <c r="R12" s="183">
        <f t="shared" si="3"/>
        <v>1213.7220208200001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0</v>
      </c>
    </row>
    <row r="14" spans="1:20">
      <c r="A14" s="508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2">
        <f>'A.1. Plantilla_Subrogacion'!F14</f>
        <v>0</v>
      </c>
      <c r="H14" s="181">
        <f>'A.1.0_TablaAntigüedad_Sub'!N14</f>
        <v>131</v>
      </c>
      <c r="I14" s="183">
        <f>'A.1.0_TablaAntigüedad_Sub'!AB14</f>
        <v>543.53100000000006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8152.9650000000011</v>
      </c>
      <c r="O14" s="183">
        <f>'A.0_Tablas salariales SC'!$K$146</f>
        <v>26263.770600000003</v>
      </c>
      <c r="P14" s="183">
        <f>(O14+N14)*G14+'A.0_Tablas salariales SC'!$R$164*(100%-G14)</f>
        <v>3500.7846000000004</v>
      </c>
      <c r="Q14" s="184">
        <f>IF(D14=100,'A.0_Tablas salariales SC'!$H$215,IF(D14=150,'A.0_Tablas salariales SC'!$H$216,IF(D14=189,'A.0_Tablas salariales SC'!$H$217,IF(D14=400,'A.0_Tablas salariales SC'!$H$218,IF(D14=450,'A.0_Tablas salariales SC'!$H$219,IF(D14=401,'A.0_Tablas salariales SC'!$H$220,IF(D14=451,'A.0_Tablas salariales SC'!$H$221,'A.0_Tablas salariales SC'!$H$215)))))))</f>
        <v>0.34670000000000001</v>
      </c>
      <c r="R14" s="183">
        <f t="shared" si="1"/>
        <v>1213.7220208200001</v>
      </c>
      <c r="S14" s="183">
        <f t="shared" si="2"/>
        <v>0</v>
      </c>
      <c r="T14" s="179"/>
    </row>
    <row r="15" spans="1:20">
      <c r="A15" s="508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2">
        <f>'A.1. Plantilla_Subrogacion'!F15</f>
        <v>0</v>
      </c>
      <c r="H15" s="181">
        <f>'A.1.0_TablaAntigüedad_Sub'!N15</f>
        <v>131</v>
      </c>
      <c r="I15" s="183">
        <f>'A.1.0_TablaAntigüedad_Sub'!AB15</f>
        <v>543.53100000000006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8152.9650000000011</v>
      </c>
      <c r="O15" s="183">
        <f>'A.0_Tablas salariales SC'!$K$146</f>
        <v>26263.770600000003</v>
      </c>
      <c r="P15" s="183">
        <f>(O15+N15)*G15+'A.0_Tablas salariales SC'!$R$164*(100%-G15)</f>
        <v>3500.7846000000004</v>
      </c>
      <c r="Q15" s="184">
        <f>IF(D15=100,'A.0_Tablas salariales SC'!$H$215,IF(D15=150,'A.0_Tablas salariales SC'!$H$216,IF(D15=189,'A.0_Tablas salariales SC'!$H$217,IF(D15=400,'A.0_Tablas salariales SC'!$H$218,IF(D15=450,'A.0_Tablas salariales SC'!$H$219,IF(D15=401,'A.0_Tablas salariales SC'!$H$220,IF(D15=451,'A.0_Tablas salariales SC'!$H$221,'A.0_Tablas salariales SC'!$H$215)))))))</f>
        <v>0.34670000000000001</v>
      </c>
      <c r="R15" s="183">
        <f t="shared" si="1"/>
        <v>1213.7220208200001</v>
      </c>
      <c r="S15" s="183">
        <f t="shared" si="2"/>
        <v>0</v>
      </c>
      <c r="T15" s="179"/>
    </row>
    <row r="16" spans="1:20">
      <c r="A16" s="508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2">
        <f>'A.1. Plantilla_Subrogacion'!F16</f>
        <v>0</v>
      </c>
      <c r="H16" s="181">
        <f>'A.1.0_TablaAntigüedad_Sub'!N16</f>
        <v>131</v>
      </c>
      <c r="I16" s="183">
        <f>'A.1.0_TablaAntigüedad_Sub'!AB16</f>
        <v>543.53100000000006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8152.9650000000011</v>
      </c>
      <c r="O16" s="183">
        <f>'A.0_Tablas salariales SC'!$K$146</f>
        <v>26263.770600000003</v>
      </c>
      <c r="P16" s="183">
        <f>(O16+N16)*G16+'A.0_Tablas salariales SC'!$R$164*(100%-G16)</f>
        <v>3500.7846000000004</v>
      </c>
      <c r="Q16" s="184">
        <f>IF(D16=100,'A.0_Tablas salariales SC'!$H$215,IF(D16=150,'A.0_Tablas salariales SC'!$H$216,IF(D16=189,'A.0_Tablas salariales SC'!$H$217,IF(D16=400,'A.0_Tablas salariales SC'!$H$218,IF(D16=450,'A.0_Tablas salariales SC'!$H$219,IF(D16=401,'A.0_Tablas salariales SC'!$H$220,IF(D16=451,'A.0_Tablas salariales SC'!$H$221,'A.0_Tablas salariales SC'!$H$215)))))))</f>
        <v>0.34670000000000001</v>
      </c>
      <c r="R16" s="183">
        <f t="shared" si="1"/>
        <v>1213.7220208200001</v>
      </c>
      <c r="S16" s="183">
        <f t="shared" si="2"/>
        <v>0</v>
      </c>
      <c r="T16" s="179"/>
    </row>
    <row r="17" spans="1:20">
      <c r="A17" s="508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2">
        <f>'A.1. Plantilla_Subrogacion'!F17</f>
        <v>0</v>
      </c>
      <c r="H17" s="181">
        <f>'A.1.0_TablaAntigüedad_Sub'!N17</f>
        <v>131</v>
      </c>
      <c r="I17" s="183">
        <f>'A.1.0_TablaAntigüedad_Sub'!AB17</f>
        <v>543.53100000000006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8152.9650000000011</v>
      </c>
      <c r="O17" s="183">
        <f>'A.0_Tablas salariales SC'!$K$146</f>
        <v>26263.770600000003</v>
      </c>
      <c r="P17" s="183">
        <f>(O17+N17)*G17+'A.0_Tablas salariales SC'!$R$164*(100%-G17)</f>
        <v>3500.7846000000004</v>
      </c>
      <c r="Q17" s="184">
        <f>IF(D17=100,'A.0_Tablas salariales SC'!$H$215,IF(D17=150,'A.0_Tablas salariales SC'!$H$216,IF(D17=189,'A.0_Tablas salariales SC'!$H$217,IF(D17=400,'A.0_Tablas salariales SC'!$H$218,IF(D17=450,'A.0_Tablas salariales SC'!$H$219,IF(D17=401,'A.0_Tablas salariales SC'!$H$220,IF(D17=451,'A.0_Tablas salariales SC'!$H$221,'A.0_Tablas salariales SC'!$H$215)))))))</f>
        <v>0.34670000000000001</v>
      </c>
      <c r="R17" s="183">
        <f t="shared" si="1"/>
        <v>1213.7220208200001</v>
      </c>
      <c r="S17" s="183">
        <f t="shared" si="2"/>
        <v>0</v>
      </c>
      <c r="T17" s="179"/>
    </row>
    <row r="18" spans="1:20">
      <c r="A18" s="508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2">
        <f>'A.1. Plantilla_Subrogacion'!F18</f>
        <v>0</v>
      </c>
      <c r="H18" s="181">
        <f>'A.1.0_TablaAntigüedad_Sub'!N18</f>
        <v>131</v>
      </c>
      <c r="I18" s="183">
        <f>'A.1.0_TablaAntigüedad_Sub'!AB18</f>
        <v>543.53100000000006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8152.9650000000011</v>
      </c>
      <c r="O18" s="183">
        <f>'A.0_Tablas salariales SC'!$K$146</f>
        <v>26263.770600000003</v>
      </c>
      <c r="P18" s="183">
        <f>(O18+N18)*G18+'A.0_Tablas salariales SC'!$R$164*(100%-G18)</f>
        <v>3500.7846000000004</v>
      </c>
      <c r="Q18" s="184">
        <f>IF(D18=100,'A.0_Tablas salariales SC'!$H$215,IF(D18=150,'A.0_Tablas salariales SC'!$H$216,IF(D18=189,'A.0_Tablas salariales SC'!$H$217,IF(D18=400,'A.0_Tablas salariales SC'!$H$218,IF(D18=450,'A.0_Tablas salariales SC'!$H$219,IF(D18=401,'A.0_Tablas salariales SC'!$H$220,IF(D18=451,'A.0_Tablas salariales SC'!$H$221,'A.0_Tablas salariales SC'!$H$215)))))))</f>
        <v>0.34670000000000001</v>
      </c>
      <c r="R18" s="183">
        <f t="shared" si="1"/>
        <v>1213.7220208200001</v>
      </c>
      <c r="S18" s="183">
        <f t="shared" si="2"/>
        <v>0</v>
      </c>
      <c r="T18" s="179"/>
    </row>
    <row r="19" spans="1:20">
      <c r="A19" s="508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2">
        <f>'A.1. Plantilla_Subrogacion'!F19</f>
        <v>0</v>
      </c>
      <c r="H19" s="181">
        <f>'A.1.0_TablaAntigüedad_Sub'!N19</f>
        <v>131</v>
      </c>
      <c r="I19" s="183">
        <f>'A.1.0_TablaAntigüedad_Sub'!AB19</f>
        <v>543.53100000000006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8152.9650000000011</v>
      </c>
      <c r="O19" s="183">
        <f>'A.0_Tablas salariales SC'!$K$146</f>
        <v>26263.770600000003</v>
      </c>
      <c r="P19" s="183">
        <f>(O19+N19)*G19+'A.0_Tablas salariales SC'!$R$164*(100%-G19)</f>
        <v>3500.7846000000004</v>
      </c>
      <c r="Q19" s="184">
        <f>IF(D19=100,'A.0_Tablas salariales SC'!$H$215,IF(D19=150,'A.0_Tablas salariales SC'!$H$216,IF(D19=189,'A.0_Tablas salariales SC'!$H$217,IF(D19=400,'A.0_Tablas salariales SC'!$H$218,IF(D19=450,'A.0_Tablas salariales SC'!$H$219,IF(D19=401,'A.0_Tablas salariales SC'!$H$220,IF(D19=451,'A.0_Tablas salariales SC'!$H$221,'A.0_Tablas salariales SC'!$H$215)))))))</f>
        <v>0.34670000000000001</v>
      </c>
      <c r="R19" s="183">
        <f t="shared" si="1"/>
        <v>1213.7220208200001</v>
      </c>
      <c r="S19" s="183">
        <f t="shared" si="2"/>
        <v>0</v>
      </c>
      <c r="T19" s="179"/>
    </row>
    <row r="20" spans="1:20">
      <c r="A20" s="508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2">
        <f>'A.1. Plantilla_Subrogacion'!F20</f>
        <v>0</v>
      </c>
      <c r="H20" s="181">
        <f>'A.1.0_TablaAntigüedad_Sub'!N20</f>
        <v>131</v>
      </c>
      <c r="I20" s="183">
        <f>'A.1.0_TablaAntigüedad_Sub'!AB20</f>
        <v>543.53100000000006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8152.9650000000011</v>
      </c>
      <c r="O20" s="183">
        <f>'A.0_Tablas salariales SC'!$K$146</f>
        <v>26263.770600000003</v>
      </c>
      <c r="P20" s="183">
        <f>(O20+N20)*G20+'A.0_Tablas salariales SC'!$R$164*(100%-G20)</f>
        <v>3500.7846000000004</v>
      </c>
      <c r="Q20" s="184">
        <f>IF(D20=100,'A.0_Tablas salariales SC'!$H$215,IF(D20=150,'A.0_Tablas salariales SC'!$H$216,IF(D20=189,'A.0_Tablas salariales SC'!$H$217,IF(D20=400,'A.0_Tablas salariales SC'!$H$218,IF(D20=450,'A.0_Tablas salariales SC'!$H$219,IF(D20=401,'A.0_Tablas salariales SC'!$H$220,IF(D20=451,'A.0_Tablas salariales SC'!$H$221,'A.0_Tablas salariales SC'!$H$215)))))))</f>
        <v>0.34670000000000001</v>
      </c>
      <c r="R20" s="183">
        <f t="shared" si="1"/>
        <v>1213.7220208200001</v>
      </c>
      <c r="S20" s="183">
        <f t="shared" si="2"/>
        <v>0</v>
      </c>
      <c r="T20" s="179"/>
    </row>
    <row r="21" spans="1:20">
      <c r="A21" s="508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2">
        <f>'A.1. Plantilla_Subrogacion'!F21</f>
        <v>0</v>
      </c>
      <c r="H21" s="181">
        <f>'A.1.0_TablaAntigüedad_Sub'!N21</f>
        <v>131</v>
      </c>
      <c r="I21" s="183">
        <f>'A.1.0_TablaAntigüedad_Sub'!AB21</f>
        <v>543.53100000000006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8152.9650000000011</v>
      </c>
      <c r="O21" s="183">
        <f>'A.0_Tablas salariales SC'!$K$146</f>
        <v>26263.770600000003</v>
      </c>
      <c r="P21" s="183">
        <f>(O21+N21)*G21+'A.0_Tablas salariales SC'!$R$164*(100%-G21)</f>
        <v>3500.7846000000004</v>
      </c>
      <c r="Q21" s="184">
        <f>IF(D21=100,'A.0_Tablas salariales SC'!$H$215,IF(D21=150,'A.0_Tablas salariales SC'!$H$216,IF(D21=189,'A.0_Tablas salariales SC'!$H$217,IF(D21=400,'A.0_Tablas salariales SC'!$H$218,IF(D21=450,'A.0_Tablas salariales SC'!$H$219,IF(D21=401,'A.0_Tablas salariales SC'!$H$220,IF(D21=451,'A.0_Tablas salariales SC'!$H$221,'A.0_Tablas salariales SC'!$H$215)))))))</f>
        <v>0.34670000000000001</v>
      </c>
      <c r="R21" s="183">
        <f t="shared" si="1"/>
        <v>1213.7220208200001</v>
      </c>
      <c r="S21" s="183">
        <f t="shared" si="2"/>
        <v>0</v>
      </c>
      <c r="T21" s="179"/>
    </row>
    <row r="22" spans="1:20">
      <c r="A22" s="508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2">
        <f>'A.1. Plantilla_Subrogacion'!F22</f>
        <v>0</v>
      </c>
      <c r="H22" s="181">
        <f>'A.1.0_TablaAntigüedad_Sub'!N22</f>
        <v>131</v>
      </c>
      <c r="I22" s="183">
        <f>'A.1.0_TablaAntigüedad_Sub'!AB22</f>
        <v>543.53100000000006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8152.9650000000011</v>
      </c>
      <c r="O22" s="183">
        <f>'A.0_Tablas salariales SC'!$K$146</f>
        <v>26263.770600000003</v>
      </c>
      <c r="P22" s="183">
        <f>(O22+N22)*G22+'A.0_Tablas salariales SC'!$R$164*(100%-G22)</f>
        <v>3500.7846000000004</v>
      </c>
      <c r="Q22" s="184">
        <f>IF(D22=100,'A.0_Tablas salariales SC'!$H$215,IF(D22=150,'A.0_Tablas salariales SC'!$H$216,IF(D22=189,'A.0_Tablas salariales SC'!$H$217,IF(D22=400,'A.0_Tablas salariales SC'!$H$218,IF(D22=450,'A.0_Tablas salariales SC'!$H$219,IF(D22=401,'A.0_Tablas salariales SC'!$H$220,IF(D22=451,'A.0_Tablas salariales SC'!$H$221,'A.0_Tablas salariales SC'!$H$215)))))))</f>
        <v>0.34670000000000001</v>
      </c>
      <c r="R22" s="183">
        <f t="shared" si="1"/>
        <v>1213.7220208200001</v>
      </c>
      <c r="S22" s="183">
        <f t="shared" si="2"/>
        <v>0</v>
      </c>
      <c r="T22" s="179"/>
    </row>
    <row r="23" spans="1:20">
      <c r="A23" s="508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2">
        <f>'A.1. Plantilla_Subrogacion'!F23</f>
        <v>0</v>
      </c>
      <c r="H23" s="181">
        <f>'A.1.0_TablaAntigüedad_Sub'!N23</f>
        <v>131</v>
      </c>
      <c r="I23" s="183">
        <f>'A.1.0_TablaAntigüedad_Sub'!AB23</f>
        <v>543.53100000000006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8152.9650000000011</v>
      </c>
      <c r="O23" s="183">
        <f>'A.0_Tablas salariales SC'!$K$146</f>
        <v>26263.770600000003</v>
      </c>
      <c r="P23" s="183">
        <f>(O23+N23)*G23+'A.0_Tablas salariales SC'!$R$164*(100%-G23)</f>
        <v>3500.7846000000004</v>
      </c>
      <c r="Q23" s="184">
        <f>IF(D23=100,'A.0_Tablas salariales SC'!$H$215,IF(D23=150,'A.0_Tablas salariales SC'!$H$216,IF(D23=189,'A.0_Tablas salariales SC'!$H$217,IF(D23=400,'A.0_Tablas salariales SC'!$H$218,IF(D23=450,'A.0_Tablas salariales SC'!$H$219,IF(D23=401,'A.0_Tablas salariales SC'!$H$220,IF(D23=451,'A.0_Tablas salariales SC'!$H$221,'A.0_Tablas salariales SC'!$H$215)))))))</f>
        <v>0.34670000000000001</v>
      </c>
      <c r="R23" s="183">
        <f t="shared" si="1"/>
        <v>1213.7220208200001</v>
      </c>
      <c r="S23" s="183">
        <f t="shared" si="2"/>
        <v>0</v>
      </c>
      <c r="T23" s="179"/>
    </row>
    <row r="24" spans="1:20">
      <c r="A24" s="508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2">
        <f>'A.1. Plantilla_Subrogacion'!F24</f>
        <v>0</v>
      </c>
      <c r="H24" s="181">
        <f>'A.1.0_TablaAntigüedad_Sub'!N24</f>
        <v>131</v>
      </c>
      <c r="I24" s="183">
        <f>'A.1.0_TablaAntigüedad_Sub'!AB24</f>
        <v>543.53100000000006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8152.9650000000011</v>
      </c>
      <c r="O24" s="183">
        <f>'A.0_Tablas salariales SC'!$K$146</f>
        <v>26263.770600000003</v>
      </c>
      <c r="P24" s="183">
        <f>(O24+N24)*G24+'A.0_Tablas salariales SC'!$R$164*(100%-G24)</f>
        <v>3500.7846000000004</v>
      </c>
      <c r="Q24" s="184">
        <f>IF(D24=100,'A.0_Tablas salariales SC'!$H$215,IF(D24=150,'A.0_Tablas salariales SC'!$H$216,IF(D24=189,'A.0_Tablas salariales SC'!$H$217,IF(D24=400,'A.0_Tablas salariales SC'!$H$218,IF(D24=450,'A.0_Tablas salariales SC'!$H$219,IF(D24=401,'A.0_Tablas salariales SC'!$H$220,IF(D24=451,'A.0_Tablas salariales SC'!$H$221,'A.0_Tablas salariales SC'!$H$215)))))))</f>
        <v>0.34670000000000001</v>
      </c>
      <c r="R24" s="183">
        <f t="shared" si="1"/>
        <v>1213.7220208200001</v>
      </c>
      <c r="S24" s="183">
        <f t="shared" si="2"/>
        <v>0</v>
      </c>
      <c r="T24" s="179"/>
    </row>
    <row r="25" spans="1:20">
      <c r="A25" s="508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2">
        <f>'A.1. Plantilla_Subrogacion'!F25</f>
        <v>0</v>
      </c>
      <c r="H25" s="181">
        <f>'A.1.0_TablaAntigüedad_Sub'!N25</f>
        <v>131</v>
      </c>
      <c r="I25" s="183">
        <f>'A.1.0_TablaAntigüedad_Sub'!AB25</f>
        <v>543.53100000000006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8152.9650000000011</v>
      </c>
      <c r="O25" s="183">
        <f>'A.0_Tablas salariales SC'!$K$146</f>
        <v>26263.770600000003</v>
      </c>
      <c r="P25" s="183">
        <f>(O25+N25)*G25+'A.0_Tablas salariales SC'!$R$164*(100%-G25)</f>
        <v>3500.7846000000004</v>
      </c>
      <c r="Q25" s="184">
        <f>IF(D25=100,'A.0_Tablas salariales SC'!$H$215,IF(D25=150,'A.0_Tablas salariales SC'!$H$216,IF(D25=189,'A.0_Tablas salariales SC'!$H$217,IF(D25=400,'A.0_Tablas salariales SC'!$H$218,IF(D25=450,'A.0_Tablas salariales SC'!$H$219,IF(D25=401,'A.0_Tablas salariales SC'!$H$220,IF(D25=451,'A.0_Tablas salariales SC'!$H$221,'A.0_Tablas salariales SC'!$H$215)))))))</f>
        <v>0.34670000000000001</v>
      </c>
      <c r="R25" s="183">
        <f t="shared" si="1"/>
        <v>1213.7220208200001</v>
      </c>
      <c r="S25" s="183">
        <f t="shared" si="2"/>
        <v>0</v>
      </c>
      <c r="T25" s="179"/>
    </row>
    <row r="26" spans="1:20">
      <c r="A26" s="508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2">
        <f>'A.1. Plantilla_Subrogacion'!F26</f>
        <v>0</v>
      </c>
      <c r="H26" s="181">
        <f>'A.1.0_TablaAntigüedad_Sub'!N26</f>
        <v>131</v>
      </c>
      <c r="I26" s="183">
        <f>'A.1.0_TablaAntigüedad_Sub'!AB26</f>
        <v>543.53100000000006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8152.9650000000011</v>
      </c>
      <c r="O26" s="183">
        <f>'A.0_Tablas salariales SC'!$K$146</f>
        <v>26263.770600000003</v>
      </c>
      <c r="P26" s="183">
        <f>(O26+N26)*G26+'A.0_Tablas salariales SC'!$R$164*(100%-G26)</f>
        <v>3500.7846000000004</v>
      </c>
      <c r="Q26" s="184">
        <f>IF(D26=100,'A.0_Tablas salariales SC'!$H$215,IF(D26=150,'A.0_Tablas salariales SC'!$H$216,IF(D26=189,'A.0_Tablas salariales SC'!$H$217,IF(D26=400,'A.0_Tablas salariales SC'!$H$218,IF(D26=450,'A.0_Tablas salariales SC'!$H$219,IF(D26=401,'A.0_Tablas salariales SC'!$H$220,IF(D26=451,'A.0_Tablas salariales SC'!$H$221,'A.0_Tablas salariales SC'!$H$215)))))))</f>
        <v>0.34670000000000001</v>
      </c>
      <c r="R26" s="183">
        <f t="shared" si="1"/>
        <v>1213.7220208200001</v>
      </c>
      <c r="S26" s="183">
        <f t="shared" si="2"/>
        <v>0</v>
      </c>
      <c r="T26" s="179"/>
    </row>
    <row r="27" spans="1:20">
      <c r="A27" s="508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2">
        <f>'A.1. Plantilla_Subrogacion'!F27</f>
        <v>0</v>
      </c>
      <c r="H27" s="181">
        <f>'A.1.0_TablaAntigüedad_Sub'!N27</f>
        <v>131</v>
      </c>
      <c r="I27" s="183">
        <f>'A.1.0_TablaAntigüedad_Sub'!AB27</f>
        <v>543.53100000000006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8152.9650000000011</v>
      </c>
      <c r="O27" s="183">
        <f>'A.0_Tablas salariales SC'!$K$146</f>
        <v>26263.770600000003</v>
      </c>
      <c r="P27" s="183">
        <f>(O27+N27)*G27+'A.0_Tablas salariales SC'!$R$164*(100%-G27)</f>
        <v>3500.7846000000004</v>
      </c>
      <c r="Q27" s="184">
        <f>IF(D27=100,'A.0_Tablas salariales SC'!$H$215,IF(D27=150,'A.0_Tablas salariales SC'!$H$216,IF(D27=189,'A.0_Tablas salariales SC'!$H$217,IF(D27=400,'A.0_Tablas salariales SC'!$H$218,IF(D27=450,'A.0_Tablas salariales SC'!$H$219,IF(D27=401,'A.0_Tablas salariales SC'!$H$220,IF(D27=451,'A.0_Tablas salariales SC'!$H$221,'A.0_Tablas salariales SC'!$H$215)))))))</f>
        <v>0.34670000000000001</v>
      </c>
      <c r="R27" s="183">
        <f t="shared" si="1"/>
        <v>1213.7220208200001</v>
      </c>
      <c r="S27" s="183">
        <f t="shared" si="2"/>
        <v>0</v>
      </c>
      <c r="T27" s="179"/>
    </row>
    <row r="28" spans="1:20">
      <c r="A28" s="508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2">
        <f>'A.1. Plantilla_Subrogacion'!F28</f>
        <v>0</v>
      </c>
      <c r="H28" s="181">
        <f>'A.1.0_TablaAntigüedad_Sub'!N28</f>
        <v>131</v>
      </c>
      <c r="I28" s="183">
        <f>'A.1.0_TablaAntigüedad_Sub'!AB28</f>
        <v>543.53100000000006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8152.9650000000011</v>
      </c>
      <c r="O28" s="183">
        <f>'A.0_Tablas salariales SC'!$K$146</f>
        <v>26263.770600000003</v>
      </c>
      <c r="P28" s="183">
        <f>(O28+N28)*G28+'A.0_Tablas salariales SC'!$R$164*(100%-G28)</f>
        <v>3500.7846000000004</v>
      </c>
      <c r="Q28" s="184">
        <f>IF(D28=100,'A.0_Tablas salariales SC'!$H$215,IF(D28=150,'A.0_Tablas salariales SC'!$H$216,IF(D28=189,'A.0_Tablas salariales SC'!$H$217,IF(D28=400,'A.0_Tablas salariales SC'!$H$218,IF(D28=450,'A.0_Tablas salariales SC'!$H$219,IF(D28=401,'A.0_Tablas salariales SC'!$H$220,IF(D28=451,'A.0_Tablas salariales SC'!$H$221,'A.0_Tablas salariales SC'!$H$215)))))))</f>
        <v>0.34670000000000001</v>
      </c>
      <c r="R28" s="183">
        <f t="shared" si="1"/>
        <v>1213.7220208200001</v>
      </c>
      <c r="S28" s="183">
        <f t="shared" si="2"/>
        <v>0</v>
      </c>
      <c r="T28" s="179"/>
    </row>
    <row r="29" spans="1:20">
      <c r="A29" s="508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2">
        <f>'A.1. Plantilla_Subrogacion'!F29</f>
        <v>0</v>
      </c>
      <c r="H29" s="181">
        <f>'A.1.0_TablaAntigüedad_Sub'!N29</f>
        <v>131</v>
      </c>
      <c r="I29" s="183">
        <f>'A.1.0_TablaAntigüedad_Sub'!AB29</f>
        <v>543.53100000000006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8152.9650000000011</v>
      </c>
      <c r="O29" s="183">
        <f>'A.0_Tablas salariales SC'!$K$146</f>
        <v>26263.770600000003</v>
      </c>
      <c r="P29" s="183">
        <f>(O29+N29)*G29+'A.0_Tablas salariales SC'!$R$164*(100%-G29)</f>
        <v>3500.7846000000004</v>
      </c>
      <c r="Q29" s="184">
        <f>IF(D29=100,'A.0_Tablas salariales SC'!$H$215,IF(D29=150,'A.0_Tablas salariales SC'!$H$216,IF(D29=189,'A.0_Tablas salariales SC'!$H$217,IF(D29=400,'A.0_Tablas salariales SC'!$H$218,IF(D29=450,'A.0_Tablas salariales SC'!$H$219,IF(D29=401,'A.0_Tablas salariales SC'!$H$220,IF(D29=451,'A.0_Tablas salariales SC'!$H$221,'A.0_Tablas salariales SC'!$H$215)))))))</f>
        <v>0.34670000000000001</v>
      </c>
      <c r="R29" s="183">
        <f t="shared" si="1"/>
        <v>1213.7220208200001</v>
      </c>
      <c r="S29" s="183">
        <f t="shared" si="2"/>
        <v>0</v>
      </c>
      <c r="T29" s="179"/>
    </row>
    <row r="30" spans="1:20">
      <c r="A30" s="508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2">
        <f>'A.1. Plantilla_Subrogacion'!F30</f>
        <v>0</v>
      </c>
      <c r="H30" s="181">
        <f>'A.1.0_TablaAntigüedad_Sub'!N30</f>
        <v>131</v>
      </c>
      <c r="I30" s="183">
        <f>'A.1.0_TablaAntigüedad_Sub'!AB30</f>
        <v>543.53100000000006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8152.9650000000011</v>
      </c>
      <c r="O30" s="183">
        <f>'A.0_Tablas salariales SC'!$K$146</f>
        <v>26263.770600000003</v>
      </c>
      <c r="P30" s="183">
        <f>(O30+N30)*G30+'A.0_Tablas salariales SC'!$R$164*(100%-G30)</f>
        <v>3500.7846000000004</v>
      </c>
      <c r="Q30" s="184">
        <f>IF(D30=100,'A.0_Tablas salariales SC'!$H$215,IF(D30=150,'A.0_Tablas salariales SC'!$H$216,IF(D30=189,'A.0_Tablas salariales SC'!$H$217,IF(D30=400,'A.0_Tablas salariales SC'!$H$218,IF(D30=450,'A.0_Tablas salariales SC'!$H$219,IF(D30=401,'A.0_Tablas salariales SC'!$H$220,IF(D30=451,'A.0_Tablas salariales SC'!$H$221,'A.0_Tablas salariales SC'!$H$215)))))))</f>
        <v>0.34670000000000001</v>
      </c>
      <c r="R30" s="183">
        <f t="shared" si="1"/>
        <v>1213.7220208200001</v>
      </c>
      <c r="S30" s="183">
        <f t="shared" si="2"/>
        <v>0</v>
      </c>
      <c r="T30" s="179"/>
    </row>
    <row r="31" spans="1:20">
      <c r="A31" s="508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2">
        <f>'A.1. Plantilla_Subrogacion'!F31</f>
        <v>0</v>
      </c>
      <c r="H31" s="181">
        <f>'A.1.0_TablaAntigüedad_Sub'!N31</f>
        <v>131</v>
      </c>
      <c r="I31" s="183">
        <f>'A.1.0_TablaAntigüedad_Sub'!AB31</f>
        <v>543.53100000000006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8152.9650000000011</v>
      </c>
      <c r="O31" s="183">
        <f>'A.0_Tablas salariales SC'!$K$146</f>
        <v>26263.770600000003</v>
      </c>
      <c r="P31" s="183">
        <f>(O31+N31)*G31+'A.0_Tablas salariales SC'!$R$164*(100%-G31)</f>
        <v>3500.7846000000004</v>
      </c>
      <c r="Q31" s="184">
        <f>IF(D31=100,'A.0_Tablas salariales SC'!$H$215,IF(D31=150,'A.0_Tablas salariales SC'!$H$216,IF(D31=189,'A.0_Tablas salariales SC'!$H$217,IF(D31=400,'A.0_Tablas salariales SC'!$H$218,IF(D31=450,'A.0_Tablas salariales SC'!$H$219,IF(D31=401,'A.0_Tablas salariales SC'!$H$220,IF(D31=451,'A.0_Tablas salariales SC'!$H$221,'A.0_Tablas salariales SC'!$H$215)))))))</f>
        <v>0.34670000000000001</v>
      </c>
      <c r="R31" s="183">
        <f t="shared" si="1"/>
        <v>1213.7220208200001</v>
      </c>
      <c r="S31" s="183">
        <f t="shared" si="2"/>
        <v>0</v>
      </c>
      <c r="T31" s="179"/>
    </row>
    <row r="32" spans="1:20">
      <c r="A32" s="508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2">
        <f>'A.1. Plantilla_Subrogacion'!F32</f>
        <v>0</v>
      </c>
      <c r="H32" s="181">
        <f>'A.1.0_TablaAntigüedad_Sub'!N32</f>
        <v>131</v>
      </c>
      <c r="I32" s="183">
        <f>'A.1.0_TablaAntigüedad_Sub'!AB32</f>
        <v>543.53100000000006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8152.9650000000011</v>
      </c>
      <c r="O32" s="183">
        <f>'A.0_Tablas salariales SC'!$K$146</f>
        <v>26263.770600000003</v>
      </c>
      <c r="P32" s="183">
        <f>(O32+N32)*G32+'A.0_Tablas salariales SC'!$R$164*(100%-G32)</f>
        <v>3500.7846000000004</v>
      </c>
      <c r="Q32" s="184">
        <f>IF(D32=100,'A.0_Tablas salariales SC'!$H$215,IF(D32=150,'A.0_Tablas salariales SC'!$H$216,IF(D32=189,'A.0_Tablas salariales SC'!$H$217,IF(D32=400,'A.0_Tablas salariales SC'!$H$218,IF(D32=450,'A.0_Tablas salariales SC'!$H$219,IF(D32=401,'A.0_Tablas salariales SC'!$H$220,IF(D32=451,'A.0_Tablas salariales SC'!$H$221,'A.0_Tablas salariales SC'!$H$215)))))))</f>
        <v>0.34670000000000001</v>
      </c>
      <c r="R32" s="183">
        <f t="shared" si="1"/>
        <v>1213.7220208200001</v>
      </c>
      <c r="S32" s="183">
        <f t="shared" si="2"/>
        <v>0</v>
      </c>
      <c r="T32" s="179"/>
    </row>
    <row r="33" spans="1:20">
      <c r="A33" s="508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2">
        <f>'A.1. Plantilla_Subrogacion'!F33</f>
        <v>0</v>
      </c>
      <c r="H33" s="181">
        <f>'A.1.0_TablaAntigüedad_Sub'!N33</f>
        <v>131</v>
      </c>
      <c r="I33" s="183">
        <f>'A.1.0_TablaAntigüedad_Sub'!AB33</f>
        <v>543.53100000000006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8152.9650000000011</v>
      </c>
      <c r="O33" s="183">
        <f>'A.0_Tablas salariales SC'!$K$146</f>
        <v>26263.770600000003</v>
      </c>
      <c r="P33" s="183">
        <f>(O33+N33)*G33+'A.0_Tablas salariales SC'!$R$164*(100%-G33)</f>
        <v>3500.7846000000004</v>
      </c>
      <c r="Q33" s="184">
        <f>IF(D33=100,'A.0_Tablas salariales SC'!$H$215,IF(D33=150,'A.0_Tablas salariales SC'!$H$216,IF(D33=189,'A.0_Tablas salariales SC'!$H$217,IF(D33=400,'A.0_Tablas salariales SC'!$H$218,IF(D33=450,'A.0_Tablas salariales SC'!$H$219,IF(D33=401,'A.0_Tablas salariales SC'!$H$220,IF(D33=451,'A.0_Tablas salariales SC'!$H$221,'A.0_Tablas salariales SC'!$H$215)))))))</f>
        <v>0.34670000000000001</v>
      </c>
      <c r="R33" s="183">
        <f t="shared" si="1"/>
        <v>1213.7220208200001</v>
      </c>
      <c r="S33" s="183">
        <f t="shared" si="2"/>
        <v>0</v>
      </c>
      <c r="T33" s="179"/>
    </row>
    <row r="34" spans="1:20">
      <c r="A34" s="508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2">
        <f>'A.1. Plantilla_Subrogacion'!F34</f>
        <v>0</v>
      </c>
      <c r="H34" s="181">
        <f>'A.1.0_TablaAntigüedad_Sub'!N34</f>
        <v>131</v>
      </c>
      <c r="I34" s="183">
        <f>'A.1.0_TablaAntigüedad_Sub'!AB34</f>
        <v>543.53100000000006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8152.9650000000011</v>
      </c>
      <c r="O34" s="183">
        <f>'A.0_Tablas salariales SC'!$K$146</f>
        <v>26263.770600000003</v>
      </c>
      <c r="P34" s="183">
        <f>(O34+N34)*G34+'A.0_Tablas salariales SC'!$R$164*(100%-G34)</f>
        <v>3500.7846000000004</v>
      </c>
      <c r="Q34" s="184">
        <f>IF(D34=100,'A.0_Tablas salariales SC'!$H$215,IF(D34=150,'A.0_Tablas salariales SC'!$H$216,IF(D34=189,'A.0_Tablas salariales SC'!$H$217,IF(D34=400,'A.0_Tablas salariales SC'!$H$218,IF(D34=450,'A.0_Tablas salariales SC'!$H$219,IF(D34=401,'A.0_Tablas salariales SC'!$H$220,IF(D34=451,'A.0_Tablas salariales SC'!$H$221,'A.0_Tablas salariales SC'!$H$215)))))))</f>
        <v>0.34670000000000001</v>
      </c>
      <c r="R34" s="183">
        <f t="shared" si="1"/>
        <v>1213.7220208200001</v>
      </c>
      <c r="S34" s="183">
        <f t="shared" si="2"/>
        <v>0</v>
      </c>
      <c r="T34" s="179"/>
    </row>
    <row r="35" spans="1:20">
      <c r="A35" s="508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2">
        <f>'A.1. Plantilla_Subrogacion'!F35</f>
        <v>0</v>
      </c>
      <c r="H35" s="181">
        <f>'A.1.0_TablaAntigüedad_Sub'!N35</f>
        <v>131</v>
      </c>
      <c r="I35" s="183">
        <f>'A.1.0_TablaAntigüedad_Sub'!AB35</f>
        <v>543.53100000000006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8152.9650000000011</v>
      </c>
      <c r="O35" s="183">
        <f>'A.0_Tablas salariales SC'!$K$146</f>
        <v>26263.770600000003</v>
      </c>
      <c r="P35" s="183">
        <f>(O35+N35)*G35+'A.0_Tablas salariales SC'!$R$164*(100%-G35)</f>
        <v>3500.7846000000004</v>
      </c>
      <c r="Q35" s="184">
        <f>IF(D35=100,'A.0_Tablas salariales SC'!$H$215,IF(D35=150,'A.0_Tablas salariales SC'!$H$216,IF(D35=189,'A.0_Tablas salariales SC'!$H$217,IF(D35=400,'A.0_Tablas salariales SC'!$H$218,IF(D35=450,'A.0_Tablas salariales SC'!$H$219,IF(D35=401,'A.0_Tablas salariales SC'!$H$220,IF(D35=451,'A.0_Tablas salariales SC'!$H$221,'A.0_Tablas salariales SC'!$H$215)))))))</f>
        <v>0.34670000000000001</v>
      </c>
      <c r="R35" s="183">
        <f t="shared" si="1"/>
        <v>1213.7220208200001</v>
      </c>
      <c r="S35" s="183">
        <f t="shared" si="2"/>
        <v>0</v>
      </c>
      <c r="T35" s="179"/>
    </row>
    <row r="36" spans="1:20">
      <c r="A36" s="508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2">
        <f>'A.1. Plantilla_Subrogacion'!F36</f>
        <v>0</v>
      </c>
      <c r="H36" s="181">
        <f>'A.1.0_TablaAntigüedad_Sub'!N36</f>
        <v>131</v>
      </c>
      <c r="I36" s="183">
        <f>'A.1.0_TablaAntigüedad_Sub'!AB36</f>
        <v>543.53100000000006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8152.9650000000011</v>
      </c>
      <c r="O36" s="183">
        <f>'A.0_Tablas salariales SC'!$K$146</f>
        <v>26263.770600000003</v>
      </c>
      <c r="P36" s="183">
        <f>(O36+N36)*G36+'A.0_Tablas salariales SC'!$R$164*(100%-G36)</f>
        <v>3500.7846000000004</v>
      </c>
      <c r="Q36" s="184">
        <f>IF(D36=100,'A.0_Tablas salariales SC'!$H$215,IF(D36=150,'A.0_Tablas salariales SC'!$H$216,IF(D36=189,'A.0_Tablas salariales SC'!$H$217,IF(D36=400,'A.0_Tablas salariales SC'!$H$218,IF(D36=450,'A.0_Tablas salariales SC'!$H$219,IF(D36=401,'A.0_Tablas salariales SC'!$H$220,IF(D36=451,'A.0_Tablas salariales SC'!$H$221,'A.0_Tablas salariales SC'!$H$215)))))))</f>
        <v>0.34670000000000001</v>
      </c>
      <c r="R36" s="183">
        <f t="shared" si="1"/>
        <v>1213.7220208200001</v>
      </c>
      <c r="S36" s="183">
        <f t="shared" si="2"/>
        <v>0</v>
      </c>
      <c r="T36" s="179"/>
    </row>
    <row r="37" spans="1:20">
      <c r="A37" s="508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2">
        <f>'A.1. Plantilla_Subrogacion'!F37</f>
        <v>0</v>
      </c>
      <c r="H37" s="181">
        <f>'A.1.0_TablaAntigüedad_Sub'!N37</f>
        <v>131</v>
      </c>
      <c r="I37" s="183">
        <f>'A.1.0_TablaAntigüedad_Sub'!AB37</f>
        <v>543.53100000000006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8152.9650000000011</v>
      </c>
      <c r="O37" s="183">
        <f>'A.0_Tablas salariales SC'!$K$146</f>
        <v>26263.770600000003</v>
      </c>
      <c r="P37" s="183">
        <f>(O37+N37)*G37+'A.0_Tablas salariales SC'!$R$164*(100%-G37)</f>
        <v>3500.7846000000004</v>
      </c>
      <c r="Q37" s="184">
        <f>IF(D37=100,'A.0_Tablas salariales SC'!$H$215,IF(D37=150,'A.0_Tablas salariales SC'!$H$216,IF(D37=189,'A.0_Tablas salariales SC'!$H$217,IF(D37=400,'A.0_Tablas salariales SC'!$H$218,IF(D37=450,'A.0_Tablas salariales SC'!$H$219,IF(D37=401,'A.0_Tablas salariales SC'!$H$220,IF(D37=451,'A.0_Tablas salariales SC'!$H$221,'A.0_Tablas salariales SC'!$H$215)))))))</f>
        <v>0.34670000000000001</v>
      </c>
      <c r="R37" s="183">
        <f t="shared" si="1"/>
        <v>1213.7220208200001</v>
      </c>
      <c r="S37" s="183">
        <f t="shared" si="2"/>
        <v>0</v>
      </c>
      <c r="T37" s="179"/>
    </row>
    <row r="38" spans="1:20">
      <c r="A38" s="508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2">
        <f>'A.1. Plantilla_Subrogacion'!F38</f>
        <v>0</v>
      </c>
      <c r="H38" s="181">
        <f>'A.1.0_TablaAntigüedad_Sub'!N38</f>
        <v>131</v>
      </c>
      <c r="I38" s="183">
        <f>'A.1.0_TablaAntigüedad_Sub'!AB38</f>
        <v>543.53100000000006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8152.9650000000011</v>
      </c>
      <c r="O38" s="183">
        <f>'A.0_Tablas salariales SC'!$K$146</f>
        <v>26263.770600000003</v>
      </c>
      <c r="P38" s="183">
        <f>(O38+N38)*G38+'A.0_Tablas salariales SC'!$R$164*(100%-G38)</f>
        <v>3500.7846000000004</v>
      </c>
      <c r="Q38" s="184">
        <f>IF(D38=100,'A.0_Tablas salariales SC'!$H$215,IF(D38=150,'A.0_Tablas salariales SC'!$H$216,IF(D38=189,'A.0_Tablas salariales SC'!$H$217,IF(D38=400,'A.0_Tablas salariales SC'!$H$218,IF(D38=450,'A.0_Tablas salariales SC'!$H$219,IF(D38=401,'A.0_Tablas salariales SC'!$H$220,IF(D38=451,'A.0_Tablas salariales SC'!$H$221,'A.0_Tablas salariales SC'!$H$215)))))))</f>
        <v>0.34670000000000001</v>
      </c>
      <c r="R38" s="183">
        <f t="shared" si="1"/>
        <v>1213.7220208200001</v>
      </c>
      <c r="S38" s="183">
        <f t="shared" si="2"/>
        <v>0</v>
      </c>
      <c r="T38" s="179"/>
    </row>
    <row r="39" spans="1:20">
      <c r="A39" s="508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2">
        <f>'A.1. Plantilla_Subrogacion'!F39</f>
        <v>0</v>
      </c>
      <c r="H39" s="181">
        <f>'A.1.0_TablaAntigüedad_Sub'!N39</f>
        <v>131</v>
      </c>
      <c r="I39" s="183">
        <f>'A.1.0_TablaAntigüedad_Sub'!AB39</f>
        <v>543.53100000000006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8152.9650000000011</v>
      </c>
      <c r="O39" s="183">
        <f>'A.0_Tablas salariales SC'!$K$146</f>
        <v>26263.770600000003</v>
      </c>
      <c r="P39" s="183">
        <f>(O39+N39)*G39+'A.0_Tablas salariales SC'!$R$164*(100%-G39)</f>
        <v>3500.7846000000004</v>
      </c>
      <c r="Q39" s="184">
        <f>IF(D39=100,'A.0_Tablas salariales SC'!$H$215,IF(D39=150,'A.0_Tablas salariales SC'!$H$216,IF(D39=189,'A.0_Tablas salariales SC'!$H$217,IF(D39=400,'A.0_Tablas salariales SC'!$H$218,IF(D39=450,'A.0_Tablas salariales SC'!$H$219,IF(D39=401,'A.0_Tablas salariales SC'!$H$220,IF(D39=451,'A.0_Tablas salariales SC'!$H$221,'A.0_Tablas salariales SC'!$H$215)))))))</f>
        <v>0.34670000000000001</v>
      </c>
      <c r="R39" s="183">
        <f t="shared" si="1"/>
        <v>1213.7220208200001</v>
      </c>
      <c r="S39" s="183">
        <f t="shared" si="2"/>
        <v>0</v>
      </c>
      <c r="T39" s="179"/>
    </row>
    <row r="40" spans="1:20">
      <c r="A40" s="508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2">
        <f>'A.1. Plantilla_Subrogacion'!F40</f>
        <v>0</v>
      </c>
      <c r="H40" s="181">
        <f>'A.1.0_TablaAntigüedad_Sub'!N40</f>
        <v>131</v>
      </c>
      <c r="I40" s="183">
        <f>'A.1.0_TablaAntigüedad_Sub'!AB40</f>
        <v>543.53100000000006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8152.9650000000011</v>
      </c>
      <c r="O40" s="183">
        <f>'A.0_Tablas salariales SC'!$K$146</f>
        <v>26263.770600000003</v>
      </c>
      <c r="P40" s="183">
        <f>(O40+N40)*G40+'A.0_Tablas salariales SC'!$R$164*(100%-G40)</f>
        <v>3500.7846000000004</v>
      </c>
      <c r="Q40" s="184">
        <f>IF(D40=100,'A.0_Tablas salariales SC'!$H$215,IF(D40=150,'A.0_Tablas salariales SC'!$H$216,IF(D40=189,'A.0_Tablas salariales SC'!$H$217,IF(D40=400,'A.0_Tablas salariales SC'!$H$218,IF(D40=450,'A.0_Tablas salariales SC'!$H$219,IF(D40=401,'A.0_Tablas salariales SC'!$H$220,IF(D40=451,'A.0_Tablas salariales SC'!$H$221,'A.0_Tablas salariales SC'!$H$215)))))))</f>
        <v>0.34670000000000001</v>
      </c>
      <c r="R40" s="183">
        <f t="shared" si="1"/>
        <v>1213.7220208200001</v>
      </c>
      <c r="S40" s="183">
        <f t="shared" si="2"/>
        <v>0</v>
      </c>
      <c r="T40" s="179"/>
    </row>
    <row r="41" spans="1:20">
      <c r="A41" s="508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2">
        <f>'A.1. Plantilla_Subrogacion'!F41</f>
        <v>0</v>
      </c>
      <c r="H41" s="181">
        <f>'A.1.0_TablaAntigüedad_Sub'!N41</f>
        <v>131</v>
      </c>
      <c r="I41" s="183">
        <f>'A.1.0_TablaAntigüedad_Sub'!AB41</f>
        <v>543.53100000000006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8152.9650000000011</v>
      </c>
      <c r="O41" s="183">
        <f>'A.0_Tablas salariales SC'!$K$146</f>
        <v>26263.770600000003</v>
      </c>
      <c r="P41" s="183">
        <f>(O41+N41)*G41+'A.0_Tablas salariales SC'!$R$164*(100%-G41)</f>
        <v>3500.7846000000004</v>
      </c>
      <c r="Q41" s="184">
        <f>IF(D41=100,'A.0_Tablas salariales SC'!$H$215,IF(D41=150,'A.0_Tablas salariales SC'!$H$216,IF(D41=189,'A.0_Tablas salariales SC'!$H$217,IF(D41=400,'A.0_Tablas salariales SC'!$H$218,IF(D41=450,'A.0_Tablas salariales SC'!$H$219,IF(D41=401,'A.0_Tablas salariales SC'!$H$220,IF(D41=451,'A.0_Tablas salariales SC'!$H$221,'A.0_Tablas salariales SC'!$H$215)))))))</f>
        <v>0.34670000000000001</v>
      </c>
      <c r="R41" s="183">
        <f t="shared" si="1"/>
        <v>1213.7220208200001</v>
      </c>
      <c r="S41" s="183">
        <f t="shared" si="2"/>
        <v>0</v>
      </c>
      <c r="T41" s="179"/>
    </row>
    <row r="42" spans="1:20">
      <c r="A42" s="508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2">
        <f>'A.1. Plantilla_Subrogacion'!F42</f>
        <v>0</v>
      </c>
      <c r="H42" s="181">
        <f>'A.1.0_TablaAntigüedad_Sub'!N42</f>
        <v>131</v>
      </c>
      <c r="I42" s="183">
        <f>'A.1.0_TablaAntigüedad_Sub'!AB42</f>
        <v>543.53100000000006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8152.9650000000011</v>
      </c>
      <c r="O42" s="183">
        <f>'A.0_Tablas salariales SC'!$K$146</f>
        <v>26263.770600000003</v>
      </c>
      <c r="P42" s="183">
        <f>(O42+N42)*G42+'A.0_Tablas salariales SC'!$R$164*(100%-G42)</f>
        <v>3500.7846000000004</v>
      </c>
      <c r="Q42" s="184">
        <f>IF(D42=100,'A.0_Tablas salariales SC'!$H$215,IF(D42=150,'A.0_Tablas salariales SC'!$H$216,IF(D42=189,'A.0_Tablas salariales SC'!$H$217,IF(D42=400,'A.0_Tablas salariales SC'!$H$218,IF(D42=450,'A.0_Tablas salariales SC'!$H$219,IF(D42=401,'A.0_Tablas salariales SC'!$H$220,IF(D42=451,'A.0_Tablas salariales SC'!$H$221,'A.0_Tablas salariales SC'!$H$215)))))))</f>
        <v>0.34670000000000001</v>
      </c>
      <c r="R42" s="183">
        <f t="shared" si="1"/>
        <v>1213.7220208200001</v>
      </c>
      <c r="S42" s="183">
        <f t="shared" si="2"/>
        <v>0</v>
      </c>
      <c r="T42" s="179"/>
    </row>
    <row r="43" spans="1:20">
      <c r="A43" s="508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2">
        <f>'A.1. Plantilla_Subrogacion'!F43</f>
        <v>0</v>
      </c>
      <c r="H43" s="181">
        <f>'A.1.0_TablaAntigüedad_Sub'!N43</f>
        <v>131</v>
      </c>
      <c r="I43" s="183">
        <f>'A.1.0_TablaAntigüedad_Sub'!AB43</f>
        <v>543.53100000000006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8152.9650000000011</v>
      </c>
      <c r="O43" s="183">
        <f>'A.0_Tablas salariales SC'!$K$146</f>
        <v>26263.770600000003</v>
      </c>
      <c r="P43" s="183">
        <f>(O43+N43)*G43+'A.0_Tablas salariales SC'!$R$164*(100%-G43)</f>
        <v>3500.7846000000004</v>
      </c>
      <c r="Q43" s="184">
        <f>IF(D43=100,'A.0_Tablas salariales SC'!$H$215,IF(D43=150,'A.0_Tablas salariales SC'!$H$216,IF(D43=189,'A.0_Tablas salariales SC'!$H$217,IF(D43=400,'A.0_Tablas salariales SC'!$H$218,IF(D43=450,'A.0_Tablas salariales SC'!$H$219,IF(D43=401,'A.0_Tablas salariales SC'!$H$220,IF(D43=451,'A.0_Tablas salariales SC'!$H$221,'A.0_Tablas salariales SC'!$H$215)))))))</f>
        <v>0.34670000000000001</v>
      </c>
      <c r="R43" s="183">
        <f t="shared" si="1"/>
        <v>1213.7220208200001</v>
      </c>
      <c r="S43" s="183">
        <f t="shared" si="2"/>
        <v>0</v>
      </c>
      <c r="T43" s="179"/>
    </row>
    <row r="44" spans="1:20">
      <c r="A44" s="508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2">
        <f>'A.1. Plantilla_Subrogacion'!F44</f>
        <v>0</v>
      </c>
      <c r="H44" s="181">
        <f>'A.1.0_TablaAntigüedad_Sub'!N44</f>
        <v>131</v>
      </c>
      <c r="I44" s="183">
        <f>'A.1.0_TablaAntigüedad_Sub'!AB44</f>
        <v>543.53100000000006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8152.9650000000011</v>
      </c>
      <c r="O44" s="183">
        <f>'A.0_Tablas salariales SC'!$K$146</f>
        <v>26263.770600000003</v>
      </c>
      <c r="P44" s="183">
        <f>(O44+N44)*G44+'A.0_Tablas salariales SC'!$R$164*(100%-G44)</f>
        <v>3500.7846000000004</v>
      </c>
      <c r="Q44" s="184">
        <f>IF(D44=100,'A.0_Tablas salariales SC'!$H$215,IF(D44=150,'A.0_Tablas salariales SC'!$H$216,IF(D44=189,'A.0_Tablas salariales SC'!$H$217,IF(D44=400,'A.0_Tablas salariales SC'!$H$218,IF(D44=450,'A.0_Tablas salariales SC'!$H$219,IF(D44=401,'A.0_Tablas salariales SC'!$H$220,IF(D44=451,'A.0_Tablas salariales SC'!$H$221,'A.0_Tablas salariales SC'!$H$215)))))))</f>
        <v>0.34670000000000001</v>
      </c>
      <c r="R44" s="183">
        <f t="shared" si="1"/>
        <v>1213.7220208200001</v>
      </c>
      <c r="S44" s="183">
        <f t="shared" si="2"/>
        <v>0</v>
      </c>
      <c r="T44" s="179"/>
    </row>
    <row r="45" spans="1:20">
      <c r="A45" s="508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2">
        <f>'A.1. Plantilla_Subrogacion'!F45</f>
        <v>0</v>
      </c>
      <c r="H45" s="181">
        <f>'A.1.0_TablaAntigüedad_Sub'!N45</f>
        <v>131</v>
      </c>
      <c r="I45" s="183">
        <f>'A.1.0_TablaAntigüedad_Sub'!AB45</f>
        <v>543.53100000000006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8152.9650000000011</v>
      </c>
      <c r="O45" s="183">
        <f>'A.0_Tablas salariales SC'!$K$146</f>
        <v>26263.770600000003</v>
      </c>
      <c r="P45" s="183">
        <f>(O45+N45)*G45+'A.0_Tablas salariales SC'!$R$164*(100%-G45)</f>
        <v>3500.7846000000004</v>
      </c>
      <c r="Q45" s="184">
        <f>IF(D45=100,'A.0_Tablas salariales SC'!$H$215,IF(D45=150,'A.0_Tablas salariales SC'!$H$216,IF(D45=189,'A.0_Tablas salariales SC'!$H$217,IF(D45=400,'A.0_Tablas salariales SC'!$H$218,IF(D45=450,'A.0_Tablas salariales SC'!$H$219,IF(D45=401,'A.0_Tablas salariales SC'!$H$220,IF(D45=451,'A.0_Tablas salariales SC'!$H$221,'A.0_Tablas salariales SC'!$H$215)))))))</f>
        <v>0.34670000000000001</v>
      </c>
      <c r="R45" s="183">
        <f t="shared" si="1"/>
        <v>1213.7220208200001</v>
      </c>
      <c r="S45" s="183">
        <f t="shared" si="2"/>
        <v>0</v>
      </c>
      <c r="T45" s="179"/>
    </row>
    <row r="46" spans="1:20">
      <c r="A46" s="508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2">
        <f>'A.1. Plantilla_Subrogacion'!F46</f>
        <v>0</v>
      </c>
      <c r="H46" s="181">
        <f>'A.1.0_TablaAntigüedad_Sub'!N46</f>
        <v>131</v>
      </c>
      <c r="I46" s="183">
        <f>'A.1.0_TablaAntigüedad_Sub'!AB46</f>
        <v>543.53100000000006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8152.9650000000011</v>
      </c>
      <c r="O46" s="183">
        <f>'A.0_Tablas salariales SC'!$K$146</f>
        <v>26263.770600000003</v>
      </c>
      <c r="P46" s="183">
        <f>(O46+N46)*G46+'A.0_Tablas salariales SC'!$R$164*(100%-G46)</f>
        <v>3500.7846000000004</v>
      </c>
      <c r="Q46" s="184">
        <f>IF(D46=100,'A.0_Tablas salariales SC'!$H$215,IF(D46=150,'A.0_Tablas salariales SC'!$H$216,IF(D46=189,'A.0_Tablas salariales SC'!$H$217,IF(D46=400,'A.0_Tablas salariales SC'!$H$218,IF(D46=450,'A.0_Tablas salariales SC'!$H$219,IF(D46=401,'A.0_Tablas salariales SC'!$H$220,IF(D46=451,'A.0_Tablas salariales SC'!$H$221,'A.0_Tablas salariales SC'!$H$215)))))))</f>
        <v>0.34670000000000001</v>
      </c>
      <c r="R46" s="183">
        <f t="shared" si="1"/>
        <v>1213.7220208200001</v>
      </c>
      <c r="S46" s="183">
        <f t="shared" si="2"/>
        <v>0</v>
      </c>
      <c r="T46" s="179"/>
    </row>
    <row r="47" spans="1:20">
      <c r="A47" s="508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2">
        <f>'A.1. Plantilla_Subrogacion'!F47</f>
        <v>0</v>
      </c>
      <c r="H47" s="181">
        <f>'A.1.0_TablaAntigüedad_Sub'!N47</f>
        <v>131</v>
      </c>
      <c r="I47" s="183">
        <f>'A.1.0_TablaAntigüedad_Sub'!AB47</f>
        <v>543.53100000000006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8152.9650000000011</v>
      </c>
      <c r="O47" s="183">
        <f>'A.0_Tablas salariales SC'!$K$146</f>
        <v>26263.770600000003</v>
      </c>
      <c r="P47" s="183">
        <f>(O47+N47)*G47+'A.0_Tablas salariales SC'!$R$164*(100%-G47)</f>
        <v>3500.7846000000004</v>
      </c>
      <c r="Q47" s="184">
        <f>IF(D47=100,'A.0_Tablas salariales SC'!$H$215,IF(D47=150,'A.0_Tablas salariales SC'!$H$216,IF(D47=189,'A.0_Tablas salariales SC'!$H$217,IF(D47=400,'A.0_Tablas salariales SC'!$H$218,IF(D47=450,'A.0_Tablas salariales SC'!$H$219,IF(D47=401,'A.0_Tablas salariales SC'!$H$220,IF(D47=451,'A.0_Tablas salariales SC'!$H$221,'A.0_Tablas salariales SC'!$H$215)))))))</f>
        <v>0.34670000000000001</v>
      </c>
      <c r="R47" s="183">
        <f t="shared" si="1"/>
        <v>1213.7220208200001</v>
      </c>
      <c r="S47" s="183">
        <f t="shared" si="2"/>
        <v>0</v>
      </c>
      <c r="T47" s="179"/>
    </row>
    <row r="48" spans="1:20">
      <c r="A48" s="508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2">
        <f>'A.1. Plantilla_Subrogacion'!F48</f>
        <v>0</v>
      </c>
      <c r="H48" s="181">
        <f>'A.1.0_TablaAntigüedad_Sub'!N48</f>
        <v>131</v>
      </c>
      <c r="I48" s="183">
        <f>'A.1.0_TablaAntigüedad_Sub'!AB48</f>
        <v>543.53100000000006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8152.9650000000011</v>
      </c>
      <c r="O48" s="183">
        <f>'A.0_Tablas salariales SC'!$K$146</f>
        <v>26263.770600000003</v>
      </c>
      <c r="P48" s="183">
        <f>(O48+N48)*G48+'A.0_Tablas salariales SC'!$R$164*(100%-G48)</f>
        <v>3500.7846000000004</v>
      </c>
      <c r="Q48" s="184">
        <f>IF(D48=100,'A.0_Tablas salariales SC'!$H$215,IF(D48=150,'A.0_Tablas salariales SC'!$H$216,IF(D48=189,'A.0_Tablas salariales SC'!$H$217,IF(D48=400,'A.0_Tablas salariales SC'!$H$218,IF(D48=450,'A.0_Tablas salariales SC'!$H$219,IF(D48=401,'A.0_Tablas salariales SC'!$H$220,IF(D48=451,'A.0_Tablas salariales SC'!$H$221,'A.0_Tablas salariales SC'!$H$215)))))))</f>
        <v>0.34670000000000001</v>
      </c>
      <c r="R48" s="183">
        <f t="shared" si="1"/>
        <v>1213.7220208200001</v>
      </c>
      <c r="S48" s="183">
        <f t="shared" si="2"/>
        <v>0</v>
      </c>
      <c r="T48" s="179"/>
    </row>
    <row r="49" spans="1:20">
      <c r="A49" s="508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2">
        <f>'A.1. Plantilla_Subrogacion'!F49</f>
        <v>0</v>
      </c>
      <c r="H49" s="181">
        <f>'A.1.0_TablaAntigüedad_Sub'!N49</f>
        <v>131</v>
      </c>
      <c r="I49" s="183">
        <f>'A.1.0_TablaAntigüedad_Sub'!AB49</f>
        <v>543.53100000000006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8152.9650000000011</v>
      </c>
      <c r="O49" s="183">
        <f>'A.0_Tablas salariales SC'!$K$146</f>
        <v>26263.770600000003</v>
      </c>
      <c r="P49" s="183">
        <f>(O49+N49)*G49+'A.0_Tablas salariales SC'!$R$164*(100%-G49)</f>
        <v>3500.7846000000004</v>
      </c>
      <c r="Q49" s="184">
        <f>IF(D49=100,'A.0_Tablas salariales SC'!$H$215,IF(D49=150,'A.0_Tablas salariales SC'!$H$216,IF(D49=189,'A.0_Tablas salariales SC'!$H$217,IF(D49=400,'A.0_Tablas salariales SC'!$H$218,IF(D49=450,'A.0_Tablas salariales SC'!$H$219,IF(D49=401,'A.0_Tablas salariales SC'!$H$220,IF(D49=451,'A.0_Tablas salariales SC'!$H$221,'A.0_Tablas salariales SC'!$H$215)))))))</f>
        <v>0.34670000000000001</v>
      </c>
      <c r="R49" s="183">
        <f t="shared" si="1"/>
        <v>1213.7220208200001</v>
      </c>
      <c r="S49" s="183">
        <f t="shared" si="2"/>
        <v>0</v>
      </c>
      <c r="T49" s="179"/>
    </row>
    <row r="50" spans="1:20">
      <c r="A50" s="508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2">
        <f>'A.1. Plantilla_Subrogacion'!F50</f>
        <v>0</v>
      </c>
      <c r="H50" s="181">
        <f>'A.1.0_TablaAntigüedad_Sub'!N50</f>
        <v>131</v>
      </c>
      <c r="I50" s="183">
        <f>'A.1.0_TablaAntigüedad_Sub'!AB50</f>
        <v>543.53100000000006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8152.9650000000011</v>
      </c>
      <c r="O50" s="183">
        <f>'A.0_Tablas salariales SC'!$K$146</f>
        <v>26263.770600000003</v>
      </c>
      <c r="P50" s="183">
        <f>(O50+N50)*G50+'A.0_Tablas salariales SC'!$R$164*(100%-G50)</f>
        <v>3500.7846000000004</v>
      </c>
      <c r="Q50" s="184">
        <f>IF(D50=100,'A.0_Tablas salariales SC'!$H$215,IF(D50=150,'A.0_Tablas salariales SC'!$H$216,IF(D50=189,'A.0_Tablas salariales SC'!$H$217,IF(D50=400,'A.0_Tablas salariales SC'!$H$218,IF(D50=450,'A.0_Tablas salariales SC'!$H$219,IF(D50=401,'A.0_Tablas salariales SC'!$H$220,IF(D50=451,'A.0_Tablas salariales SC'!$H$221,'A.0_Tablas salariales SC'!$H$215)))))))</f>
        <v>0.34670000000000001</v>
      </c>
      <c r="R50" s="183">
        <f t="shared" si="1"/>
        <v>1213.7220208200001</v>
      </c>
      <c r="S50" s="183">
        <f t="shared" si="2"/>
        <v>0</v>
      </c>
      <c r="T50" s="179"/>
    </row>
    <row r="51" spans="1:20">
      <c r="A51" s="508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2">
        <f>'A.1. Plantilla_Subrogacion'!F51</f>
        <v>0</v>
      </c>
      <c r="H51" s="181">
        <f>'A.1.0_TablaAntigüedad_Sub'!N51</f>
        <v>131</v>
      </c>
      <c r="I51" s="183">
        <f>'A.1.0_TablaAntigüedad_Sub'!AB51</f>
        <v>543.53100000000006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8152.9650000000011</v>
      </c>
      <c r="O51" s="183">
        <f>'A.0_Tablas salariales SC'!$K$146</f>
        <v>26263.770600000003</v>
      </c>
      <c r="P51" s="183">
        <f>(O51+N51)*G51+'A.0_Tablas salariales SC'!$R$164*(100%-G51)</f>
        <v>3500.7846000000004</v>
      </c>
      <c r="Q51" s="184">
        <f>IF(D51=100,'A.0_Tablas salariales SC'!$H$215,IF(D51=150,'A.0_Tablas salariales SC'!$H$216,IF(D51=189,'A.0_Tablas salariales SC'!$H$217,IF(D51=400,'A.0_Tablas salariales SC'!$H$218,IF(D51=450,'A.0_Tablas salariales SC'!$H$219,IF(D51=401,'A.0_Tablas salariales SC'!$H$220,IF(D51=451,'A.0_Tablas salariales SC'!$H$221,'A.0_Tablas salariales SC'!$H$215)))))))</f>
        <v>0.34670000000000001</v>
      </c>
      <c r="R51" s="183">
        <f t="shared" si="1"/>
        <v>1213.7220208200001</v>
      </c>
      <c r="S51" s="183">
        <f t="shared" si="2"/>
        <v>0</v>
      </c>
      <c r="T51" s="179"/>
    </row>
    <row r="52" spans="1:20">
      <c r="A52" s="508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2">
        <f>'A.1. Plantilla_Subrogacion'!F52</f>
        <v>0</v>
      </c>
      <c r="H52" s="181">
        <f>'A.1.0_TablaAntigüedad_Sub'!N52</f>
        <v>131</v>
      </c>
      <c r="I52" s="183">
        <f>'A.1.0_TablaAntigüedad_Sub'!AB52</f>
        <v>543.53100000000006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8152.9650000000011</v>
      </c>
      <c r="O52" s="183">
        <f>'A.0_Tablas salariales SC'!$K$146</f>
        <v>26263.770600000003</v>
      </c>
      <c r="P52" s="183">
        <f>(O52+N52)*G52+'A.0_Tablas salariales SC'!$R$164*(100%-G52)</f>
        <v>3500.7846000000004</v>
      </c>
      <c r="Q52" s="184">
        <f>IF(D52=100,'A.0_Tablas salariales SC'!$H$215,IF(D52=150,'A.0_Tablas salariales SC'!$H$216,IF(D52=189,'A.0_Tablas salariales SC'!$H$217,IF(D52=400,'A.0_Tablas salariales SC'!$H$218,IF(D52=450,'A.0_Tablas salariales SC'!$H$219,IF(D52=401,'A.0_Tablas salariales SC'!$H$220,IF(D52=451,'A.0_Tablas salariales SC'!$H$221,'A.0_Tablas salariales SC'!$H$215)))))))</f>
        <v>0.34670000000000001</v>
      </c>
      <c r="R52" s="183">
        <f t="shared" si="1"/>
        <v>1213.7220208200001</v>
      </c>
      <c r="S52" s="183">
        <f t="shared" si="2"/>
        <v>0</v>
      </c>
      <c r="T52" s="179"/>
    </row>
    <row r="53" spans="1:20">
      <c r="A53" s="508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2">
        <f>'A.1. Plantilla_Subrogacion'!F53</f>
        <v>0</v>
      </c>
      <c r="H53" s="181">
        <f>'A.1.0_TablaAntigüedad_Sub'!N53</f>
        <v>131</v>
      </c>
      <c r="I53" s="183">
        <f>'A.1.0_TablaAntigüedad_Sub'!AB53</f>
        <v>543.53100000000006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8152.9650000000011</v>
      </c>
      <c r="O53" s="183">
        <f>'A.0_Tablas salariales SC'!$K$146</f>
        <v>26263.770600000003</v>
      </c>
      <c r="P53" s="183">
        <f>(O53+N53)*G53+'A.0_Tablas salariales SC'!$R$164*(100%-G53)</f>
        <v>3500.7846000000004</v>
      </c>
      <c r="Q53" s="184">
        <f>IF(D53=100,'A.0_Tablas salariales SC'!$H$215,IF(D53=150,'A.0_Tablas salariales SC'!$H$216,IF(D53=189,'A.0_Tablas salariales SC'!$H$217,IF(D53=400,'A.0_Tablas salariales SC'!$H$218,IF(D53=450,'A.0_Tablas salariales SC'!$H$219,IF(D53=401,'A.0_Tablas salariales SC'!$H$220,IF(D53=451,'A.0_Tablas salariales SC'!$H$221,'A.0_Tablas salariales SC'!$H$215)))))))</f>
        <v>0.34670000000000001</v>
      </c>
      <c r="R53" s="183">
        <f t="shared" si="1"/>
        <v>1213.7220208200001</v>
      </c>
      <c r="S53" s="183">
        <f t="shared" si="2"/>
        <v>0</v>
      </c>
      <c r="T53" s="179"/>
    </row>
    <row r="54" spans="1:20">
      <c r="A54" s="508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2">
        <f>'A.1. Plantilla_Subrogacion'!F54</f>
        <v>0</v>
      </c>
      <c r="H54" s="181">
        <f>'A.1.0_TablaAntigüedad_Sub'!N54</f>
        <v>131</v>
      </c>
      <c r="I54" s="183">
        <f>'A.1.0_TablaAntigüedad_Sub'!AB54</f>
        <v>543.53100000000006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8152.9650000000011</v>
      </c>
      <c r="O54" s="183">
        <f>'A.0_Tablas salariales SC'!$K$146</f>
        <v>26263.770600000003</v>
      </c>
      <c r="P54" s="183">
        <f>(O54+N54)*G54+'A.0_Tablas salariales SC'!$R$164*(100%-G54)</f>
        <v>3500.7846000000004</v>
      </c>
      <c r="Q54" s="184">
        <f>IF(D54=100,'A.0_Tablas salariales SC'!$H$215,IF(D54=150,'A.0_Tablas salariales SC'!$H$216,IF(D54=189,'A.0_Tablas salariales SC'!$H$217,IF(D54=400,'A.0_Tablas salariales SC'!$H$218,IF(D54=450,'A.0_Tablas salariales SC'!$H$219,IF(D54=401,'A.0_Tablas salariales SC'!$H$220,IF(D54=451,'A.0_Tablas salariales SC'!$H$221,'A.0_Tablas salariales SC'!$H$215)))))))</f>
        <v>0.34670000000000001</v>
      </c>
      <c r="R54" s="183">
        <f t="shared" si="1"/>
        <v>1213.7220208200001</v>
      </c>
      <c r="S54" s="183">
        <f t="shared" si="2"/>
        <v>0</v>
      </c>
      <c r="T54" s="179"/>
    </row>
    <row r="55" spans="1:20">
      <c r="A55" s="508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2">
        <f>'A.1. Plantilla_Subrogacion'!F55</f>
        <v>0</v>
      </c>
      <c r="H55" s="181">
        <f>'A.1.0_TablaAntigüedad_Sub'!N55</f>
        <v>131</v>
      </c>
      <c r="I55" s="183">
        <f>'A.1.0_TablaAntigüedad_Sub'!AB55</f>
        <v>543.53100000000006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8152.9650000000011</v>
      </c>
      <c r="O55" s="183">
        <f>'A.0_Tablas salariales SC'!$K$146</f>
        <v>26263.770600000003</v>
      </c>
      <c r="P55" s="183">
        <f>(O55+N55)*G55+'A.0_Tablas salariales SC'!$R$164*(100%-G55)</f>
        <v>3500.7846000000004</v>
      </c>
      <c r="Q55" s="184">
        <f>IF(D55=100,'A.0_Tablas salariales SC'!$H$215,IF(D55=150,'A.0_Tablas salariales SC'!$H$216,IF(D55=189,'A.0_Tablas salariales SC'!$H$217,IF(D55=400,'A.0_Tablas salariales SC'!$H$218,IF(D55=450,'A.0_Tablas salariales SC'!$H$219,IF(D55=401,'A.0_Tablas salariales SC'!$H$220,IF(D55=451,'A.0_Tablas salariales SC'!$H$221,'A.0_Tablas salariales SC'!$H$215)))))))</f>
        <v>0.34670000000000001</v>
      </c>
      <c r="R55" s="183">
        <f t="shared" si="1"/>
        <v>1213.7220208200001</v>
      </c>
      <c r="S55" s="183">
        <f t="shared" si="2"/>
        <v>0</v>
      </c>
      <c r="T55" s="179"/>
    </row>
    <row r="56" spans="1:20">
      <c r="A56" s="508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2">
        <f>'A.1. Plantilla_Subrogacion'!F56</f>
        <v>0</v>
      </c>
      <c r="H56" s="181">
        <f>'A.1.0_TablaAntigüedad_Sub'!N56</f>
        <v>131</v>
      </c>
      <c r="I56" s="183">
        <f>'A.1.0_TablaAntigüedad_Sub'!AB56</f>
        <v>543.53100000000006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8152.9650000000011</v>
      </c>
      <c r="O56" s="183">
        <f>'A.0_Tablas salariales SC'!$K$146</f>
        <v>26263.770600000003</v>
      </c>
      <c r="P56" s="183">
        <f>(O56+N56)*G56+'A.0_Tablas salariales SC'!$R$164*(100%-G56)</f>
        <v>3500.7846000000004</v>
      </c>
      <c r="Q56" s="184">
        <f>IF(D56=100,'A.0_Tablas salariales SC'!$H$215,IF(D56=150,'A.0_Tablas salariales SC'!$H$216,IF(D56=189,'A.0_Tablas salariales SC'!$H$217,IF(D56=400,'A.0_Tablas salariales SC'!$H$218,IF(D56=450,'A.0_Tablas salariales SC'!$H$219,IF(D56=401,'A.0_Tablas salariales SC'!$H$220,IF(D56=451,'A.0_Tablas salariales SC'!$H$221,'A.0_Tablas salariales SC'!$H$215)))))))</f>
        <v>0.34670000000000001</v>
      </c>
      <c r="R56" s="183">
        <f t="shared" si="1"/>
        <v>1213.7220208200001</v>
      </c>
      <c r="S56" s="183">
        <f t="shared" si="2"/>
        <v>0</v>
      </c>
      <c r="T56" s="179"/>
    </row>
    <row r="57" spans="1:20">
      <c r="A57" s="508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2">
        <f>'A.1. Plantilla_Subrogacion'!F57</f>
        <v>0</v>
      </c>
      <c r="H57" s="181">
        <f>'A.1.0_TablaAntigüedad_Sub'!N57</f>
        <v>131</v>
      </c>
      <c r="I57" s="183">
        <f>'A.1.0_TablaAntigüedad_Sub'!AB57</f>
        <v>543.53100000000006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8152.9650000000011</v>
      </c>
      <c r="O57" s="183">
        <f>'A.0_Tablas salariales SC'!$K$146</f>
        <v>26263.770600000003</v>
      </c>
      <c r="P57" s="183">
        <f>(O57+N57)*G57+'A.0_Tablas salariales SC'!$R$164*(100%-G57)</f>
        <v>3500.7846000000004</v>
      </c>
      <c r="Q57" s="184">
        <f>IF(D57=100,'A.0_Tablas salariales SC'!$H$215,IF(D57=150,'A.0_Tablas salariales SC'!$H$216,IF(D57=189,'A.0_Tablas salariales SC'!$H$217,IF(D57=400,'A.0_Tablas salariales SC'!$H$218,IF(D57=450,'A.0_Tablas salariales SC'!$H$219,IF(D57=401,'A.0_Tablas salariales SC'!$H$220,IF(D57=451,'A.0_Tablas salariales SC'!$H$221,'A.0_Tablas salariales SC'!$H$215)))))))</f>
        <v>0.34670000000000001</v>
      </c>
      <c r="R57" s="183">
        <f t="shared" si="1"/>
        <v>1213.7220208200001</v>
      </c>
      <c r="S57" s="183">
        <f t="shared" si="2"/>
        <v>0</v>
      </c>
      <c r="T57" s="179"/>
    </row>
    <row r="58" spans="1:20">
      <c r="A58" s="508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2">
        <f>'A.1. Plantilla_Subrogacion'!F58</f>
        <v>0</v>
      </c>
      <c r="H58" s="181">
        <f>'A.1.0_TablaAntigüedad_Sub'!N58</f>
        <v>131</v>
      </c>
      <c r="I58" s="183">
        <f>'A.1.0_TablaAntigüedad_Sub'!AB58</f>
        <v>543.53100000000006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8152.9650000000011</v>
      </c>
      <c r="O58" s="183">
        <f>'A.0_Tablas salariales SC'!$K$146</f>
        <v>26263.770600000003</v>
      </c>
      <c r="P58" s="183">
        <f>(O58+N58)*G58+'A.0_Tablas salariales SC'!$R$164*(100%-G58)</f>
        <v>3500.7846000000004</v>
      </c>
      <c r="Q58" s="184">
        <f>IF(D58=100,'A.0_Tablas salariales SC'!$H$215,IF(D58=150,'A.0_Tablas salariales SC'!$H$216,IF(D58=189,'A.0_Tablas salariales SC'!$H$217,IF(D58=400,'A.0_Tablas salariales SC'!$H$218,IF(D58=450,'A.0_Tablas salariales SC'!$H$219,IF(D58=401,'A.0_Tablas salariales SC'!$H$220,IF(D58=451,'A.0_Tablas salariales SC'!$H$221,'A.0_Tablas salariales SC'!$H$215)))))))</f>
        <v>0.34670000000000001</v>
      </c>
      <c r="R58" s="183">
        <f t="shared" si="1"/>
        <v>1213.7220208200001</v>
      </c>
      <c r="S58" s="183">
        <f t="shared" si="2"/>
        <v>0</v>
      </c>
      <c r="T58" s="179"/>
    </row>
    <row r="59" spans="1:20">
      <c r="A59" s="508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2">
        <f>'A.1. Plantilla_Subrogacion'!F59</f>
        <v>0</v>
      </c>
      <c r="H59" s="181">
        <f>'A.1.0_TablaAntigüedad_Sub'!N59</f>
        <v>131</v>
      </c>
      <c r="I59" s="183">
        <f>'A.1.0_TablaAntigüedad_Sub'!AB59</f>
        <v>543.53100000000006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8152.9650000000011</v>
      </c>
      <c r="O59" s="183">
        <f>'A.0_Tablas salariales SC'!$K$146</f>
        <v>26263.770600000003</v>
      </c>
      <c r="P59" s="183">
        <f>(O59+N59)*G59+'A.0_Tablas salariales SC'!$R$164*(100%-G59)</f>
        <v>3500.7846000000004</v>
      </c>
      <c r="Q59" s="184">
        <f>IF(D59=100,'A.0_Tablas salariales SC'!$H$215,IF(D59=150,'A.0_Tablas salariales SC'!$H$216,IF(D59=189,'A.0_Tablas salariales SC'!$H$217,IF(D59=400,'A.0_Tablas salariales SC'!$H$218,IF(D59=450,'A.0_Tablas salariales SC'!$H$219,IF(D59=401,'A.0_Tablas salariales SC'!$H$220,IF(D59=451,'A.0_Tablas salariales SC'!$H$221,'A.0_Tablas salariales SC'!$H$215)))))))</f>
        <v>0.34670000000000001</v>
      </c>
      <c r="R59" s="183">
        <f t="shared" si="1"/>
        <v>1213.7220208200001</v>
      </c>
      <c r="S59" s="183">
        <f t="shared" si="2"/>
        <v>0</v>
      </c>
      <c r="T59" s="179"/>
    </row>
    <row r="60" spans="1:20">
      <c r="A60" s="508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2">
        <f>'A.1. Plantilla_Subrogacion'!F60</f>
        <v>0</v>
      </c>
      <c r="H60" s="181">
        <f>'A.1.0_TablaAntigüedad_Sub'!N60</f>
        <v>131</v>
      </c>
      <c r="I60" s="183">
        <f>'A.1.0_TablaAntigüedad_Sub'!AB60</f>
        <v>543.53100000000006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8152.9650000000011</v>
      </c>
      <c r="O60" s="183">
        <f>'A.0_Tablas salariales SC'!$K$146</f>
        <v>26263.770600000003</v>
      </c>
      <c r="P60" s="183">
        <f>(O60+N60)*G60+'A.0_Tablas salariales SC'!$R$164*(100%-G60)</f>
        <v>3500.7846000000004</v>
      </c>
      <c r="Q60" s="184">
        <f>IF(D60=100,'A.0_Tablas salariales SC'!$H$215,IF(D60=150,'A.0_Tablas salariales SC'!$H$216,IF(D60=189,'A.0_Tablas salariales SC'!$H$217,IF(D60=400,'A.0_Tablas salariales SC'!$H$218,IF(D60=450,'A.0_Tablas salariales SC'!$H$219,IF(D60=401,'A.0_Tablas salariales SC'!$H$220,IF(D60=451,'A.0_Tablas salariales SC'!$H$221,'A.0_Tablas salariales SC'!$H$215)))))))</f>
        <v>0.34670000000000001</v>
      </c>
      <c r="R60" s="183">
        <f t="shared" si="1"/>
        <v>1213.7220208200001</v>
      </c>
      <c r="S60" s="183">
        <f t="shared" si="2"/>
        <v>0</v>
      </c>
      <c r="T60" s="179"/>
    </row>
    <row r="61" spans="1:20">
      <c r="A61" s="508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2">
        <f>'A.1. Plantilla_Subrogacion'!F61</f>
        <v>0</v>
      </c>
      <c r="H61" s="181">
        <f>'A.1.0_TablaAntigüedad_Sub'!N61</f>
        <v>131</v>
      </c>
      <c r="I61" s="183">
        <f>'A.1.0_TablaAntigüedad_Sub'!AB61</f>
        <v>543.53100000000006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8152.9650000000011</v>
      </c>
      <c r="O61" s="183">
        <f>'A.0_Tablas salariales SC'!$K$146</f>
        <v>26263.770600000003</v>
      </c>
      <c r="P61" s="183">
        <f>(O61+N61)*G61+'A.0_Tablas salariales SC'!$R$164*(100%-G61)</f>
        <v>3500.7846000000004</v>
      </c>
      <c r="Q61" s="184">
        <f>IF(D61=100,'A.0_Tablas salariales SC'!$H$215,IF(D61=150,'A.0_Tablas salariales SC'!$H$216,IF(D61=189,'A.0_Tablas salariales SC'!$H$217,IF(D61=400,'A.0_Tablas salariales SC'!$H$218,IF(D61=450,'A.0_Tablas salariales SC'!$H$219,IF(D61=401,'A.0_Tablas salariales SC'!$H$220,IF(D61=451,'A.0_Tablas salariales SC'!$H$221,'A.0_Tablas salariales SC'!$H$215)))))))</f>
        <v>0.34670000000000001</v>
      </c>
      <c r="R61" s="183">
        <f t="shared" si="1"/>
        <v>1213.7220208200001</v>
      </c>
      <c r="S61" s="183">
        <f t="shared" si="2"/>
        <v>0</v>
      </c>
      <c r="T61" s="179"/>
    </row>
    <row r="62" spans="1:20">
      <c r="A62" s="508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2">
        <f>'A.1. Plantilla_Subrogacion'!F62</f>
        <v>0</v>
      </c>
      <c r="H62" s="181">
        <f>'A.1.0_TablaAntigüedad_Sub'!N62</f>
        <v>131</v>
      </c>
      <c r="I62" s="183">
        <f>'A.1.0_TablaAntigüedad_Sub'!AB62</f>
        <v>543.53100000000006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8152.9650000000011</v>
      </c>
      <c r="O62" s="183">
        <f>'A.0_Tablas salariales SC'!$K$146</f>
        <v>26263.770600000003</v>
      </c>
      <c r="P62" s="183">
        <f>(O62+N62)*G62+'A.0_Tablas salariales SC'!$R$164*(100%-G62)</f>
        <v>3500.7846000000004</v>
      </c>
      <c r="Q62" s="184">
        <f>IF(D62=100,'A.0_Tablas salariales SC'!$H$215,IF(D62=150,'A.0_Tablas salariales SC'!$H$216,IF(D62=189,'A.0_Tablas salariales SC'!$H$217,IF(D62=400,'A.0_Tablas salariales SC'!$H$218,IF(D62=450,'A.0_Tablas salariales SC'!$H$219,IF(D62=401,'A.0_Tablas salariales SC'!$H$220,IF(D62=451,'A.0_Tablas salariales SC'!$H$221,'A.0_Tablas salariales SC'!$H$215)))))))</f>
        <v>0.34670000000000001</v>
      </c>
      <c r="R62" s="183">
        <f t="shared" si="1"/>
        <v>1213.7220208200001</v>
      </c>
      <c r="S62" s="183">
        <f t="shared" si="2"/>
        <v>0</v>
      </c>
      <c r="T62" s="179"/>
    </row>
    <row r="63" spans="1:20">
      <c r="A63" s="508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2">
        <f>'A.1. Plantilla_Subrogacion'!F63</f>
        <v>0</v>
      </c>
      <c r="H63" s="181">
        <f>'A.1.0_TablaAntigüedad_Sub'!N63</f>
        <v>131</v>
      </c>
      <c r="I63" s="183">
        <f>'A.1.0_TablaAntigüedad_Sub'!AB63</f>
        <v>543.53100000000006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8152.9650000000011</v>
      </c>
      <c r="O63" s="183">
        <f>'A.0_Tablas salariales SC'!$K$146</f>
        <v>26263.770600000003</v>
      </c>
      <c r="P63" s="183">
        <f>(O63+N63)*G63+'A.0_Tablas salariales SC'!$R$164*(100%-G63)</f>
        <v>3500.7846000000004</v>
      </c>
      <c r="Q63" s="184">
        <f>IF(D63=100,'A.0_Tablas salariales SC'!$H$215,IF(D63=150,'A.0_Tablas salariales SC'!$H$216,IF(D63=189,'A.0_Tablas salariales SC'!$H$217,IF(D63=400,'A.0_Tablas salariales SC'!$H$218,IF(D63=450,'A.0_Tablas salariales SC'!$H$219,IF(D63=401,'A.0_Tablas salariales SC'!$H$220,IF(D63=451,'A.0_Tablas salariales SC'!$H$221,'A.0_Tablas salariales SC'!$H$215)))))))</f>
        <v>0.34670000000000001</v>
      </c>
      <c r="R63" s="183">
        <f t="shared" si="1"/>
        <v>1213.7220208200001</v>
      </c>
      <c r="S63" s="183">
        <f t="shared" si="2"/>
        <v>0</v>
      </c>
      <c r="T63" s="179"/>
    </row>
    <row r="64" spans="1:20">
      <c r="A64" s="508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2">
        <f>'A.1. Plantilla_Subrogacion'!F64</f>
        <v>0</v>
      </c>
      <c r="H64" s="181">
        <f>'A.1.0_TablaAntigüedad_Sub'!N64</f>
        <v>131</v>
      </c>
      <c r="I64" s="183">
        <f>'A.1.0_TablaAntigüedad_Sub'!AB64</f>
        <v>543.53100000000006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8152.9650000000011</v>
      </c>
      <c r="O64" s="183">
        <f>'A.0_Tablas salariales SC'!$K$146</f>
        <v>26263.770600000003</v>
      </c>
      <c r="P64" s="183">
        <f>(O64+N64)*G64+'A.0_Tablas salariales SC'!$R$164*(100%-G64)</f>
        <v>3500.7846000000004</v>
      </c>
      <c r="Q64" s="184">
        <f>IF(D64=100,'A.0_Tablas salariales SC'!$H$215,IF(D64=150,'A.0_Tablas salariales SC'!$H$216,IF(D64=189,'A.0_Tablas salariales SC'!$H$217,IF(D64=400,'A.0_Tablas salariales SC'!$H$218,IF(D64=450,'A.0_Tablas salariales SC'!$H$219,IF(D64=401,'A.0_Tablas salariales SC'!$H$220,IF(D64=451,'A.0_Tablas salariales SC'!$H$221,'A.0_Tablas salariales SC'!$H$215)))))))</f>
        <v>0.34670000000000001</v>
      </c>
      <c r="R64" s="183">
        <f t="shared" si="1"/>
        <v>1213.7220208200001</v>
      </c>
      <c r="S64" s="183">
        <f t="shared" si="2"/>
        <v>0</v>
      </c>
      <c r="T64" s="179"/>
    </row>
    <row r="65" spans="1:20">
      <c r="A65" s="508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2">
        <f>'A.1. Plantilla_Subrogacion'!F65</f>
        <v>0</v>
      </c>
      <c r="H65" s="181">
        <f>'A.1.0_TablaAntigüedad_Sub'!N65</f>
        <v>131</v>
      </c>
      <c r="I65" s="183">
        <f>'A.1.0_TablaAntigüedad_Sub'!AB65</f>
        <v>543.53100000000006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8152.9650000000011</v>
      </c>
      <c r="O65" s="183">
        <f>'A.0_Tablas salariales SC'!$K$146</f>
        <v>26263.770600000003</v>
      </c>
      <c r="P65" s="183">
        <f>(O65+N65)*G65+'A.0_Tablas salariales SC'!$R$164*(100%-G65)</f>
        <v>3500.7846000000004</v>
      </c>
      <c r="Q65" s="184">
        <f>IF(D65=100,'A.0_Tablas salariales SC'!$H$215,IF(D65=150,'A.0_Tablas salariales SC'!$H$216,IF(D65=189,'A.0_Tablas salariales SC'!$H$217,IF(D65=400,'A.0_Tablas salariales SC'!$H$218,IF(D65=450,'A.0_Tablas salariales SC'!$H$219,IF(D65=401,'A.0_Tablas salariales SC'!$H$220,IF(D65=451,'A.0_Tablas salariales SC'!$H$221,'A.0_Tablas salariales SC'!$H$215)))))))</f>
        <v>0.34670000000000001</v>
      </c>
      <c r="R65" s="183">
        <f t="shared" si="1"/>
        <v>1213.7220208200001</v>
      </c>
      <c r="S65" s="183">
        <f t="shared" si="2"/>
        <v>0</v>
      </c>
      <c r="T65" s="179"/>
    </row>
    <row r="66" spans="1:20">
      <c r="A66" s="508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2">
        <f>'A.1. Plantilla_Subrogacion'!F66</f>
        <v>0</v>
      </c>
      <c r="H66" s="181">
        <f>'A.1.0_TablaAntigüedad_Sub'!N66</f>
        <v>131</v>
      </c>
      <c r="I66" s="183">
        <f>'A.1.0_TablaAntigüedad_Sub'!AB66</f>
        <v>543.53100000000006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8152.9650000000011</v>
      </c>
      <c r="O66" s="183">
        <f>'A.0_Tablas salariales SC'!$K$146</f>
        <v>26263.770600000003</v>
      </c>
      <c r="P66" s="183">
        <f>(O66+N66)*G66+'A.0_Tablas salariales SC'!$R$164*(100%-G66)</f>
        <v>3500.7846000000004</v>
      </c>
      <c r="Q66" s="184">
        <f>IF(D66=100,'A.0_Tablas salariales SC'!$H$215,IF(D66=150,'A.0_Tablas salariales SC'!$H$216,IF(D66=189,'A.0_Tablas salariales SC'!$H$217,IF(D66=400,'A.0_Tablas salariales SC'!$H$218,IF(D66=450,'A.0_Tablas salariales SC'!$H$219,IF(D66=401,'A.0_Tablas salariales SC'!$H$220,IF(D66=451,'A.0_Tablas salariales SC'!$H$221,'A.0_Tablas salariales SC'!$H$215)))))))</f>
        <v>0.34670000000000001</v>
      </c>
      <c r="R66" s="183">
        <f t="shared" si="1"/>
        <v>1213.7220208200001</v>
      </c>
      <c r="S66" s="183">
        <f t="shared" si="2"/>
        <v>0</v>
      </c>
      <c r="T66" s="179"/>
    </row>
    <row r="67" spans="1:20">
      <c r="A67" s="508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2">
        <f>'A.1. Plantilla_Subrogacion'!F67</f>
        <v>0</v>
      </c>
      <c r="H67" s="181">
        <f>'A.1.0_TablaAntigüedad_Sub'!N67</f>
        <v>131</v>
      </c>
      <c r="I67" s="183">
        <f>'A.1.0_TablaAntigüedad_Sub'!AB67</f>
        <v>543.53100000000006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8152.9650000000011</v>
      </c>
      <c r="O67" s="183">
        <f>'A.0_Tablas salariales SC'!$K$146</f>
        <v>26263.770600000003</v>
      </c>
      <c r="P67" s="183">
        <f>(O67+N67)*G67+'A.0_Tablas salariales SC'!$R$164*(100%-G67)</f>
        <v>3500.7846000000004</v>
      </c>
      <c r="Q67" s="184">
        <f>IF(D67=100,'A.0_Tablas salariales SC'!$H$215,IF(D67=150,'A.0_Tablas salariales SC'!$H$216,IF(D67=189,'A.0_Tablas salariales SC'!$H$217,IF(D67=400,'A.0_Tablas salariales SC'!$H$218,IF(D67=450,'A.0_Tablas salariales SC'!$H$219,IF(D67=401,'A.0_Tablas salariales SC'!$H$220,IF(D67=451,'A.0_Tablas salariales SC'!$H$221,'A.0_Tablas salariales SC'!$H$215)))))))</f>
        <v>0.34670000000000001</v>
      </c>
      <c r="R67" s="183">
        <f t="shared" si="1"/>
        <v>1213.7220208200001</v>
      </c>
      <c r="S67" s="183">
        <f t="shared" si="2"/>
        <v>0</v>
      </c>
      <c r="T67" s="179"/>
    </row>
    <row r="68" spans="1:20">
      <c r="A68" s="508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2">
        <f>'A.1. Plantilla_Subrogacion'!F68</f>
        <v>0</v>
      </c>
      <c r="H68" s="181">
        <f>'A.1.0_TablaAntigüedad_Sub'!N68</f>
        <v>131</v>
      </c>
      <c r="I68" s="183">
        <f>'A.1.0_TablaAntigüedad_Sub'!AB68</f>
        <v>543.53100000000006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8152.9650000000011</v>
      </c>
      <c r="O68" s="183">
        <f>'A.0_Tablas salariales SC'!$K$146</f>
        <v>26263.770600000003</v>
      </c>
      <c r="P68" s="183">
        <f>(O68+N68)*G68+'A.0_Tablas salariales SC'!$R$164*(100%-G68)</f>
        <v>3500.7846000000004</v>
      </c>
      <c r="Q68" s="184">
        <f>IF(D68=100,'A.0_Tablas salariales SC'!$H$215,IF(D68=150,'A.0_Tablas salariales SC'!$H$216,IF(D68=189,'A.0_Tablas salariales SC'!$H$217,IF(D68=400,'A.0_Tablas salariales SC'!$H$218,IF(D68=450,'A.0_Tablas salariales SC'!$H$219,IF(D68=401,'A.0_Tablas salariales SC'!$H$220,IF(D68=451,'A.0_Tablas salariales SC'!$H$221,'A.0_Tablas salariales SC'!$H$215)))))))</f>
        <v>0.34670000000000001</v>
      </c>
      <c r="R68" s="183">
        <f t="shared" si="1"/>
        <v>1213.7220208200001</v>
      </c>
      <c r="S68" s="183">
        <f t="shared" si="2"/>
        <v>0</v>
      </c>
      <c r="T68" s="179"/>
    </row>
    <row r="69" spans="1:20">
      <c r="A69" s="508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2">
        <f>'A.1. Plantilla_Subrogacion'!F69</f>
        <v>0</v>
      </c>
      <c r="H69" s="181">
        <f>'A.1.0_TablaAntigüedad_Sub'!N69</f>
        <v>131</v>
      </c>
      <c r="I69" s="183">
        <f>'A.1.0_TablaAntigüedad_Sub'!AB69</f>
        <v>543.53100000000006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8152.9650000000011</v>
      </c>
      <c r="O69" s="183">
        <f>'A.0_Tablas salariales SC'!$K$146</f>
        <v>26263.770600000003</v>
      </c>
      <c r="P69" s="183">
        <f>(O69+N69)*G69+'A.0_Tablas salariales SC'!$R$164*(100%-G69)</f>
        <v>3500.7846000000004</v>
      </c>
      <c r="Q69" s="184">
        <f>IF(D69=100,'A.0_Tablas salariales SC'!$H$215,IF(D69=150,'A.0_Tablas salariales SC'!$H$216,IF(D69=189,'A.0_Tablas salariales SC'!$H$217,IF(D69=400,'A.0_Tablas salariales SC'!$H$218,IF(D69=450,'A.0_Tablas salariales SC'!$H$219,IF(D69=401,'A.0_Tablas salariales SC'!$H$220,IF(D69=451,'A.0_Tablas salariales SC'!$H$221,'A.0_Tablas salariales SC'!$H$215)))))))</f>
        <v>0.34670000000000001</v>
      </c>
      <c r="R69" s="183">
        <f t="shared" ref="R69:R84" si="5">Q69*P69</f>
        <v>1213.7220208200001</v>
      </c>
      <c r="S69" s="183">
        <f t="shared" ref="S69:S84" si="6">(R69+P69)*A69</f>
        <v>0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'A.1.0_TablaAntigüedad_Sub'!N70</f>
        <v>131</v>
      </c>
      <c r="I70" s="183">
        <f>'A.1.0_TablaAntigüedad_Sub'!AB70</f>
        <v>543.53100000000006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8152.9650000000011</v>
      </c>
      <c r="O70" s="183">
        <f>'A.0_Tablas salariales SC'!$K$146</f>
        <v>26263.770600000003</v>
      </c>
      <c r="P70" s="183">
        <f>(O70+N70)*G70+'A.0_Tablas salariales SC'!$R$164*(100%-G70)</f>
        <v>3500.7846000000004</v>
      </c>
      <c r="Q70" s="184">
        <f>IF(D70=100,'A.0_Tablas salariales SC'!$H$215,IF(D70=150,'A.0_Tablas salariales SC'!$H$216,IF(D70=189,'A.0_Tablas salariales SC'!$H$217,IF(D70=400,'A.0_Tablas salariales SC'!$H$218,IF(D70=450,'A.0_Tablas salariales SC'!$H$219,IF(D70=401,'A.0_Tablas salariales SC'!$H$220,IF(D70=451,'A.0_Tablas salariales SC'!$H$221,'A.0_Tablas salariales SC'!$H$215)))))))</f>
        <v>0.34670000000000001</v>
      </c>
      <c r="R70" s="183">
        <f t="shared" si="5"/>
        <v>1213.7220208200001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'A.1.0_TablaAntigüedad_Sub'!N71</f>
        <v>131</v>
      </c>
      <c r="I71" s="183">
        <f>'A.1.0_TablaAntigüedad_Sub'!AB71</f>
        <v>543.53100000000006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8152.9650000000011</v>
      </c>
      <c r="O71" s="183">
        <f>'A.0_Tablas salariales SC'!$K$146</f>
        <v>26263.770600000003</v>
      </c>
      <c r="P71" s="183">
        <f>(O71+N71)*G71+'A.0_Tablas salariales SC'!$R$164*(100%-G71)</f>
        <v>3500.7846000000004</v>
      </c>
      <c r="Q71" s="184">
        <f>IF(D71=100,'A.0_Tablas salariales SC'!$H$215,IF(D71=150,'A.0_Tablas salariales SC'!$H$216,IF(D71=189,'A.0_Tablas salariales SC'!$H$217,IF(D71=400,'A.0_Tablas salariales SC'!$H$218,IF(D71=450,'A.0_Tablas salariales SC'!$H$219,IF(D71=401,'A.0_Tablas salariales SC'!$H$220,IF(D71=451,'A.0_Tablas salariales SC'!$H$221,'A.0_Tablas salariales SC'!$H$215)))))))</f>
        <v>0.34670000000000001</v>
      </c>
      <c r="R71" s="183">
        <f t="shared" si="5"/>
        <v>1213.7220208200001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'A.1.0_TablaAntigüedad_Sub'!N72</f>
        <v>131</v>
      </c>
      <c r="I72" s="183">
        <f>'A.1.0_TablaAntigüedad_Sub'!AB72</f>
        <v>543.53100000000006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8152.9650000000011</v>
      </c>
      <c r="O72" s="183">
        <f>'A.0_Tablas salariales SC'!$K$146</f>
        <v>26263.770600000003</v>
      </c>
      <c r="P72" s="183">
        <f>(O72+N72)*G72+'A.0_Tablas salariales SC'!$R$164*(100%-G72)</f>
        <v>3500.7846000000004</v>
      </c>
      <c r="Q72" s="184">
        <f>IF(D72=100,'A.0_Tablas salariales SC'!$H$215,IF(D72=150,'A.0_Tablas salariales SC'!$H$216,IF(D72=189,'A.0_Tablas salariales SC'!$H$217,IF(D72=400,'A.0_Tablas salariales SC'!$H$218,IF(D72=450,'A.0_Tablas salariales SC'!$H$219,IF(D72=401,'A.0_Tablas salariales SC'!$H$220,IF(D72=451,'A.0_Tablas salariales SC'!$H$221,'A.0_Tablas salariales SC'!$H$215)))))))</f>
        <v>0.34670000000000001</v>
      </c>
      <c r="R72" s="183">
        <f t="shared" si="5"/>
        <v>1213.7220208200001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'A.1.0_TablaAntigüedad_Sub'!N73</f>
        <v>131</v>
      </c>
      <c r="I73" s="183">
        <f>'A.1.0_TablaAntigüedad_Sub'!AB73</f>
        <v>543.53100000000006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8152.9650000000011</v>
      </c>
      <c r="O73" s="183">
        <f>'A.0_Tablas salariales SC'!$K$146</f>
        <v>26263.770600000003</v>
      </c>
      <c r="P73" s="183">
        <f>(O73+N73)*G73+'A.0_Tablas salariales SC'!$R$164*(100%-G73)</f>
        <v>3500.7846000000004</v>
      </c>
      <c r="Q73" s="184">
        <f>IF(D73=100,'A.0_Tablas salariales SC'!$H$215,IF(D73=150,'A.0_Tablas salariales SC'!$H$216,IF(D73=189,'A.0_Tablas salariales SC'!$H$217,IF(D73=400,'A.0_Tablas salariales SC'!$H$218,IF(D73=450,'A.0_Tablas salariales SC'!$H$219,IF(D73=401,'A.0_Tablas salariales SC'!$H$220,IF(D73=451,'A.0_Tablas salariales SC'!$H$221,'A.0_Tablas salariales SC'!$H$215)))))))</f>
        <v>0.34670000000000001</v>
      </c>
      <c r="R73" s="183">
        <f t="shared" si="5"/>
        <v>1213.7220208200001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'A.1.0_TablaAntigüedad_Sub'!N74</f>
        <v>131</v>
      </c>
      <c r="I74" s="183">
        <f>'A.1.0_TablaAntigüedad_Sub'!AB74</f>
        <v>543.53100000000006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8152.9650000000011</v>
      </c>
      <c r="O74" s="183">
        <f>'A.0_Tablas salariales SC'!$K$146</f>
        <v>26263.770600000003</v>
      </c>
      <c r="P74" s="183">
        <f>(O74+N74)*G74+'A.0_Tablas salariales SC'!$R$164*(100%-G74)</f>
        <v>3500.7846000000004</v>
      </c>
      <c r="Q74" s="184">
        <f>IF(D74=100,'A.0_Tablas salariales SC'!$H$215,IF(D74=150,'A.0_Tablas salariales SC'!$H$216,IF(D74=189,'A.0_Tablas salariales SC'!$H$217,IF(D74=400,'A.0_Tablas salariales SC'!$H$218,IF(D74=450,'A.0_Tablas salariales SC'!$H$219,IF(D74=401,'A.0_Tablas salariales SC'!$H$220,IF(D74=451,'A.0_Tablas salariales SC'!$H$221,'A.0_Tablas salariales SC'!$H$215)))))))</f>
        <v>0.34670000000000001</v>
      </c>
      <c r="R74" s="183">
        <f t="shared" si="5"/>
        <v>1213.7220208200001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'A.1.0_TablaAntigüedad_Sub'!N75</f>
        <v>131</v>
      </c>
      <c r="I75" s="183">
        <f>'A.1.0_TablaAntigüedad_Sub'!AB75</f>
        <v>543.53100000000006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8152.9650000000011</v>
      </c>
      <c r="O75" s="183">
        <f>'A.0_Tablas salariales SC'!$K$146</f>
        <v>26263.770600000003</v>
      </c>
      <c r="P75" s="183">
        <f>(O75+N75)*G75+'A.0_Tablas salariales SC'!$R$164*(100%-G75)</f>
        <v>3500.7846000000004</v>
      </c>
      <c r="Q75" s="184">
        <f>IF(D75=100,'A.0_Tablas salariales SC'!$H$215,IF(D75=150,'A.0_Tablas salariales SC'!$H$216,IF(D75=189,'A.0_Tablas salariales SC'!$H$217,IF(D75=400,'A.0_Tablas salariales SC'!$H$218,IF(D75=450,'A.0_Tablas salariales SC'!$H$219,IF(D75=401,'A.0_Tablas salariales SC'!$H$220,IF(D75=451,'A.0_Tablas salariales SC'!$H$221,'A.0_Tablas salariales SC'!$H$215)))))))</f>
        <v>0.34670000000000001</v>
      </c>
      <c r="R75" s="183">
        <f t="shared" si="5"/>
        <v>1213.7220208200001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'A.1.0_TablaAntigüedad_Sub'!N76</f>
        <v>131</v>
      </c>
      <c r="I76" s="183">
        <f>'A.1.0_TablaAntigüedad_Sub'!AB76</f>
        <v>543.53100000000006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8152.9650000000011</v>
      </c>
      <c r="O76" s="183">
        <f>'A.0_Tablas salariales SC'!$K$146</f>
        <v>26263.770600000003</v>
      </c>
      <c r="P76" s="183">
        <f>(O76+N76)*G76+'A.0_Tablas salariales SC'!$R$164*(100%-G76)</f>
        <v>3500.7846000000004</v>
      </c>
      <c r="Q76" s="184">
        <f>IF(D76=100,'A.0_Tablas salariales SC'!$H$215,IF(D76=150,'A.0_Tablas salariales SC'!$H$216,IF(D76=189,'A.0_Tablas salariales SC'!$H$217,IF(D76=400,'A.0_Tablas salariales SC'!$H$218,IF(D76=450,'A.0_Tablas salariales SC'!$H$219,IF(D76=401,'A.0_Tablas salariales SC'!$H$220,IF(D76=451,'A.0_Tablas salariales SC'!$H$221,'A.0_Tablas salariales SC'!$H$215)))))))</f>
        <v>0.34670000000000001</v>
      </c>
      <c r="R76" s="183">
        <f t="shared" si="5"/>
        <v>1213.7220208200001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'A.1.0_TablaAntigüedad_Sub'!N77</f>
        <v>131</v>
      </c>
      <c r="I77" s="183">
        <f>'A.1.0_TablaAntigüedad_Sub'!AB77</f>
        <v>543.53100000000006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8152.9650000000011</v>
      </c>
      <c r="O77" s="183">
        <f>'A.0_Tablas salariales SC'!$K$146</f>
        <v>26263.770600000003</v>
      </c>
      <c r="P77" s="183">
        <f>(O77+N77)*G77+'A.0_Tablas salariales SC'!$R$164*(100%-G77)</f>
        <v>3500.7846000000004</v>
      </c>
      <c r="Q77" s="184">
        <f>IF(D77=100,'A.0_Tablas salariales SC'!$H$215,IF(D77=150,'A.0_Tablas salariales SC'!$H$216,IF(D77=189,'A.0_Tablas salariales SC'!$H$217,IF(D77=400,'A.0_Tablas salariales SC'!$H$218,IF(D77=450,'A.0_Tablas salariales SC'!$H$219,IF(D77=401,'A.0_Tablas salariales SC'!$H$220,IF(D77=451,'A.0_Tablas salariales SC'!$H$221,'A.0_Tablas salariales SC'!$H$215)))))))</f>
        <v>0.34670000000000001</v>
      </c>
      <c r="R77" s="183">
        <f t="shared" si="5"/>
        <v>1213.7220208200001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'A.1.0_TablaAntigüedad_Sub'!N78</f>
        <v>131</v>
      </c>
      <c r="I78" s="183">
        <f>'A.1.0_TablaAntigüedad_Sub'!AB78</f>
        <v>543.53100000000006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8152.9650000000011</v>
      </c>
      <c r="O78" s="183">
        <f>'A.0_Tablas salariales SC'!$K$146</f>
        <v>26263.770600000003</v>
      </c>
      <c r="P78" s="183">
        <f>(O78+N78)*G78+'A.0_Tablas salariales SC'!$R$164*(100%-G78)</f>
        <v>3500.7846000000004</v>
      </c>
      <c r="Q78" s="184">
        <f>IF(D78=100,'A.0_Tablas salariales SC'!$H$215,IF(D78=150,'A.0_Tablas salariales SC'!$H$216,IF(D78=189,'A.0_Tablas salariales SC'!$H$217,IF(D78=400,'A.0_Tablas salariales SC'!$H$218,IF(D78=450,'A.0_Tablas salariales SC'!$H$219,IF(D78=401,'A.0_Tablas salariales SC'!$H$220,IF(D78=451,'A.0_Tablas salariales SC'!$H$221,'A.0_Tablas salariales SC'!$H$215)))))))</f>
        <v>0.34670000000000001</v>
      </c>
      <c r="R78" s="183">
        <f t="shared" si="5"/>
        <v>1213.7220208200001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'A.1.0_TablaAntigüedad_Sub'!N79</f>
        <v>131</v>
      </c>
      <c r="I79" s="183">
        <f>'A.1.0_TablaAntigüedad_Sub'!AB79</f>
        <v>543.53100000000006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8152.9650000000011</v>
      </c>
      <c r="O79" s="183">
        <f>'A.0_Tablas salariales SC'!$K$146</f>
        <v>26263.770600000003</v>
      </c>
      <c r="P79" s="183">
        <f>(O79+N79)*G79+'A.0_Tablas salariales SC'!$R$164*(100%-G79)</f>
        <v>3500.7846000000004</v>
      </c>
      <c r="Q79" s="184">
        <f>IF(D79=100,'A.0_Tablas salariales SC'!$H$215,IF(D79=150,'A.0_Tablas salariales SC'!$H$216,IF(D79=189,'A.0_Tablas salariales SC'!$H$217,IF(D79=400,'A.0_Tablas salariales SC'!$H$218,IF(D79=450,'A.0_Tablas salariales SC'!$H$219,IF(D79=401,'A.0_Tablas salariales SC'!$H$220,IF(D79=451,'A.0_Tablas salariales SC'!$H$221,'A.0_Tablas salariales SC'!$H$215)))))))</f>
        <v>0.34670000000000001</v>
      </c>
      <c r="R79" s="183">
        <f t="shared" si="5"/>
        <v>1213.7220208200001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'A.1.0_TablaAntigüedad_Sub'!N80</f>
        <v>131</v>
      </c>
      <c r="I80" s="183">
        <f>'A.1.0_TablaAntigüedad_Sub'!AB80</f>
        <v>543.53100000000006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8152.9650000000011</v>
      </c>
      <c r="O80" s="183">
        <f>'A.0_Tablas salariales SC'!$K$146</f>
        <v>26263.770600000003</v>
      </c>
      <c r="P80" s="183">
        <f>(O80+N80)*G80+'A.0_Tablas salariales SC'!$R$164*(100%-G80)</f>
        <v>3500.7846000000004</v>
      </c>
      <c r="Q80" s="184">
        <f>IF(D80=100,'A.0_Tablas salariales SC'!$H$215,IF(D80=150,'A.0_Tablas salariales SC'!$H$216,IF(D80=189,'A.0_Tablas salariales SC'!$H$217,IF(D80=400,'A.0_Tablas salariales SC'!$H$218,IF(D80=450,'A.0_Tablas salariales SC'!$H$219,IF(D80=401,'A.0_Tablas salariales SC'!$H$220,IF(D80=451,'A.0_Tablas salariales SC'!$H$221,'A.0_Tablas salariales SC'!$H$215)))))))</f>
        <v>0.34670000000000001</v>
      </c>
      <c r="R80" s="183">
        <f t="shared" si="5"/>
        <v>1213.7220208200001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'A.1.0_TablaAntigüedad_Sub'!N81</f>
        <v>131</v>
      </c>
      <c r="I81" s="183">
        <f>'A.1.0_TablaAntigüedad_Sub'!AB81</f>
        <v>543.53100000000006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8152.9650000000011</v>
      </c>
      <c r="O81" s="183">
        <f>'A.0_Tablas salariales SC'!$K$146</f>
        <v>26263.770600000003</v>
      </c>
      <c r="P81" s="183">
        <f>(O81+N81)*G81+'A.0_Tablas salariales SC'!$R$164*(100%-G81)</f>
        <v>3500.7846000000004</v>
      </c>
      <c r="Q81" s="184">
        <f>IF(D81=100,'A.0_Tablas salariales SC'!$H$215,IF(D81=150,'A.0_Tablas salariales SC'!$H$216,IF(D81=189,'A.0_Tablas salariales SC'!$H$217,IF(D81=400,'A.0_Tablas salariales SC'!$H$218,IF(D81=450,'A.0_Tablas salariales SC'!$H$219,IF(D81=401,'A.0_Tablas salariales SC'!$H$220,IF(D81=451,'A.0_Tablas salariales SC'!$H$221,'A.0_Tablas salariales SC'!$H$215)))))))</f>
        <v>0.34670000000000001</v>
      </c>
      <c r="R81" s="183">
        <f t="shared" si="5"/>
        <v>1213.7220208200001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'A.1.0_TablaAntigüedad_Sub'!N82</f>
        <v>131</v>
      </c>
      <c r="I82" s="183">
        <f>'A.1.0_TablaAntigüedad_Sub'!AB82</f>
        <v>543.53100000000006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8152.9650000000011</v>
      </c>
      <c r="O82" s="183">
        <f>'A.0_Tablas salariales SC'!$K$146</f>
        <v>26263.770600000003</v>
      </c>
      <c r="P82" s="183">
        <f>(O82+N82)*G82+'A.0_Tablas salariales SC'!$R$164*(100%-G82)</f>
        <v>3500.7846000000004</v>
      </c>
      <c r="Q82" s="184">
        <f>IF(D82=100,'A.0_Tablas salariales SC'!$H$215,IF(D82=150,'A.0_Tablas salariales SC'!$H$216,IF(D82=189,'A.0_Tablas salariales SC'!$H$217,IF(D82=400,'A.0_Tablas salariales SC'!$H$218,IF(D82=450,'A.0_Tablas salariales SC'!$H$219,IF(D82=401,'A.0_Tablas salariales SC'!$H$220,IF(D82=451,'A.0_Tablas salariales SC'!$H$221,'A.0_Tablas salariales SC'!$H$215)))))))</f>
        <v>0.34670000000000001</v>
      </c>
      <c r="R82" s="183">
        <f t="shared" si="5"/>
        <v>1213.7220208200001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'A.1.0_TablaAntigüedad_Sub'!N83</f>
        <v>131</v>
      </c>
      <c r="I83" s="183">
        <f>'A.1.0_TablaAntigüedad_Sub'!AB83</f>
        <v>543.53100000000006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8152.9650000000011</v>
      </c>
      <c r="O83" s="183">
        <f>'A.0_Tablas salariales SC'!$K$146</f>
        <v>26263.770600000003</v>
      </c>
      <c r="P83" s="183">
        <f>(O83+N83)*G83+'A.0_Tablas salariales SC'!$R$164*(100%-G83)</f>
        <v>3500.7846000000004</v>
      </c>
      <c r="Q83" s="184">
        <f>IF(D83=100,'A.0_Tablas salariales SC'!$H$215,IF(D83=150,'A.0_Tablas salariales SC'!$H$216,IF(D83=189,'A.0_Tablas salariales SC'!$H$217,IF(D83=400,'A.0_Tablas salariales SC'!$H$218,IF(D83=450,'A.0_Tablas salariales SC'!$H$219,IF(D83=401,'A.0_Tablas salariales SC'!$H$220,IF(D83=451,'A.0_Tablas salariales SC'!$H$221,'A.0_Tablas salariales SC'!$H$215)))))))</f>
        <v>0.34670000000000001</v>
      </c>
      <c r="R83" s="183">
        <f t="shared" si="5"/>
        <v>1213.7220208200001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'A.1.0_TablaAntigüedad_Sub'!N84</f>
        <v>131</v>
      </c>
      <c r="I84" s="183">
        <f>'A.1.0_TablaAntigüedad_Sub'!AB84</f>
        <v>543.53100000000006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8152.9650000000011</v>
      </c>
      <c r="O84" s="183">
        <f>'A.0_Tablas salariales SC'!$K$146</f>
        <v>26263.770600000003</v>
      </c>
      <c r="P84" s="183">
        <f>(O84+N84)*G84+'A.0_Tablas salariales SC'!$R$164*(100%-G84)</f>
        <v>3500.7846000000004</v>
      </c>
      <c r="Q84" s="184">
        <f>IF(D84=100,'A.0_Tablas salariales SC'!$H$215,IF(D84=150,'A.0_Tablas salariales SC'!$H$216,IF(D84=189,'A.0_Tablas salariales SC'!$H$217,IF(D84=400,'A.0_Tablas salariales SC'!$H$218,IF(D84=450,'A.0_Tablas salariales SC'!$H$219,IF(D84=401,'A.0_Tablas salariales SC'!$H$220,IF(D84=451,'A.0_Tablas salariales SC'!$H$221,'A.0_Tablas salariales SC'!$H$215)))))))</f>
        <v>0.34670000000000001</v>
      </c>
      <c r="R84" s="183">
        <f t="shared" si="5"/>
        <v>1213.7220208200001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'A.1.0_TablaAntigüedad_Sub'!N85</f>
        <v>131</v>
      </c>
      <c r="I85" s="183">
        <f>'A.1.0_TablaAntigüedad_Sub'!AB85</f>
        <v>543.53100000000006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8152.9650000000011</v>
      </c>
      <c r="O85" s="183">
        <f>'A.0_Tablas salariales SC'!$K$146</f>
        <v>26263.770600000003</v>
      </c>
      <c r="P85" s="183">
        <f>(O85+N85)*G85+'A.0_Tablas salariales SC'!$R$164*(100%-G85)</f>
        <v>3500.7846000000004</v>
      </c>
      <c r="Q85" s="184">
        <f>IF(D85=100,'A.0_Tablas salariales SC'!$H$215,IF(D85=150,'A.0_Tablas salariales SC'!$H$216,IF(D85=189,'A.0_Tablas salariales SC'!$H$217,IF(D85=400,'A.0_Tablas salariales SC'!$H$218,IF(D85=450,'A.0_Tablas salariales SC'!$H$219,IF(D85=401,'A.0_Tablas salariales SC'!$H$220,IF(D85=451,'A.0_Tablas salariales SC'!$H$221,'A.0_Tablas salariales SC'!$H$215)))))))</f>
        <v>0.34670000000000001</v>
      </c>
      <c r="R85" s="183">
        <f t="shared" si="1"/>
        <v>1213.7220208200001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0</v>
      </c>
    </row>
    <row r="87" spans="1:20">
      <c r="A87" s="508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2">
        <f>'A.1. Plantilla_Subrogacion'!F87</f>
        <v>0</v>
      </c>
      <c r="H87" s="181">
        <f>'A.1.0_TablaAntigüedad_Sub'!N87</f>
        <v>131</v>
      </c>
      <c r="I87" s="183">
        <f>'A.1.0_TablaAntigüedad_Sub'!AB87</f>
        <v>543.53100000000006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8152.9650000000011</v>
      </c>
      <c r="O87" s="183">
        <f>'A.0_Tablas salariales SC'!$K$149</f>
        <v>27236.193600000002</v>
      </c>
      <c r="P87" s="183">
        <f>(O87+N87)*G87+'A.0_Tablas salariales SC'!$R$164*(100%-G87)</f>
        <v>3500.7846000000004</v>
      </c>
      <c r="Q87" s="184">
        <f>IF(D87=100,'A.0_Tablas salariales SC'!$H$215,IF(D87=150,'A.0_Tablas salariales SC'!$H$216,IF(D87=189,'A.0_Tablas salariales SC'!$H$217,IF(D87=400,'A.0_Tablas salariales SC'!$H$218,IF(D87=450,'A.0_Tablas salariales SC'!$H$219,IF(D87=401,'A.0_Tablas salariales SC'!$H$220,IF(D87=451,'A.0_Tablas salariales SC'!$H$221,'A.0_Tablas salariales SC'!$H$215)))))))</f>
        <v>0.34670000000000001</v>
      </c>
      <c r="R87" s="183">
        <f t="shared" si="1"/>
        <v>1213.7220208200001</v>
      </c>
      <c r="S87" s="183">
        <f t="shared" si="2"/>
        <v>0</v>
      </c>
      <c r="T87" s="179"/>
    </row>
    <row r="88" spans="1:20">
      <c r="A88" s="508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2">
        <f>'A.1. Plantilla_Subrogacion'!F88</f>
        <v>0</v>
      </c>
      <c r="H88" s="181">
        <f>'A.1.0_TablaAntigüedad_Sub'!N88</f>
        <v>131</v>
      </c>
      <c r="I88" s="183">
        <f>'A.1.0_TablaAntigüedad_Sub'!AB88</f>
        <v>543.53100000000006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8152.9650000000011</v>
      </c>
      <c r="O88" s="183">
        <f>'A.0_Tablas salariales SC'!$K$149</f>
        <v>27236.193600000002</v>
      </c>
      <c r="P88" s="183">
        <f>(O88+N88)*G88+'A.0_Tablas salariales SC'!$R$164*(100%-G88)</f>
        <v>3500.7846000000004</v>
      </c>
      <c r="Q88" s="184">
        <f>IF(D88=100,'A.0_Tablas salariales SC'!$H$215,IF(D88=150,'A.0_Tablas salariales SC'!$H$216,IF(D88=189,'A.0_Tablas salariales SC'!$H$217,IF(D88=400,'A.0_Tablas salariales SC'!$H$218,IF(D88=450,'A.0_Tablas salariales SC'!$H$219,IF(D88=401,'A.0_Tablas salariales SC'!$H$220,IF(D88=451,'A.0_Tablas salariales SC'!$H$221,'A.0_Tablas salariales SC'!$H$215)))))))</f>
        <v>0.34670000000000001</v>
      </c>
      <c r="R88" s="183">
        <f t="shared" si="1"/>
        <v>1213.7220208200001</v>
      </c>
      <c r="S88" s="183">
        <f t="shared" si="2"/>
        <v>0</v>
      </c>
      <c r="T88" s="179"/>
    </row>
    <row r="89" spans="1:20">
      <c r="A89" s="508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2">
        <f>'A.1. Plantilla_Subrogacion'!F89</f>
        <v>0</v>
      </c>
      <c r="H89" s="181">
        <f>'A.1.0_TablaAntigüedad_Sub'!N89</f>
        <v>131</v>
      </c>
      <c r="I89" s="183">
        <f>'A.1.0_TablaAntigüedad_Sub'!AB89</f>
        <v>543.53100000000006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8152.9650000000011</v>
      </c>
      <c r="O89" s="183">
        <f>'A.0_Tablas salariales SC'!$K$149</f>
        <v>27236.193600000002</v>
      </c>
      <c r="P89" s="183">
        <f>(O89+N89)*G89+'A.0_Tablas salariales SC'!$R$164*(100%-G89)</f>
        <v>3500.7846000000004</v>
      </c>
      <c r="Q89" s="184">
        <f>IF(D89=100,'A.0_Tablas salariales SC'!$H$215,IF(D89=150,'A.0_Tablas salariales SC'!$H$216,IF(D89=189,'A.0_Tablas salariales SC'!$H$217,IF(D89=400,'A.0_Tablas salariales SC'!$H$218,IF(D89=450,'A.0_Tablas salariales SC'!$H$219,IF(D89=401,'A.0_Tablas salariales SC'!$H$220,IF(D89=451,'A.0_Tablas salariales SC'!$H$221,'A.0_Tablas salariales SC'!$H$215)))))))</f>
        <v>0.34670000000000001</v>
      </c>
      <c r="R89" s="183">
        <f t="shared" si="1"/>
        <v>1213.7220208200001</v>
      </c>
      <c r="S89" s="183">
        <f t="shared" si="2"/>
        <v>0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'A.1.0_TablaAntigüedad_Sub'!N90</f>
        <v>131</v>
      </c>
      <c r="I90" s="183">
        <f>'A.1.0_TablaAntigüedad_Sub'!AB90</f>
        <v>543.53100000000006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8152.9650000000011</v>
      </c>
      <c r="O90" s="183">
        <f>'A.0_Tablas salariales SC'!$K$149</f>
        <v>27236.193600000002</v>
      </c>
      <c r="P90" s="183">
        <f>(O90+N90)*G90+'A.0_Tablas salariales SC'!$R$164*(100%-G90)</f>
        <v>3500.7846000000004</v>
      </c>
      <c r="Q90" s="184">
        <f>IF(D90=100,'A.0_Tablas salariales SC'!$H$215,IF(D90=150,'A.0_Tablas salariales SC'!$H$216,IF(D90=189,'A.0_Tablas salariales SC'!$H$217,IF(D90=400,'A.0_Tablas salariales SC'!$H$218,IF(D90=450,'A.0_Tablas salariales SC'!$H$219,IF(D90=401,'A.0_Tablas salariales SC'!$H$220,IF(D90=451,'A.0_Tablas salariales SC'!$H$221,'A.0_Tablas salariales SC'!$H$215)))))))</f>
        <v>0.34670000000000001</v>
      </c>
      <c r="R90" s="183">
        <f t="shared" ref="R90:R112" si="8">Q90*P90</f>
        <v>1213.7220208200001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'A.1.0_TablaAntigüedad_Sub'!N91</f>
        <v>131</v>
      </c>
      <c r="I91" s="183">
        <f>'A.1.0_TablaAntigüedad_Sub'!AB91</f>
        <v>543.53100000000006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8152.9650000000011</v>
      </c>
      <c r="O91" s="183">
        <f>'A.0_Tablas salariales SC'!$K$149</f>
        <v>27236.193600000002</v>
      </c>
      <c r="P91" s="183">
        <f>(O91+N91)*G91+'A.0_Tablas salariales SC'!$R$164*(100%-G91)</f>
        <v>3500.7846000000004</v>
      </c>
      <c r="Q91" s="184">
        <f>IF(D91=100,'A.0_Tablas salariales SC'!$H$215,IF(D91=150,'A.0_Tablas salariales SC'!$H$216,IF(D91=189,'A.0_Tablas salariales SC'!$H$217,IF(D91=400,'A.0_Tablas salariales SC'!$H$218,IF(D91=450,'A.0_Tablas salariales SC'!$H$219,IF(D91=401,'A.0_Tablas salariales SC'!$H$220,IF(D91=451,'A.0_Tablas salariales SC'!$H$221,'A.0_Tablas salariales SC'!$H$215)))))))</f>
        <v>0.34670000000000001</v>
      </c>
      <c r="R91" s="183">
        <f t="shared" si="8"/>
        <v>1213.7220208200001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'A.1.0_TablaAntigüedad_Sub'!N92</f>
        <v>131</v>
      </c>
      <c r="I92" s="183">
        <f>'A.1.0_TablaAntigüedad_Sub'!AB92</f>
        <v>543.53100000000006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8152.9650000000011</v>
      </c>
      <c r="O92" s="183">
        <f>'A.0_Tablas salariales SC'!$K$149</f>
        <v>27236.193600000002</v>
      </c>
      <c r="P92" s="183">
        <f>(O92+N92)*G92+'A.0_Tablas salariales SC'!$R$164*(100%-G92)</f>
        <v>3500.7846000000004</v>
      </c>
      <c r="Q92" s="184">
        <f>IF(D92=100,'A.0_Tablas salariales SC'!$H$215,IF(D92=150,'A.0_Tablas salariales SC'!$H$216,IF(D92=189,'A.0_Tablas salariales SC'!$H$217,IF(D92=400,'A.0_Tablas salariales SC'!$H$218,IF(D92=450,'A.0_Tablas salariales SC'!$H$219,IF(D92=401,'A.0_Tablas salariales SC'!$H$220,IF(D92=451,'A.0_Tablas salariales SC'!$H$221,'A.0_Tablas salariales SC'!$H$215)))))))</f>
        <v>0.34670000000000001</v>
      </c>
      <c r="R92" s="183">
        <f t="shared" si="8"/>
        <v>1213.7220208200001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'A.1.0_TablaAntigüedad_Sub'!N93</f>
        <v>131</v>
      </c>
      <c r="I93" s="183">
        <f>'A.1.0_TablaAntigüedad_Sub'!AB93</f>
        <v>543.53100000000006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8152.9650000000011</v>
      </c>
      <c r="O93" s="183">
        <f>'A.0_Tablas salariales SC'!$K$149</f>
        <v>27236.193600000002</v>
      </c>
      <c r="P93" s="183">
        <f>(O93+N93)*G93+'A.0_Tablas salariales SC'!$R$164*(100%-G93)</f>
        <v>3500.7846000000004</v>
      </c>
      <c r="Q93" s="184">
        <f>IF(D93=100,'A.0_Tablas salariales SC'!$H$215,IF(D93=150,'A.0_Tablas salariales SC'!$H$216,IF(D93=189,'A.0_Tablas salariales SC'!$H$217,IF(D93=400,'A.0_Tablas salariales SC'!$H$218,IF(D93=450,'A.0_Tablas salariales SC'!$H$219,IF(D93=401,'A.0_Tablas salariales SC'!$H$220,IF(D93=451,'A.0_Tablas salariales SC'!$H$221,'A.0_Tablas salariales SC'!$H$215)))))))</f>
        <v>0.34670000000000001</v>
      </c>
      <c r="R93" s="183">
        <f t="shared" si="8"/>
        <v>1213.7220208200001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'A.1.0_TablaAntigüedad_Sub'!N94</f>
        <v>131</v>
      </c>
      <c r="I94" s="183">
        <f>'A.1.0_TablaAntigüedad_Sub'!AB94</f>
        <v>543.53100000000006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8152.9650000000011</v>
      </c>
      <c r="O94" s="183">
        <f>'A.0_Tablas salariales SC'!$K$149</f>
        <v>27236.193600000002</v>
      </c>
      <c r="P94" s="183">
        <f>(O94+N94)*G94+'A.0_Tablas salariales SC'!$R$164*(100%-G94)</f>
        <v>3500.7846000000004</v>
      </c>
      <c r="Q94" s="184">
        <f>IF(D94=100,'A.0_Tablas salariales SC'!$H$215,IF(D94=150,'A.0_Tablas salariales SC'!$H$216,IF(D94=189,'A.0_Tablas salariales SC'!$H$217,IF(D94=400,'A.0_Tablas salariales SC'!$H$218,IF(D94=450,'A.0_Tablas salariales SC'!$H$219,IF(D94=401,'A.0_Tablas salariales SC'!$H$220,IF(D94=451,'A.0_Tablas salariales SC'!$H$221,'A.0_Tablas salariales SC'!$H$215)))))))</f>
        <v>0.34670000000000001</v>
      </c>
      <c r="R94" s="183">
        <f t="shared" si="8"/>
        <v>1213.7220208200001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'A.1.0_TablaAntigüedad_Sub'!N95</f>
        <v>131</v>
      </c>
      <c r="I95" s="183">
        <f>'A.1.0_TablaAntigüedad_Sub'!AB95</f>
        <v>543.53100000000006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8152.9650000000011</v>
      </c>
      <c r="O95" s="183">
        <f>'A.0_Tablas salariales SC'!$K$149</f>
        <v>27236.193600000002</v>
      </c>
      <c r="P95" s="183">
        <f>(O95+N95)*G95+'A.0_Tablas salariales SC'!$R$164*(100%-G95)</f>
        <v>3500.7846000000004</v>
      </c>
      <c r="Q95" s="184">
        <f>IF(D95=100,'A.0_Tablas salariales SC'!$H$215,IF(D95=150,'A.0_Tablas salariales SC'!$H$216,IF(D95=189,'A.0_Tablas salariales SC'!$H$217,IF(D95=400,'A.0_Tablas salariales SC'!$H$218,IF(D95=450,'A.0_Tablas salariales SC'!$H$219,IF(D95=401,'A.0_Tablas salariales SC'!$H$220,IF(D95=451,'A.0_Tablas salariales SC'!$H$221,'A.0_Tablas salariales SC'!$H$215)))))))</f>
        <v>0.34670000000000001</v>
      </c>
      <c r="R95" s="183">
        <f t="shared" si="8"/>
        <v>1213.7220208200001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'A.1.0_TablaAntigüedad_Sub'!N96</f>
        <v>131</v>
      </c>
      <c r="I96" s="183">
        <f>'A.1.0_TablaAntigüedad_Sub'!AB96</f>
        <v>543.53100000000006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8152.9650000000011</v>
      </c>
      <c r="O96" s="183">
        <f>'A.0_Tablas salariales SC'!$K$149</f>
        <v>27236.193600000002</v>
      </c>
      <c r="P96" s="183">
        <f>(O96+N96)*G96+'A.0_Tablas salariales SC'!$R$164*(100%-G96)</f>
        <v>3500.7846000000004</v>
      </c>
      <c r="Q96" s="184">
        <f>IF(D96=100,'A.0_Tablas salariales SC'!$H$215,IF(D96=150,'A.0_Tablas salariales SC'!$H$216,IF(D96=189,'A.0_Tablas salariales SC'!$H$217,IF(D96=400,'A.0_Tablas salariales SC'!$H$218,IF(D96=450,'A.0_Tablas salariales SC'!$H$219,IF(D96=401,'A.0_Tablas salariales SC'!$H$220,IF(D96=451,'A.0_Tablas salariales SC'!$H$221,'A.0_Tablas salariales SC'!$H$215)))))))</f>
        <v>0.34670000000000001</v>
      </c>
      <c r="R96" s="183">
        <f t="shared" si="8"/>
        <v>1213.7220208200001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'A.1.0_TablaAntigüedad_Sub'!N97</f>
        <v>131</v>
      </c>
      <c r="I97" s="183">
        <f>'A.1.0_TablaAntigüedad_Sub'!AB97</f>
        <v>543.53100000000006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8152.9650000000011</v>
      </c>
      <c r="O97" s="183">
        <f>'A.0_Tablas salariales SC'!$K$149</f>
        <v>27236.193600000002</v>
      </c>
      <c r="P97" s="183">
        <f>(O97+N97)*G97+'A.0_Tablas salariales SC'!$R$164*(100%-G97)</f>
        <v>3500.7846000000004</v>
      </c>
      <c r="Q97" s="184">
        <f>IF(D97=100,'A.0_Tablas salariales SC'!$H$215,IF(D97=150,'A.0_Tablas salariales SC'!$H$216,IF(D97=189,'A.0_Tablas salariales SC'!$H$217,IF(D97=400,'A.0_Tablas salariales SC'!$H$218,IF(D97=450,'A.0_Tablas salariales SC'!$H$219,IF(D97=401,'A.0_Tablas salariales SC'!$H$220,IF(D97=451,'A.0_Tablas salariales SC'!$H$221,'A.0_Tablas salariales SC'!$H$215)))))))</f>
        <v>0.34670000000000001</v>
      </c>
      <c r="R97" s="183">
        <f t="shared" si="8"/>
        <v>1213.7220208200001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'A.1.0_TablaAntigüedad_Sub'!N98</f>
        <v>131</v>
      </c>
      <c r="I98" s="183">
        <f>'A.1.0_TablaAntigüedad_Sub'!AB98</f>
        <v>543.53100000000006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8152.9650000000011</v>
      </c>
      <c r="O98" s="183">
        <f>'A.0_Tablas salariales SC'!$K$149</f>
        <v>27236.193600000002</v>
      </c>
      <c r="P98" s="183">
        <f>(O98+N98)*G98+'A.0_Tablas salariales SC'!$R$164*(100%-G98)</f>
        <v>3500.7846000000004</v>
      </c>
      <c r="Q98" s="184">
        <f>IF(D98=100,'A.0_Tablas salariales SC'!$H$215,IF(D98=150,'A.0_Tablas salariales SC'!$H$216,IF(D98=189,'A.0_Tablas salariales SC'!$H$217,IF(D98=400,'A.0_Tablas salariales SC'!$H$218,IF(D98=450,'A.0_Tablas salariales SC'!$H$219,IF(D98=401,'A.0_Tablas salariales SC'!$H$220,IF(D98=451,'A.0_Tablas salariales SC'!$H$221,'A.0_Tablas salariales SC'!$H$215)))))))</f>
        <v>0.34670000000000001</v>
      </c>
      <c r="R98" s="183">
        <f t="shared" si="8"/>
        <v>1213.7220208200001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'A.1.0_TablaAntigüedad_Sub'!N99</f>
        <v>131</v>
      </c>
      <c r="I99" s="183">
        <f>'A.1.0_TablaAntigüedad_Sub'!AB99</f>
        <v>543.53100000000006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8152.9650000000011</v>
      </c>
      <c r="O99" s="183">
        <f>'A.0_Tablas salariales SC'!$K$149</f>
        <v>27236.193600000002</v>
      </c>
      <c r="P99" s="183">
        <f>(O99+N99)*G99+'A.0_Tablas salariales SC'!$R$164*(100%-G99)</f>
        <v>3500.7846000000004</v>
      </c>
      <c r="Q99" s="184">
        <f>IF(D99=100,'A.0_Tablas salariales SC'!$H$215,IF(D99=150,'A.0_Tablas salariales SC'!$H$216,IF(D99=189,'A.0_Tablas salariales SC'!$H$217,IF(D99=400,'A.0_Tablas salariales SC'!$H$218,IF(D99=450,'A.0_Tablas salariales SC'!$H$219,IF(D99=401,'A.0_Tablas salariales SC'!$H$220,IF(D99=451,'A.0_Tablas salariales SC'!$H$221,'A.0_Tablas salariales SC'!$H$215)))))))</f>
        <v>0.34670000000000001</v>
      </c>
      <c r="R99" s="183">
        <f t="shared" si="8"/>
        <v>1213.7220208200001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'A.1.0_TablaAntigüedad_Sub'!N100</f>
        <v>131</v>
      </c>
      <c r="I100" s="183">
        <f>'A.1.0_TablaAntigüedad_Sub'!AB100</f>
        <v>543.53100000000006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8152.9650000000011</v>
      </c>
      <c r="O100" s="183">
        <f>'A.0_Tablas salariales SC'!$K$149</f>
        <v>27236.193600000002</v>
      </c>
      <c r="P100" s="183">
        <f>(O100+N100)*G100+'A.0_Tablas salariales SC'!$R$164*(100%-G100)</f>
        <v>3500.7846000000004</v>
      </c>
      <c r="Q100" s="184">
        <f>IF(D100=100,'A.0_Tablas salariales SC'!$H$215,IF(D100=150,'A.0_Tablas salariales SC'!$H$216,IF(D100=189,'A.0_Tablas salariales SC'!$H$217,IF(D100=400,'A.0_Tablas salariales SC'!$H$218,IF(D100=450,'A.0_Tablas salariales SC'!$H$219,IF(D100=401,'A.0_Tablas salariales SC'!$H$220,IF(D100=451,'A.0_Tablas salariales SC'!$H$221,'A.0_Tablas salariales SC'!$H$215)))))))</f>
        <v>0.34670000000000001</v>
      </c>
      <c r="R100" s="183">
        <f t="shared" si="8"/>
        <v>1213.7220208200001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'A.1.0_TablaAntigüedad_Sub'!N101</f>
        <v>131</v>
      </c>
      <c r="I101" s="183">
        <f>'A.1.0_TablaAntigüedad_Sub'!AB101</f>
        <v>543.53100000000006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8152.9650000000011</v>
      </c>
      <c r="O101" s="183">
        <f>'A.0_Tablas salariales SC'!$K$149</f>
        <v>27236.193600000002</v>
      </c>
      <c r="P101" s="183">
        <f>(O101+N101)*G101+'A.0_Tablas salariales SC'!$R$164*(100%-G101)</f>
        <v>3500.7846000000004</v>
      </c>
      <c r="Q101" s="184">
        <f>IF(D101=100,'A.0_Tablas salariales SC'!$H$215,IF(D101=150,'A.0_Tablas salariales SC'!$H$216,IF(D101=189,'A.0_Tablas salariales SC'!$H$217,IF(D101=400,'A.0_Tablas salariales SC'!$H$218,IF(D101=450,'A.0_Tablas salariales SC'!$H$219,IF(D101=401,'A.0_Tablas salariales SC'!$H$220,IF(D101=451,'A.0_Tablas salariales SC'!$H$221,'A.0_Tablas salariales SC'!$H$215)))))))</f>
        <v>0.34670000000000001</v>
      </c>
      <c r="R101" s="183">
        <f t="shared" si="8"/>
        <v>1213.7220208200001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'A.1.0_TablaAntigüedad_Sub'!N102</f>
        <v>131</v>
      </c>
      <c r="I102" s="183">
        <f>'A.1.0_TablaAntigüedad_Sub'!AB102</f>
        <v>543.53100000000006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8152.9650000000011</v>
      </c>
      <c r="O102" s="183">
        <f>'A.0_Tablas salariales SC'!$K$149</f>
        <v>27236.193600000002</v>
      </c>
      <c r="P102" s="183">
        <f>(O102+N102)*G102+'A.0_Tablas salariales SC'!$R$164*(100%-G102)</f>
        <v>3500.7846000000004</v>
      </c>
      <c r="Q102" s="184">
        <f>IF(D102=100,'A.0_Tablas salariales SC'!$H$215,IF(D102=150,'A.0_Tablas salariales SC'!$H$216,IF(D102=189,'A.0_Tablas salariales SC'!$H$217,IF(D102=400,'A.0_Tablas salariales SC'!$H$218,IF(D102=450,'A.0_Tablas salariales SC'!$H$219,IF(D102=401,'A.0_Tablas salariales SC'!$H$220,IF(D102=451,'A.0_Tablas salariales SC'!$H$221,'A.0_Tablas salariales SC'!$H$215)))))))</f>
        <v>0.34670000000000001</v>
      </c>
      <c r="R102" s="183">
        <f t="shared" si="8"/>
        <v>1213.7220208200001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'A.1.0_TablaAntigüedad_Sub'!N103</f>
        <v>131</v>
      </c>
      <c r="I103" s="183">
        <f>'A.1.0_TablaAntigüedad_Sub'!AB103</f>
        <v>543.53100000000006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8152.9650000000011</v>
      </c>
      <c r="O103" s="183">
        <f>'A.0_Tablas salariales SC'!$K$149</f>
        <v>27236.193600000002</v>
      </c>
      <c r="P103" s="183">
        <f>(O103+N103)*G103+'A.0_Tablas salariales SC'!$R$164*(100%-G103)</f>
        <v>3500.7846000000004</v>
      </c>
      <c r="Q103" s="184">
        <f>IF(D103=100,'A.0_Tablas salariales SC'!$H$215,IF(D103=150,'A.0_Tablas salariales SC'!$H$216,IF(D103=189,'A.0_Tablas salariales SC'!$H$217,IF(D103=400,'A.0_Tablas salariales SC'!$H$218,IF(D103=450,'A.0_Tablas salariales SC'!$H$219,IF(D103=401,'A.0_Tablas salariales SC'!$H$220,IF(D103=451,'A.0_Tablas salariales SC'!$H$221,'A.0_Tablas salariales SC'!$H$215)))))))</f>
        <v>0.34670000000000001</v>
      </c>
      <c r="R103" s="183">
        <f t="shared" si="8"/>
        <v>1213.7220208200001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'A.1.0_TablaAntigüedad_Sub'!N104</f>
        <v>131</v>
      </c>
      <c r="I104" s="183">
        <f>'A.1.0_TablaAntigüedad_Sub'!AB104</f>
        <v>543.53100000000006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8152.9650000000011</v>
      </c>
      <c r="O104" s="183">
        <f>'A.0_Tablas salariales SC'!$K$149</f>
        <v>27236.193600000002</v>
      </c>
      <c r="P104" s="183">
        <f>(O104+N104)*G104+'A.0_Tablas salariales SC'!$R$164*(100%-G104)</f>
        <v>3500.7846000000004</v>
      </c>
      <c r="Q104" s="184">
        <f>IF(D104=100,'A.0_Tablas salariales SC'!$H$215,IF(D104=150,'A.0_Tablas salariales SC'!$H$216,IF(D104=189,'A.0_Tablas salariales SC'!$H$217,IF(D104=400,'A.0_Tablas salariales SC'!$H$218,IF(D104=450,'A.0_Tablas salariales SC'!$H$219,IF(D104=401,'A.0_Tablas salariales SC'!$H$220,IF(D104=451,'A.0_Tablas salariales SC'!$H$221,'A.0_Tablas salariales SC'!$H$215)))))))</f>
        <v>0.34670000000000001</v>
      </c>
      <c r="R104" s="183">
        <f t="shared" si="8"/>
        <v>1213.7220208200001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'A.1.0_TablaAntigüedad_Sub'!N105</f>
        <v>131</v>
      </c>
      <c r="I105" s="183">
        <f>'A.1.0_TablaAntigüedad_Sub'!AB105</f>
        <v>543.53100000000006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8152.9650000000011</v>
      </c>
      <c r="O105" s="183">
        <f>'A.0_Tablas salariales SC'!$K$149</f>
        <v>27236.193600000002</v>
      </c>
      <c r="P105" s="183">
        <f>(O105+N105)*G105+'A.0_Tablas salariales SC'!$R$164*(100%-G105)</f>
        <v>3500.7846000000004</v>
      </c>
      <c r="Q105" s="184">
        <f>IF(D105=100,'A.0_Tablas salariales SC'!$H$215,IF(D105=150,'A.0_Tablas salariales SC'!$H$216,IF(D105=189,'A.0_Tablas salariales SC'!$H$217,IF(D105=400,'A.0_Tablas salariales SC'!$H$218,IF(D105=450,'A.0_Tablas salariales SC'!$H$219,IF(D105=401,'A.0_Tablas salariales SC'!$H$220,IF(D105=451,'A.0_Tablas salariales SC'!$H$221,'A.0_Tablas salariales SC'!$H$215)))))))</f>
        <v>0.34670000000000001</v>
      </c>
      <c r="R105" s="183">
        <f t="shared" si="8"/>
        <v>1213.7220208200001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'A.1.0_TablaAntigüedad_Sub'!N106</f>
        <v>131</v>
      </c>
      <c r="I106" s="183">
        <f>'A.1.0_TablaAntigüedad_Sub'!AB106</f>
        <v>543.53100000000006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8152.9650000000011</v>
      </c>
      <c r="O106" s="183">
        <f>'A.0_Tablas salariales SC'!$K$149</f>
        <v>27236.193600000002</v>
      </c>
      <c r="P106" s="183">
        <f>(O106+N106)*G106+'A.0_Tablas salariales SC'!$R$164*(100%-G106)</f>
        <v>3500.7846000000004</v>
      </c>
      <c r="Q106" s="184">
        <f>IF(D106=100,'A.0_Tablas salariales SC'!$H$215,IF(D106=150,'A.0_Tablas salariales SC'!$H$216,IF(D106=189,'A.0_Tablas salariales SC'!$H$217,IF(D106=400,'A.0_Tablas salariales SC'!$H$218,IF(D106=450,'A.0_Tablas salariales SC'!$H$219,IF(D106=401,'A.0_Tablas salariales SC'!$H$220,IF(D106=451,'A.0_Tablas salariales SC'!$H$221,'A.0_Tablas salariales SC'!$H$215)))))))</f>
        <v>0.34670000000000001</v>
      </c>
      <c r="R106" s="183">
        <f t="shared" si="8"/>
        <v>1213.7220208200001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'A.1.0_TablaAntigüedad_Sub'!N107</f>
        <v>131</v>
      </c>
      <c r="I107" s="183">
        <f>'A.1.0_TablaAntigüedad_Sub'!AB107</f>
        <v>543.53100000000006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8152.9650000000011</v>
      </c>
      <c r="O107" s="183">
        <f>'A.0_Tablas salariales SC'!$K$149</f>
        <v>27236.193600000002</v>
      </c>
      <c r="P107" s="183">
        <f>(O107+N107)*G107+'A.0_Tablas salariales SC'!$R$164*(100%-G107)</f>
        <v>3500.7846000000004</v>
      </c>
      <c r="Q107" s="184">
        <f>IF(D107=100,'A.0_Tablas salariales SC'!$H$215,IF(D107=150,'A.0_Tablas salariales SC'!$H$216,IF(D107=189,'A.0_Tablas salariales SC'!$H$217,IF(D107=400,'A.0_Tablas salariales SC'!$H$218,IF(D107=450,'A.0_Tablas salariales SC'!$H$219,IF(D107=401,'A.0_Tablas salariales SC'!$H$220,IF(D107=451,'A.0_Tablas salariales SC'!$H$221,'A.0_Tablas salariales SC'!$H$215)))))))</f>
        <v>0.34670000000000001</v>
      </c>
      <c r="R107" s="183">
        <f t="shared" si="8"/>
        <v>1213.7220208200001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'A.1.0_TablaAntigüedad_Sub'!N108</f>
        <v>131</v>
      </c>
      <c r="I108" s="183">
        <f>'A.1.0_TablaAntigüedad_Sub'!AB108</f>
        <v>543.53100000000006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8152.9650000000011</v>
      </c>
      <c r="O108" s="183">
        <f>'A.0_Tablas salariales SC'!$K$149</f>
        <v>27236.193600000002</v>
      </c>
      <c r="P108" s="183">
        <f>(O108+N108)*G108+'A.0_Tablas salariales SC'!$R$164*(100%-G108)</f>
        <v>3500.7846000000004</v>
      </c>
      <c r="Q108" s="184">
        <f>IF(D108=100,'A.0_Tablas salariales SC'!$H$215,IF(D108=150,'A.0_Tablas salariales SC'!$H$216,IF(D108=189,'A.0_Tablas salariales SC'!$H$217,IF(D108=400,'A.0_Tablas salariales SC'!$H$218,IF(D108=450,'A.0_Tablas salariales SC'!$H$219,IF(D108=401,'A.0_Tablas salariales SC'!$H$220,IF(D108=451,'A.0_Tablas salariales SC'!$H$221,'A.0_Tablas salariales SC'!$H$215)))))))</f>
        <v>0.34670000000000001</v>
      </c>
      <c r="R108" s="183">
        <f t="shared" si="8"/>
        <v>1213.7220208200001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'A.1.0_TablaAntigüedad_Sub'!N109</f>
        <v>131</v>
      </c>
      <c r="I109" s="183">
        <f>'A.1.0_TablaAntigüedad_Sub'!AB109</f>
        <v>543.53100000000006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8152.9650000000011</v>
      </c>
      <c r="O109" s="183">
        <f>'A.0_Tablas salariales SC'!$K$149</f>
        <v>27236.193600000002</v>
      </c>
      <c r="P109" s="183">
        <f>(O109+N109)*G109+'A.0_Tablas salariales SC'!$R$164*(100%-G109)</f>
        <v>3500.7846000000004</v>
      </c>
      <c r="Q109" s="184">
        <f>IF(D109=100,'A.0_Tablas salariales SC'!$H$215,IF(D109=150,'A.0_Tablas salariales SC'!$H$216,IF(D109=189,'A.0_Tablas salariales SC'!$H$217,IF(D109=400,'A.0_Tablas salariales SC'!$H$218,IF(D109=450,'A.0_Tablas salariales SC'!$H$219,IF(D109=401,'A.0_Tablas salariales SC'!$H$220,IF(D109=451,'A.0_Tablas salariales SC'!$H$221,'A.0_Tablas salariales SC'!$H$215)))))))</f>
        <v>0.34670000000000001</v>
      </c>
      <c r="R109" s="183">
        <f t="shared" si="8"/>
        <v>1213.7220208200001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'A.1.0_TablaAntigüedad_Sub'!N110</f>
        <v>131</v>
      </c>
      <c r="I110" s="183">
        <f>'A.1.0_TablaAntigüedad_Sub'!AB110</f>
        <v>543.53100000000006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8152.9650000000011</v>
      </c>
      <c r="O110" s="183">
        <f>'A.0_Tablas salariales SC'!$K$149</f>
        <v>27236.193600000002</v>
      </c>
      <c r="P110" s="183">
        <f>(O110+N110)*G110+'A.0_Tablas salariales SC'!$R$164*(100%-G110)</f>
        <v>3500.7846000000004</v>
      </c>
      <c r="Q110" s="184">
        <f>IF(D110=100,'A.0_Tablas salariales SC'!$H$215,IF(D110=150,'A.0_Tablas salariales SC'!$H$216,IF(D110=189,'A.0_Tablas salariales SC'!$H$217,IF(D110=400,'A.0_Tablas salariales SC'!$H$218,IF(D110=450,'A.0_Tablas salariales SC'!$H$219,IF(D110=401,'A.0_Tablas salariales SC'!$H$220,IF(D110=451,'A.0_Tablas salariales SC'!$H$221,'A.0_Tablas salariales SC'!$H$215)))))))</f>
        <v>0.34670000000000001</v>
      </c>
      <c r="R110" s="183">
        <f t="shared" si="8"/>
        <v>1213.7220208200001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'A.1.0_TablaAntigüedad_Sub'!N111</f>
        <v>131</v>
      </c>
      <c r="I111" s="183">
        <f>'A.1.0_TablaAntigüedad_Sub'!AB111</f>
        <v>543.53100000000006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8152.9650000000011</v>
      </c>
      <c r="O111" s="183">
        <f>'A.0_Tablas salariales SC'!$K$149</f>
        <v>27236.193600000002</v>
      </c>
      <c r="P111" s="183">
        <f>(O111+N111)*G111+'A.0_Tablas salariales SC'!$R$164*(100%-G111)</f>
        <v>3500.7846000000004</v>
      </c>
      <c r="Q111" s="184">
        <f>IF(D111=100,'A.0_Tablas salariales SC'!$H$215,IF(D111=150,'A.0_Tablas salariales SC'!$H$216,IF(D111=189,'A.0_Tablas salariales SC'!$H$217,IF(D111=400,'A.0_Tablas salariales SC'!$H$218,IF(D111=450,'A.0_Tablas salariales SC'!$H$219,IF(D111=401,'A.0_Tablas salariales SC'!$H$220,IF(D111=451,'A.0_Tablas salariales SC'!$H$221,'A.0_Tablas salariales SC'!$H$215)))))))</f>
        <v>0.34670000000000001</v>
      </c>
      <c r="R111" s="183">
        <f t="shared" si="8"/>
        <v>1213.7220208200001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'A.1.0_TablaAntigüedad_Sub'!N112</f>
        <v>131</v>
      </c>
      <c r="I112" s="183">
        <f>'A.1.0_TablaAntigüedad_Sub'!AB112</f>
        <v>543.53100000000006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8152.9650000000011</v>
      </c>
      <c r="O112" s="183">
        <f>'A.0_Tablas salariales SC'!$K$149</f>
        <v>27236.193600000002</v>
      </c>
      <c r="P112" s="183">
        <f>(O112+N112)*G112+'A.0_Tablas salariales SC'!$R$164*(100%-G112)</f>
        <v>3500.7846000000004</v>
      </c>
      <c r="Q112" s="184">
        <f>IF(D112=100,'A.0_Tablas salariales SC'!$H$215,IF(D112=150,'A.0_Tablas salariales SC'!$H$216,IF(D112=189,'A.0_Tablas salariales SC'!$H$217,IF(D112=400,'A.0_Tablas salariales SC'!$H$218,IF(D112=450,'A.0_Tablas salariales SC'!$H$219,IF(D112=401,'A.0_Tablas salariales SC'!$H$220,IF(D112=451,'A.0_Tablas salariales SC'!$H$221,'A.0_Tablas salariales SC'!$H$215)))))))</f>
        <v>0.34670000000000001</v>
      </c>
      <c r="R112" s="183">
        <f t="shared" si="8"/>
        <v>1213.7220208200001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'A.1.0_TablaAntigüedad_Sub'!N113</f>
        <v>131</v>
      </c>
      <c r="I113" s="183">
        <f>'A.1.0_TablaAntigüedad_Sub'!AB113</f>
        <v>543.53100000000006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8152.9650000000011</v>
      </c>
      <c r="O113" s="183">
        <f>'A.0_Tablas salariales SC'!$K$149</f>
        <v>27236.193600000002</v>
      </c>
      <c r="P113" s="183">
        <f>(O113+N113)*G113+'A.0_Tablas salariales SC'!$R$164*(100%-G113)</f>
        <v>3500.7846000000004</v>
      </c>
      <c r="Q113" s="184">
        <f>IF(D113=100,'A.0_Tablas salariales SC'!$H$215,IF(D113=150,'A.0_Tablas salariales SC'!$H$216,IF(D113=189,'A.0_Tablas salariales SC'!$H$217,IF(D113=400,'A.0_Tablas salariales SC'!$H$218,IF(D113=450,'A.0_Tablas salariales SC'!$H$219,IF(D113=401,'A.0_Tablas salariales SC'!$H$220,IF(D113=451,'A.0_Tablas salariales SC'!$H$221,'A.0_Tablas salariales SC'!$H$215)))))))</f>
        <v>0.34670000000000001</v>
      </c>
      <c r="R113" s="183">
        <f t="shared" si="1"/>
        <v>1213.7220208200001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4"/>
      <c r="Q114" s="174"/>
      <c r="R114" s="174"/>
      <c r="S114" s="174"/>
      <c r="T114" s="180">
        <f>SUM(S87:S113)</f>
        <v>0</v>
      </c>
    </row>
    <row r="115" spans="1:20">
      <c r="A115" s="508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2">
        <f>'A.1. Plantilla_Subrogacion'!F115</f>
        <v>0</v>
      </c>
      <c r="H115" s="181">
        <f>'A.1.0_TablaAntigüedad_Sub'!N115</f>
        <v>131</v>
      </c>
      <c r="I115" s="183">
        <f>'A.1.0_TablaAntigüedad_Sub'!AB115</f>
        <v>543.53100000000006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8152.9650000000011</v>
      </c>
      <c r="O115" s="183">
        <f>'A.0_Tablas salariales SC'!$K$150</f>
        <v>28483.472100000006</v>
      </c>
      <c r="P115" s="183">
        <f>(O115+N115)*G115+'A.0_Tablas salariales SC'!$R$164*(100%-G115)</f>
        <v>3500.7846000000004</v>
      </c>
      <c r="Q115" s="184">
        <f>IF(D115=100,'A.0_Tablas salariales SC'!$H$215,IF(D115=150,'A.0_Tablas salariales SC'!$H$216,IF(D115=189,'A.0_Tablas salariales SC'!$H$217,IF(D115=400,'A.0_Tablas salariales SC'!$H$218,IF(D115=450,'A.0_Tablas salariales SC'!$H$219,IF(D115=401,'A.0_Tablas salariales SC'!$H$220,IF(D115=451,'A.0_Tablas salariales SC'!$H$221,'A.0_Tablas salariales SC'!$H$215)))))))</f>
        <v>0.34670000000000001</v>
      </c>
      <c r="R115" s="183">
        <f t="shared" ref="R115:R175" si="10">Q115*P115</f>
        <v>1213.7220208200001</v>
      </c>
      <c r="S115" s="183">
        <f t="shared" ref="S115:S175" si="11">(R115+P115)*A115</f>
        <v>0</v>
      </c>
      <c r="T115" s="179"/>
    </row>
    <row r="116" spans="1:20">
      <c r="A116" s="508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2">
        <f>'A.1. Plantilla_Subrogacion'!F116</f>
        <v>0</v>
      </c>
      <c r="H116" s="181">
        <f>'A.1.0_TablaAntigüedad_Sub'!N116</f>
        <v>131</v>
      </c>
      <c r="I116" s="183">
        <f>'A.1.0_TablaAntigüedad_Sub'!AB116</f>
        <v>543.53100000000006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8152.9650000000011</v>
      </c>
      <c r="O116" s="183">
        <f>'A.0_Tablas salariales SC'!$K$150</f>
        <v>28483.472100000006</v>
      </c>
      <c r="P116" s="183">
        <f>(O116+N116)*G116+'A.0_Tablas salariales SC'!$R$164*(100%-G116)</f>
        <v>3500.7846000000004</v>
      </c>
      <c r="Q116" s="184">
        <f>IF(D116=100,'A.0_Tablas salariales SC'!$H$215,IF(D116=150,'A.0_Tablas salariales SC'!$H$216,IF(D116=189,'A.0_Tablas salariales SC'!$H$217,IF(D116=400,'A.0_Tablas salariales SC'!$H$218,IF(D116=450,'A.0_Tablas salariales SC'!$H$219,IF(D116=401,'A.0_Tablas salariales SC'!$H$220,IF(D116=451,'A.0_Tablas salariales SC'!$H$221,'A.0_Tablas salariales SC'!$H$215)))))))</f>
        <v>0.34670000000000001</v>
      </c>
      <c r="R116" s="183">
        <f t="shared" si="10"/>
        <v>1213.7220208200001</v>
      </c>
      <c r="S116" s="183">
        <f t="shared" si="11"/>
        <v>0</v>
      </c>
      <c r="T116" s="179"/>
    </row>
    <row r="117" spans="1:20">
      <c r="A117" s="508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2">
        <f>'A.1. Plantilla_Subrogacion'!F117</f>
        <v>0</v>
      </c>
      <c r="H117" s="181">
        <f>'A.1.0_TablaAntigüedad_Sub'!N117</f>
        <v>131</v>
      </c>
      <c r="I117" s="183">
        <f>'A.1.0_TablaAntigüedad_Sub'!AB117</f>
        <v>543.53100000000006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8152.9650000000011</v>
      </c>
      <c r="O117" s="183">
        <f>'A.0_Tablas salariales SC'!$K$150</f>
        <v>28483.472100000006</v>
      </c>
      <c r="P117" s="183">
        <f>(O117+N117)*G117+'A.0_Tablas salariales SC'!$R$164*(100%-G117)</f>
        <v>3500.7846000000004</v>
      </c>
      <c r="Q117" s="184">
        <f>IF(D117=100,'A.0_Tablas salariales SC'!$H$215,IF(D117=150,'A.0_Tablas salariales SC'!$H$216,IF(D117=189,'A.0_Tablas salariales SC'!$H$217,IF(D117=400,'A.0_Tablas salariales SC'!$H$218,IF(D117=450,'A.0_Tablas salariales SC'!$H$219,IF(D117=401,'A.0_Tablas salariales SC'!$H$220,IF(D117=451,'A.0_Tablas salariales SC'!$H$221,'A.0_Tablas salariales SC'!$H$215)))))))</f>
        <v>0.34670000000000001</v>
      </c>
      <c r="R117" s="183">
        <f t="shared" si="10"/>
        <v>1213.7220208200001</v>
      </c>
      <c r="S117" s="183">
        <f t="shared" si="11"/>
        <v>0</v>
      </c>
      <c r="T117" s="179"/>
    </row>
    <row r="118" spans="1:20">
      <c r="A118" s="508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2">
        <f>'A.1. Plantilla_Subrogacion'!F118</f>
        <v>0</v>
      </c>
      <c r="H118" s="181">
        <f>'A.1.0_TablaAntigüedad_Sub'!N118</f>
        <v>131</v>
      </c>
      <c r="I118" s="183">
        <f>'A.1.0_TablaAntigüedad_Sub'!AB118</f>
        <v>543.53100000000006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8152.9650000000011</v>
      </c>
      <c r="O118" s="183">
        <f>'A.0_Tablas salariales SC'!$K$150</f>
        <v>28483.472100000006</v>
      </c>
      <c r="P118" s="183">
        <f>(O118+N118)*G118+'A.0_Tablas salariales SC'!$R$164*(100%-G118)</f>
        <v>3500.7846000000004</v>
      </c>
      <c r="Q118" s="184">
        <f>IF(D118=100,'A.0_Tablas salariales SC'!$H$215,IF(D118=150,'A.0_Tablas salariales SC'!$H$216,IF(D118=189,'A.0_Tablas salariales SC'!$H$217,IF(D118=400,'A.0_Tablas salariales SC'!$H$218,IF(D118=450,'A.0_Tablas salariales SC'!$H$219,IF(D118=401,'A.0_Tablas salariales SC'!$H$220,IF(D118=451,'A.0_Tablas salariales SC'!$H$221,'A.0_Tablas salariales SC'!$H$215)))))))</f>
        <v>0.34670000000000001</v>
      </c>
      <c r="R118" s="183">
        <f t="shared" si="10"/>
        <v>1213.7220208200001</v>
      </c>
      <c r="S118" s="183">
        <f t="shared" si="11"/>
        <v>0</v>
      </c>
      <c r="T118" s="179"/>
    </row>
    <row r="119" spans="1:20">
      <c r="A119" s="508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2">
        <f>'A.1. Plantilla_Subrogacion'!F119</f>
        <v>0</v>
      </c>
      <c r="H119" s="181">
        <f>'A.1.0_TablaAntigüedad_Sub'!N119</f>
        <v>131</v>
      </c>
      <c r="I119" s="183">
        <f>'A.1.0_TablaAntigüedad_Sub'!AB119</f>
        <v>543.53100000000006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8152.9650000000011</v>
      </c>
      <c r="O119" s="183">
        <f>'A.0_Tablas salariales SC'!$K$150</f>
        <v>28483.472100000006</v>
      </c>
      <c r="P119" s="183">
        <f>(O119+N119)*G119+'A.0_Tablas salariales SC'!$R$164*(100%-G119)</f>
        <v>3500.7846000000004</v>
      </c>
      <c r="Q119" s="184">
        <f>IF(D119=100,'A.0_Tablas salariales SC'!$H$215,IF(D119=150,'A.0_Tablas salariales SC'!$H$216,IF(D119=189,'A.0_Tablas salariales SC'!$H$217,IF(D119=400,'A.0_Tablas salariales SC'!$H$218,IF(D119=450,'A.0_Tablas salariales SC'!$H$219,IF(D119=401,'A.0_Tablas salariales SC'!$H$220,IF(D119=451,'A.0_Tablas salariales SC'!$H$221,'A.0_Tablas salariales SC'!$H$215)))))))</f>
        <v>0.34670000000000001</v>
      </c>
      <c r="R119" s="183">
        <f t="shared" si="10"/>
        <v>1213.7220208200001</v>
      </c>
      <c r="S119" s="183">
        <f t="shared" si="11"/>
        <v>0</v>
      </c>
      <c r="T119" s="179"/>
    </row>
    <row r="120" spans="1:20">
      <c r="A120" s="508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2">
        <f>'A.1. Plantilla_Subrogacion'!F120</f>
        <v>0</v>
      </c>
      <c r="H120" s="181">
        <f>'A.1.0_TablaAntigüedad_Sub'!N120</f>
        <v>131</v>
      </c>
      <c r="I120" s="183">
        <f>'A.1.0_TablaAntigüedad_Sub'!AB120</f>
        <v>543.53100000000006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8152.9650000000011</v>
      </c>
      <c r="O120" s="183">
        <f>'A.0_Tablas salariales SC'!$K$150</f>
        <v>28483.472100000006</v>
      </c>
      <c r="P120" s="183">
        <f>(O120+N120)*G120+'A.0_Tablas salariales SC'!$R$164*(100%-G120)</f>
        <v>3500.7846000000004</v>
      </c>
      <c r="Q120" s="184">
        <f>IF(D120=100,'A.0_Tablas salariales SC'!$H$215,IF(D120=150,'A.0_Tablas salariales SC'!$H$216,IF(D120=189,'A.0_Tablas salariales SC'!$H$217,IF(D120=400,'A.0_Tablas salariales SC'!$H$218,IF(D120=450,'A.0_Tablas salariales SC'!$H$219,IF(D120=401,'A.0_Tablas salariales SC'!$H$220,IF(D120=451,'A.0_Tablas salariales SC'!$H$221,'A.0_Tablas salariales SC'!$H$215)))))))</f>
        <v>0.34670000000000001</v>
      </c>
      <c r="R120" s="183">
        <f t="shared" si="10"/>
        <v>1213.7220208200001</v>
      </c>
      <c r="S120" s="183">
        <f t="shared" si="11"/>
        <v>0</v>
      </c>
      <c r="T120" s="179"/>
    </row>
    <row r="121" spans="1:20">
      <c r="A121" s="508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2">
        <f>'A.1. Plantilla_Subrogacion'!F121</f>
        <v>0</v>
      </c>
      <c r="H121" s="181">
        <f>'A.1.0_TablaAntigüedad_Sub'!N121</f>
        <v>131</v>
      </c>
      <c r="I121" s="183">
        <f>'A.1.0_TablaAntigüedad_Sub'!AB121</f>
        <v>543.53100000000006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8152.9650000000011</v>
      </c>
      <c r="O121" s="183">
        <f>'A.0_Tablas salariales SC'!$K$150</f>
        <v>28483.472100000006</v>
      </c>
      <c r="P121" s="183">
        <f>(O121+N121)*G121+'A.0_Tablas salariales SC'!$R$164*(100%-G121)</f>
        <v>3500.7846000000004</v>
      </c>
      <c r="Q121" s="184">
        <f>IF(D121=100,'A.0_Tablas salariales SC'!$H$215,IF(D121=150,'A.0_Tablas salariales SC'!$H$216,IF(D121=189,'A.0_Tablas salariales SC'!$H$217,IF(D121=400,'A.0_Tablas salariales SC'!$H$218,IF(D121=450,'A.0_Tablas salariales SC'!$H$219,IF(D121=401,'A.0_Tablas salariales SC'!$H$220,IF(D121=451,'A.0_Tablas salariales SC'!$H$221,'A.0_Tablas salariales SC'!$H$215)))))))</f>
        <v>0.34670000000000001</v>
      </c>
      <c r="R121" s="183">
        <f t="shared" si="10"/>
        <v>1213.7220208200001</v>
      </c>
      <c r="S121" s="183">
        <f t="shared" si="11"/>
        <v>0</v>
      </c>
      <c r="T121" s="179"/>
    </row>
    <row r="122" spans="1:20">
      <c r="A122" s="508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2">
        <f>'A.1. Plantilla_Subrogacion'!F122</f>
        <v>0</v>
      </c>
      <c r="H122" s="181">
        <f>'A.1.0_TablaAntigüedad_Sub'!N122</f>
        <v>131</v>
      </c>
      <c r="I122" s="183">
        <f>'A.1.0_TablaAntigüedad_Sub'!AB122</f>
        <v>543.53100000000006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8152.9650000000011</v>
      </c>
      <c r="O122" s="183">
        <f>'A.0_Tablas salariales SC'!$K$150</f>
        <v>28483.472100000006</v>
      </c>
      <c r="P122" s="183">
        <f>(O122+N122)*G122+'A.0_Tablas salariales SC'!$R$164*(100%-G122)</f>
        <v>3500.7846000000004</v>
      </c>
      <c r="Q122" s="184">
        <f>IF(D122=100,'A.0_Tablas salariales SC'!$H$215,IF(D122=150,'A.0_Tablas salariales SC'!$H$216,IF(D122=189,'A.0_Tablas salariales SC'!$H$217,IF(D122=400,'A.0_Tablas salariales SC'!$H$218,IF(D122=450,'A.0_Tablas salariales SC'!$H$219,IF(D122=401,'A.0_Tablas salariales SC'!$H$220,IF(D122=451,'A.0_Tablas salariales SC'!$H$221,'A.0_Tablas salariales SC'!$H$215)))))))</f>
        <v>0.34670000000000001</v>
      </c>
      <c r="R122" s="183">
        <f t="shared" si="10"/>
        <v>1213.7220208200001</v>
      </c>
      <c r="S122" s="183">
        <f t="shared" si="11"/>
        <v>0</v>
      </c>
      <c r="T122" s="179"/>
    </row>
    <row r="123" spans="1:20">
      <c r="A123" s="508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2">
        <f>'A.1. Plantilla_Subrogacion'!F123</f>
        <v>0</v>
      </c>
      <c r="H123" s="181">
        <f>'A.1.0_TablaAntigüedad_Sub'!N123</f>
        <v>131</v>
      </c>
      <c r="I123" s="183">
        <f>'A.1.0_TablaAntigüedad_Sub'!AB123</f>
        <v>543.53100000000006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8152.9650000000011</v>
      </c>
      <c r="O123" s="183">
        <f>'A.0_Tablas salariales SC'!$K$150</f>
        <v>28483.472100000006</v>
      </c>
      <c r="P123" s="183">
        <f>(O123+N123)*G123+'A.0_Tablas salariales SC'!$R$164*(100%-G123)</f>
        <v>3500.7846000000004</v>
      </c>
      <c r="Q123" s="184">
        <f>IF(D123=100,'A.0_Tablas salariales SC'!$H$215,IF(D123=150,'A.0_Tablas salariales SC'!$H$216,IF(D123=189,'A.0_Tablas salariales SC'!$H$217,IF(D123=400,'A.0_Tablas salariales SC'!$H$218,IF(D123=450,'A.0_Tablas salariales SC'!$H$219,IF(D123=401,'A.0_Tablas salariales SC'!$H$220,IF(D123=451,'A.0_Tablas salariales SC'!$H$221,'A.0_Tablas salariales SC'!$H$215)))))))</f>
        <v>0.34670000000000001</v>
      </c>
      <c r="R123" s="183">
        <f t="shared" ref="R123:R137" si="12">Q123*P123</f>
        <v>1213.7220208200001</v>
      </c>
      <c r="S123" s="183">
        <f t="shared" ref="S123:S137" si="13">(R123+P123)*A123</f>
        <v>0</v>
      </c>
      <c r="T123" s="179"/>
    </row>
    <row r="124" spans="1:20">
      <c r="A124" s="508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2">
        <f>'A.1. Plantilla_Subrogacion'!F124</f>
        <v>0</v>
      </c>
      <c r="H124" s="181">
        <f>'A.1.0_TablaAntigüedad_Sub'!N124</f>
        <v>131</v>
      </c>
      <c r="I124" s="183">
        <f>'A.1.0_TablaAntigüedad_Sub'!AB124</f>
        <v>543.53100000000006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8152.9650000000011</v>
      </c>
      <c r="O124" s="183">
        <f>'A.0_Tablas salariales SC'!$K$150</f>
        <v>28483.472100000006</v>
      </c>
      <c r="P124" s="183">
        <f>(O124+N124)*G124+'A.0_Tablas salariales SC'!$R$164*(100%-G124)</f>
        <v>3500.7846000000004</v>
      </c>
      <c r="Q124" s="184">
        <f>IF(D124=100,'A.0_Tablas salariales SC'!$H$215,IF(D124=150,'A.0_Tablas salariales SC'!$H$216,IF(D124=189,'A.0_Tablas salariales SC'!$H$217,IF(D124=400,'A.0_Tablas salariales SC'!$H$218,IF(D124=450,'A.0_Tablas salariales SC'!$H$219,IF(D124=401,'A.0_Tablas salariales SC'!$H$220,IF(D124=451,'A.0_Tablas salariales SC'!$H$221,'A.0_Tablas salariales SC'!$H$215)))))))</f>
        <v>0.34670000000000001</v>
      </c>
      <c r="R124" s="183">
        <f t="shared" si="12"/>
        <v>1213.7220208200001</v>
      </c>
      <c r="S124" s="183">
        <f t="shared" si="13"/>
        <v>0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'A.1.0_TablaAntigüedad_Sub'!N125</f>
        <v>131</v>
      </c>
      <c r="I125" s="183">
        <f>'A.1.0_TablaAntigüedad_Sub'!AB125</f>
        <v>543.53100000000006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8152.9650000000011</v>
      </c>
      <c r="O125" s="183">
        <f>'A.0_Tablas salariales SC'!$K$150</f>
        <v>28483.472100000006</v>
      </c>
      <c r="P125" s="183">
        <f>(O125+N125)*G125+'A.0_Tablas salariales SC'!$R$164*(100%-G125)</f>
        <v>3500.7846000000004</v>
      </c>
      <c r="Q125" s="184">
        <f>IF(D125=100,'A.0_Tablas salariales SC'!$H$215,IF(D125=150,'A.0_Tablas salariales SC'!$H$216,IF(D125=189,'A.0_Tablas salariales SC'!$H$217,IF(D125=400,'A.0_Tablas salariales SC'!$H$218,IF(D125=450,'A.0_Tablas salariales SC'!$H$219,IF(D125=401,'A.0_Tablas salariales SC'!$H$220,IF(D125=451,'A.0_Tablas salariales SC'!$H$221,'A.0_Tablas salariales SC'!$H$215)))))))</f>
        <v>0.34670000000000001</v>
      </c>
      <c r="R125" s="183">
        <f t="shared" si="12"/>
        <v>1213.7220208200001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'A.1.0_TablaAntigüedad_Sub'!N126</f>
        <v>131</v>
      </c>
      <c r="I126" s="183">
        <f>'A.1.0_TablaAntigüedad_Sub'!AB126</f>
        <v>543.53100000000006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8152.9650000000011</v>
      </c>
      <c r="O126" s="183">
        <f>'A.0_Tablas salariales SC'!$K$150</f>
        <v>28483.472100000006</v>
      </c>
      <c r="P126" s="183">
        <f>(O126+N126)*G126+'A.0_Tablas salariales SC'!$R$164*(100%-G126)</f>
        <v>3500.7846000000004</v>
      </c>
      <c r="Q126" s="184">
        <f>IF(D126=100,'A.0_Tablas salariales SC'!$H$215,IF(D126=150,'A.0_Tablas salariales SC'!$H$216,IF(D126=189,'A.0_Tablas salariales SC'!$H$217,IF(D126=400,'A.0_Tablas salariales SC'!$H$218,IF(D126=450,'A.0_Tablas salariales SC'!$H$219,IF(D126=401,'A.0_Tablas salariales SC'!$H$220,IF(D126=451,'A.0_Tablas salariales SC'!$H$221,'A.0_Tablas salariales SC'!$H$215)))))))</f>
        <v>0.34670000000000001</v>
      </c>
      <c r="R126" s="183">
        <f t="shared" si="12"/>
        <v>1213.7220208200001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'A.1.0_TablaAntigüedad_Sub'!N127</f>
        <v>131</v>
      </c>
      <c r="I127" s="183">
        <f>'A.1.0_TablaAntigüedad_Sub'!AB127</f>
        <v>543.53100000000006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8152.9650000000011</v>
      </c>
      <c r="O127" s="183">
        <f>'A.0_Tablas salariales SC'!$K$150</f>
        <v>28483.472100000006</v>
      </c>
      <c r="P127" s="183">
        <f>(O127+N127)*G127+'A.0_Tablas salariales SC'!$R$164*(100%-G127)</f>
        <v>3500.7846000000004</v>
      </c>
      <c r="Q127" s="184">
        <f>IF(D127=100,'A.0_Tablas salariales SC'!$H$215,IF(D127=150,'A.0_Tablas salariales SC'!$H$216,IF(D127=189,'A.0_Tablas salariales SC'!$H$217,IF(D127=400,'A.0_Tablas salariales SC'!$H$218,IF(D127=450,'A.0_Tablas salariales SC'!$H$219,IF(D127=401,'A.0_Tablas salariales SC'!$H$220,IF(D127=451,'A.0_Tablas salariales SC'!$H$221,'A.0_Tablas salariales SC'!$H$215)))))))</f>
        <v>0.34670000000000001</v>
      </c>
      <c r="R127" s="183">
        <f t="shared" si="12"/>
        <v>1213.7220208200001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'A.1.0_TablaAntigüedad_Sub'!N128</f>
        <v>131</v>
      </c>
      <c r="I128" s="183">
        <f>'A.1.0_TablaAntigüedad_Sub'!AB128</f>
        <v>543.53100000000006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8152.9650000000011</v>
      </c>
      <c r="O128" s="183">
        <f>'A.0_Tablas salariales SC'!$K$150</f>
        <v>28483.472100000006</v>
      </c>
      <c r="P128" s="183">
        <f>(O128+N128)*G128+'A.0_Tablas salariales SC'!$R$164*(100%-G128)</f>
        <v>3500.7846000000004</v>
      </c>
      <c r="Q128" s="184">
        <f>IF(D128=100,'A.0_Tablas salariales SC'!$H$215,IF(D128=150,'A.0_Tablas salariales SC'!$H$216,IF(D128=189,'A.0_Tablas salariales SC'!$H$217,IF(D128=400,'A.0_Tablas salariales SC'!$H$218,IF(D128=450,'A.0_Tablas salariales SC'!$H$219,IF(D128=401,'A.0_Tablas salariales SC'!$H$220,IF(D128=451,'A.0_Tablas salariales SC'!$H$221,'A.0_Tablas salariales SC'!$H$215)))))))</f>
        <v>0.34670000000000001</v>
      </c>
      <c r="R128" s="183">
        <f t="shared" si="12"/>
        <v>1213.7220208200001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'A.1.0_TablaAntigüedad_Sub'!N129</f>
        <v>131</v>
      </c>
      <c r="I129" s="183">
        <f>'A.1.0_TablaAntigüedad_Sub'!AB129</f>
        <v>543.53100000000006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8152.9650000000011</v>
      </c>
      <c r="O129" s="183">
        <f>'A.0_Tablas salariales SC'!$K$150</f>
        <v>28483.472100000006</v>
      </c>
      <c r="P129" s="183">
        <f>(O129+N129)*G129+'A.0_Tablas salariales SC'!$R$164*(100%-G129)</f>
        <v>3500.7846000000004</v>
      </c>
      <c r="Q129" s="184">
        <f>IF(D129=100,'A.0_Tablas salariales SC'!$H$215,IF(D129=150,'A.0_Tablas salariales SC'!$H$216,IF(D129=189,'A.0_Tablas salariales SC'!$H$217,IF(D129=400,'A.0_Tablas salariales SC'!$H$218,IF(D129=450,'A.0_Tablas salariales SC'!$H$219,IF(D129=401,'A.0_Tablas salariales SC'!$H$220,IF(D129=451,'A.0_Tablas salariales SC'!$H$221,'A.0_Tablas salariales SC'!$H$215)))))))</f>
        <v>0.34670000000000001</v>
      </c>
      <c r="R129" s="183">
        <f t="shared" si="12"/>
        <v>1213.7220208200001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'A.1.0_TablaAntigüedad_Sub'!N130</f>
        <v>131</v>
      </c>
      <c r="I130" s="183">
        <f>'A.1.0_TablaAntigüedad_Sub'!AB130</f>
        <v>543.53100000000006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8152.9650000000011</v>
      </c>
      <c r="O130" s="183">
        <f>'A.0_Tablas salariales SC'!$K$150</f>
        <v>28483.472100000006</v>
      </c>
      <c r="P130" s="183">
        <f>(O130+N130)*G130+'A.0_Tablas salariales SC'!$R$164*(100%-G130)</f>
        <v>3500.7846000000004</v>
      </c>
      <c r="Q130" s="184">
        <f>IF(D130=100,'A.0_Tablas salariales SC'!$H$215,IF(D130=150,'A.0_Tablas salariales SC'!$H$216,IF(D130=189,'A.0_Tablas salariales SC'!$H$217,IF(D130=400,'A.0_Tablas salariales SC'!$H$218,IF(D130=450,'A.0_Tablas salariales SC'!$H$219,IF(D130=401,'A.0_Tablas salariales SC'!$H$220,IF(D130=451,'A.0_Tablas salariales SC'!$H$221,'A.0_Tablas salariales SC'!$H$215)))))))</f>
        <v>0.34670000000000001</v>
      </c>
      <c r="R130" s="183">
        <f t="shared" si="12"/>
        <v>1213.7220208200001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'A.1.0_TablaAntigüedad_Sub'!N131</f>
        <v>131</v>
      </c>
      <c r="I131" s="183">
        <f>'A.1.0_TablaAntigüedad_Sub'!AB131</f>
        <v>543.53100000000006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8152.9650000000011</v>
      </c>
      <c r="O131" s="183">
        <f>'A.0_Tablas salariales SC'!$K$150</f>
        <v>28483.472100000006</v>
      </c>
      <c r="P131" s="183">
        <f>(O131+N131)*G131+'A.0_Tablas salariales SC'!$R$164*(100%-G131)</f>
        <v>3500.7846000000004</v>
      </c>
      <c r="Q131" s="184">
        <f>IF(D131=100,'A.0_Tablas salariales SC'!$H$215,IF(D131=150,'A.0_Tablas salariales SC'!$H$216,IF(D131=189,'A.0_Tablas salariales SC'!$H$217,IF(D131=400,'A.0_Tablas salariales SC'!$H$218,IF(D131=450,'A.0_Tablas salariales SC'!$H$219,IF(D131=401,'A.0_Tablas salariales SC'!$H$220,IF(D131=451,'A.0_Tablas salariales SC'!$H$221,'A.0_Tablas salariales SC'!$H$215)))))))</f>
        <v>0.34670000000000001</v>
      </c>
      <c r="R131" s="183">
        <f t="shared" si="12"/>
        <v>1213.7220208200001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'A.1.0_TablaAntigüedad_Sub'!N132</f>
        <v>131</v>
      </c>
      <c r="I132" s="183">
        <f>'A.1.0_TablaAntigüedad_Sub'!AB132</f>
        <v>543.53100000000006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8152.9650000000011</v>
      </c>
      <c r="O132" s="183">
        <f>'A.0_Tablas salariales SC'!$K$150</f>
        <v>28483.472100000006</v>
      </c>
      <c r="P132" s="183">
        <f>(O132+N132)*G132+'A.0_Tablas salariales SC'!$R$164*(100%-G132)</f>
        <v>3500.7846000000004</v>
      </c>
      <c r="Q132" s="184">
        <f>IF(D132=100,'A.0_Tablas salariales SC'!$H$215,IF(D132=150,'A.0_Tablas salariales SC'!$H$216,IF(D132=189,'A.0_Tablas salariales SC'!$H$217,IF(D132=400,'A.0_Tablas salariales SC'!$H$218,IF(D132=450,'A.0_Tablas salariales SC'!$H$219,IF(D132=401,'A.0_Tablas salariales SC'!$H$220,IF(D132=451,'A.0_Tablas salariales SC'!$H$221,'A.0_Tablas salariales SC'!$H$215)))))))</f>
        <v>0.34670000000000001</v>
      </c>
      <c r="R132" s="183">
        <f t="shared" si="12"/>
        <v>1213.7220208200001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'A.1.0_TablaAntigüedad_Sub'!N133</f>
        <v>131</v>
      </c>
      <c r="I133" s="183">
        <f>'A.1.0_TablaAntigüedad_Sub'!AB133</f>
        <v>543.53100000000006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8152.9650000000011</v>
      </c>
      <c r="O133" s="183">
        <f>'A.0_Tablas salariales SC'!$K$150</f>
        <v>28483.472100000006</v>
      </c>
      <c r="P133" s="183">
        <f>(O133+N133)*G133+'A.0_Tablas salariales SC'!$R$164*(100%-G133)</f>
        <v>3500.7846000000004</v>
      </c>
      <c r="Q133" s="184">
        <f>IF(D133=100,'A.0_Tablas salariales SC'!$H$215,IF(D133=150,'A.0_Tablas salariales SC'!$H$216,IF(D133=189,'A.0_Tablas salariales SC'!$H$217,IF(D133=400,'A.0_Tablas salariales SC'!$H$218,IF(D133=450,'A.0_Tablas salariales SC'!$H$219,IF(D133=401,'A.0_Tablas salariales SC'!$H$220,IF(D133=451,'A.0_Tablas salariales SC'!$H$221,'A.0_Tablas salariales SC'!$H$215)))))))</f>
        <v>0.34670000000000001</v>
      </c>
      <c r="R133" s="183">
        <f t="shared" si="12"/>
        <v>1213.7220208200001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'A.1.0_TablaAntigüedad_Sub'!N134</f>
        <v>131</v>
      </c>
      <c r="I134" s="183">
        <f>'A.1.0_TablaAntigüedad_Sub'!AB134</f>
        <v>543.53100000000006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8152.9650000000011</v>
      </c>
      <c r="O134" s="183">
        <f>'A.0_Tablas salariales SC'!$K$150</f>
        <v>28483.472100000006</v>
      </c>
      <c r="P134" s="183">
        <f>(O134+N134)*G134+'A.0_Tablas salariales SC'!$R$164*(100%-G134)</f>
        <v>3500.7846000000004</v>
      </c>
      <c r="Q134" s="184">
        <f>IF(D134=100,'A.0_Tablas salariales SC'!$H$215,IF(D134=150,'A.0_Tablas salariales SC'!$H$216,IF(D134=189,'A.0_Tablas salariales SC'!$H$217,IF(D134=400,'A.0_Tablas salariales SC'!$H$218,IF(D134=450,'A.0_Tablas salariales SC'!$H$219,IF(D134=401,'A.0_Tablas salariales SC'!$H$220,IF(D134=451,'A.0_Tablas salariales SC'!$H$221,'A.0_Tablas salariales SC'!$H$215)))))))</f>
        <v>0.34670000000000001</v>
      </c>
      <c r="R134" s="183">
        <f t="shared" si="12"/>
        <v>1213.7220208200001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'A.1.0_TablaAntigüedad_Sub'!N135</f>
        <v>131</v>
      </c>
      <c r="I135" s="183">
        <f>'A.1.0_TablaAntigüedad_Sub'!AB135</f>
        <v>543.53100000000006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8152.9650000000011</v>
      </c>
      <c r="O135" s="183">
        <f>'A.0_Tablas salariales SC'!$K$150</f>
        <v>28483.472100000006</v>
      </c>
      <c r="P135" s="183">
        <f>(O135+N135)*G135+'A.0_Tablas salariales SC'!$R$164*(100%-G135)</f>
        <v>3500.7846000000004</v>
      </c>
      <c r="Q135" s="184">
        <f>IF(D135=100,'A.0_Tablas salariales SC'!$H$215,IF(D135=150,'A.0_Tablas salariales SC'!$H$216,IF(D135=189,'A.0_Tablas salariales SC'!$H$217,IF(D135=400,'A.0_Tablas salariales SC'!$H$218,IF(D135=450,'A.0_Tablas salariales SC'!$H$219,IF(D135=401,'A.0_Tablas salariales SC'!$H$220,IF(D135=451,'A.0_Tablas salariales SC'!$H$221,'A.0_Tablas salariales SC'!$H$215)))))))</f>
        <v>0.34670000000000001</v>
      </c>
      <c r="R135" s="183">
        <f t="shared" si="12"/>
        <v>1213.7220208200001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'A.1.0_TablaAntigüedad_Sub'!N136</f>
        <v>131</v>
      </c>
      <c r="I136" s="183">
        <f>'A.1.0_TablaAntigüedad_Sub'!AB136</f>
        <v>543.53100000000006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8152.9650000000011</v>
      </c>
      <c r="O136" s="183">
        <f>'A.0_Tablas salariales SC'!$K$150</f>
        <v>28483.472100000006</v>
      </c>
      <c r="P136" s="183">
        <f>(O136+N136)*G136+'A.0_Tablas salariales SC'!$R$164*(100%-G136)</f>
        <v>3500.7846000000004</v>
      </c>
      <c r="Q136" s="184">
        <f>IF(D136=100,'A.0_Tablas salariales SC'!$H$215,IF(D136=150,'A.0_Tablas salariales SC'!$H$216,IF(D136=189,'A.0_Tablas salariales SC'!$H$217,IF(D136=400,'A.0_Tablas salariales SC'!$H$218,IF(D136=450,'A.0_Tablas salariales SC'!$H$219,IF(D136=401,'A.0_Tablas salariales SC'!$H$220,IF(D136=451,'A.0_Tablas salariales SC'!$H$221,'A.0_Tablas salariales SC'!$H$215)))))))</f>
        <v>0.34670000000000001</v>
      </c>
      <c r="R136" s="183">
        <f t="shared" si="12"/>
        <v>1213.7220208200001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'A.1.0_TablaAntigüedad_Sub'!N137</f>
        <v>131</v>
      </c>
      <c r="I137" s="183">
        <f>'A.1.0_TablaAntigüedad_Sub'!AB137</f>
        <v>543.53100000000006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8152.9650000000011</v>
      </c>
      <c r="O137" s="183">
        <f>'A.0_Tablas salariales SC'!$K$150</f>
        <v>28483.472100000006</v>
      </c>
      <c r="P137" s="183">
        <f>(O137+N137)*G137+'A.0_Tablas salariales SC'!$R$164*(100%-G137)</f>
        <v>3500.7846000000004</v>
      </c>
      <c r="Q137" s="184">
        <f>IF(D137=100,'A.0_Tablas salariales SC'!$H$215,IF(D137=150,'A.0_Tablas salariales SC'!$H$216,IF(D137=189,'A.0_Tablas salariales SC'!$H$217,IF(D137=400,'A.0_Tablas salariales SC'!$H$218,IF(D137=450,'A.0_Tablas salariales SC'!$H$219,IF(D137=401,'A.0_Tablas salariales SC'!$H$220,IF(D137=451,'A.0_Tablas salariales SC'!$H$221,'A.0_Tablas salariales SC'!$H$215)))))))</f>
        <v>0.34670000000000001</v>
      </c>
      <c r="R137" s="183">
        <f t="shared" si="12"/>
        <v>1213.7220208200001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'A.1.0_TablaAntigüedad_Sub'!N138</f>
        <v>131</v>
      </c>
      <c r="I138" s="183">
        <f>'A.1.0_TablaAntigüedad_Sub'!AB138</f>
        <v>543.53100000000006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8152.9650000000011</v>
      </c>
      <c r="O138" s="183">
        <f>'A.0_Tablas salariales SC'!$K$150</f>
        <v>28483.472100000006</v>
      </c>
      <c r="P138" s="183">
        <f>(O138+N138)*G138+'A.0_Tablas salariales SC'!$R$164*(100%-G138)</f>
        <v>3500.7846000000004</v>
      </c>
      <c r="Q138" s="184">
        <f>IF(D138=100,'A.0_Tablas salariales SC'!$H$215,IF(D138=150,'A.0_Tablas salariales SC'!$H$216,IF(D138=189,'A.0_Tablas salariales SC'!$H$217,IF(D138=400,'A.0_Tablas salariales SC'!$H$218,IF(D138=450,'A.0_Tablas salariales SC'!$H$219,IF(D138=401,'A.0_Tablas salariales SC'!$H$220,IF(D138=451,'A.0_Tablas salariales SC'!$H$221,'A.0_Tablas salariales SC'!$H$215)))))))</f>
        <v>0.34670000000000001</v>
      </c>
      <c r="R138" s="183">
        <f t="shared" si="10"/>
        <v>1213.7220208200001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0</v>
      </c>
    </row>
    <row r="140" spans="1:20">
      <c r="A140" s="508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2">
        <f>'A.1. Plantilla_Subrogacion'!F140</f>
        <v>0</v>
      </c>
      <c r="H140" s="181">
        <f>'A.1.0_TablaAntigüedad_Sub'!N140</f>
        <v>131</v>
      </c>
      <c r="I140" s="183">
        <f>'A.1.0_TablaAntigüedad_Sub'!AB140</f>
        <v>543.53100000000006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8152.9650000000011</v>
      </c>
      <c r="O140" s="183">
        <f>'A.0_Tablas salariales SC'!$K$150</f>
        <v>28483.472100000006</v>
      </c>
      <c r="P140" s="183">
        <f>(O140+N140)*G140+'A.0_Tablas salariales SC'!$R$164*(100%-G140)</f>
        <v>3500.7846000000004</v>
      </c>
      <c r="Q140" s="492">
        <f>IF(D140=100,'A.0_Tablas salariales SC'!$H$227,IF(D140=150,'A.0_Tablas salariales SC'!$H$228,IF(D140=189,'A.0_Tablas salariales SC'!$H$229,IF(D140=400,'A.0_Tablas salariales SC'!$H$230,IF(D140=450,'A.0_Tablas salariales SC'!$H$231,IF(D140=401,'A.0_Tablas salariales SC'!$H$232,IF(D140=451,'A.0_Tablas salariales SC'!$H$233,'A.0_Tablas salariales SC'!$H$227)))))))</f>
        <v>0.37770000000000004</v>
      </c>
      <c r="R140" s="183">
        <f t="shared" si="10"/>
        <v>1322.2463434200004</v>
      </c>
      <c r="S140" s="183">
        <f t="shared" si="11"/>
        <v>0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'A.1.0_TablaAntigüedad_Sub'!N141</f>
        <v>131</v>
      </c>
      <c r="I141" s="183">
        <f>'A.1.0_TablaAntigüedad_Sub'!AB141</f>
        <v>543.53100000000006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8152.9650000000011</v>
      </c>
      <c r="O141" s="183">
        <f>'A.0_Tablas salariales SC'!$K$150</f>
        <v>28483.472100000006</v>
      </c>
      <c r="P141" s="183">
        <f>(O141+N141)*G141+'A.0_Tablas salariales SC'!$R$164*(100%-G141)</f>
        <v>3500.7846000000004</v>
      </c>
      <c r="Q141" s="492">
        <f>IF(D141=100,'A.0_Tablas salariales SC'!$H$227,IF(D141=150,'A.0_Tablas salariales SC'!$H$228,IF(D141=189,'A.0_Tablas salariales SC'!$H$229,IF(D141=400,'A.0_Tablas salariales SC'!$H$230,IF(D141=450,'A.0_Tablas salariales SC'!$H$231,IF(D141=401,'A.0_Tablas salariales SC'!$H$232,IF(D141=451,'A.0_Tablas salariales SC'!$H$233,'A.0_Tablas salariales SC'!$H$227)))))))</f>
        <v>0.37770000000000004</v>
      </c>
      <c r="R141" s="183">
        <f t="shared" si="10"/>
        <v>1322.2463434200004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'A.1.0_TablaAntigüedad_Sub'!N142</f>
        <v>131</v>
      </c>
      <c r="I142" s="183">
        <f>'A.1.0_TablaAntigüedad_Sub'!AB142</f>
        <v>543.53100000000006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8152.9650000000011</v>
      </c>
      <c r="O142" s="183">
        <f>'A.0_Tablas salariales SC'!$K$150</f>
        <v>28483.472100000006</v>
      </c>
      <c r="P142" s="183">
        <f>(O142+N142)*G142+'A.0_Tablas salariales SC'!$R$164*(100%-G142)</f>
        <v>3500.7846000000004</v>
      </c>
      <c r="Q142" s="492">
        <f>IF(D142=100,'A.0_Tablas salariales SC'!$H$227,IF(D142=150,'A.0_Tablas salariales SC'!$H$228,IF(D142=189,'A.0_Tablas salariales SC'!$H$229,IF(D142=400,'A.0_Tablas salariales SC'!$H$230,IF(D142=450,'A.0_Tablas salariales SC'!$H$231,IF(D142=401,'A.0_Tablas salariales SC'!$H$232,IF(D142=451,'A.0_Tablas salariales SC'!$H$233,'A.0_Tablas salariales SC'!$H$227)))))))</f>
        <v>0.37770000000000004</v>
      </c>
      <c r="R142" s="183">
        <f t="shared" si="10"/>
        <v>1322.2463434200004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'A.1.0_TablaAntigüedad_Sub'!N143</f>
        <v>131</v>
      </c>
      <c r="I143" s="183">
        <f>'A.1.0_TablaAntigüedad_Sub'!AB143</f>
        <v>543.53100000000006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8152.9650000000011</v>
      </c>
      <c r="O143" s="183">
        <f>'A.0_Tablas salariales SC'!$K$150</f>
        <v>28483.472100000006</v>
      </c>
      <c r="P143" s="183">
        <f>(O143+N143)*G143+'A.0_Tablas salariales SC'!$R$164*(100%-G143)</f>
        <v>3500.7846000000004</v>
      </c>
      <c r="Q143" s="492">
        <f>IF(D143=100,'A.0_Tablas salariales SC'!$H$227,IF(D143=150,'A.0_Tablas salariales SC'!$H$228,IF(D143=189,'A.0_Tablas salariales SC'!$H$229,IF(D143=400,'A.0_Tablas salariales SC'!$H$230,IF(D143=450,'A.0_Tablas salariales SC'!$H$231,IF(D143=401,'A.0_Tablas salariales SC'!$H$232,IF(D143=451,'A.0_Tablas salariales SC'!$H$233,'A.0_Tablas salariales SC'!$H$227)))))))</f>
        <v>0.37770000000000004</v>
      </c>
      <c r="R143" s="183">
        <f t="shared" ref="R143:R150" si="15">Q143*P143</f>
        <v>1322.2463434200004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'A.1.0_TablaAntigüedad_Sub'!N144</f>
        <v>131</v>
      </c>
      <c r="I144" s="183">
        <f>'A.1.0_TablaAntigüedad_Sub'!AB144</f>
        <v>543.53100000000006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8152.9650000000011</v>
      </c>
      <c r="O144" s="183">
        <f>'A.0_Tablas salariales SC'!$K$150</f>
        <v>28483.472100000006</v>
      </c>
      <c r="P144" s="183">
        <f>(O144+N144)*G144+'A.0_Tablas salariales SC'!$R$164*(100%-G144)</f>
        <v>3500.7846000000004</v>
      </c>
      <c r="Q144" s="492">
        <f>IF(D144=100,'A.0_Tablas salariales SC'!$H$227,IF(D144=150,'A.0_Tablas salariales SC'!$H$228,IF(D144=189,'A.0_Tablas salariales SC'!$H$229,IF(D144=400,'A.0_Tablas salariales SC'!$H$230,IF(D144=450,'A.0_Tablas salariales SC'!$H$231,IF(D144=401,'A.0_Tablas salariales SC'!$H$232,IF(D144=451,'A.0_Tablas salariales SC'!$H$233,'A.0_Tablas salariales SC'!$H$227)))))))</f>
        <v>0.37770000000000004</v>
      </c>
      <c r="R144" s="183">
        <f t="shared" si="15"/>
        <v>1322.2463434200004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'A.1.0_TablaAntigüedad_Sub'!N145</f>
        <v>131</v>
      </c>
      <c r="I145" s="183">
        <f>'A.1.0_TablaAntigüedad_Sub'!AB145</f>
        <v>543.53100000000006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8152.9650000000011</v>
      </c>
      <c r="O145" s="183">
        <f>'A.0_Tablas salariales SC'!$K$150</f>
        <v>28483.472100000006</v>
      </c>
      <c r="P145" s="183">
        <f>(O145+N145)*G145+'A.0_Tablas salariales SC'!$R$164*(100%-G145)</f>
        <v>3500.7846000000004</v>
      </c>
      <c r="Q145" s="492">
        <f>IF(D145=100,'A.0_Tablas salariales SC'!$H$227,IF(D145=150,'A.0_Tablas salariales SC'!$H$228,IF(D145=189,'A.0_Tablas salariales SC'!$H$229,IF(D145=400,'A.0_Tablas salariales SC'!$H$230,IF(D145=450,'A.0_Tablas salariales SC'!$H$231,IF(D145=401,'A.0_Tablas salariales SC'!$H$232,IF(D145=451,'A.0_Tablas salariales SC'!$H$233,'A.0_Tablas salariales SC'!$H$227)))))))</f>
        <v>0.37770000000000004</v>
      </c>
      <c r="R145" s="183">
        <f t="shared" si="15"/>
        <v>1322.2463434200004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'A.1.0_TablaAntigüedad_Sub'!N146</f>
        <v>131</v>
      </c>
      <c r="I146" s="183">
        <f>'A.1.0_TablaAntigüedad_Sub'!AB146</f>
        <v>543.53100000000006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8152.9650000000011</v>
      </c>
      <c r="O146" s="183">
        <f>'A.0_Tablas salariales SC'!$K$150</f>
        <v>28483.472100000006</v>
      </c>
      <c r="P146" s="183">
        <f>(O146+N146)*G146+'A.0_Tablas salariales SC'!$R$164*(100%-G146)</f>
        <v>3500.7846000000004</v>
      </c>
      <c r="Q146" s="492">
        <f>IF(D146=100,'A.0_Tablas salariales SC'!$H$227,IF(D146=150,'A.0_Tablas salariales SC'!$H$228,IF(D146=189,'A.0_Tablas salariales SC'!$H$229,IF(D146=400,'A.0_Tablas salariales SC'!$H$230,IF(D146=450,'A.0_Tablas salariales SC'!$H$231,IF(D146=401,'A.0_Tablas salariales SC'!$H$232,IF(D146=451,'A.0_Tablas salariales SC'!$H$233,'A.0_Tablas salariales SC'!$H$227)))))))</f>
        <v>0.37770000000000004</v>
      </c>
      <c r="R146" s="183">
        <f t="shared" si="15"/>
        <v>1322.2463434200004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'A.1.0_TablaAntigüedad_Sub'!N147</f>
        <v>131</v>
      </c>
      <c r="I147" s="183">
        <f>'A.1.0_TablaAntigüedad_Sub'!AB147</f>
        <v>543.53100000000006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8152.9650000000011</v>
      </c>
      <c r="O147" s="183">
        <f>'A.0_Tablas salariales SC'!$K$150</f>
        <v>28483.472100000006</v>
      </c>
      <c r="P147" s="183">
        <f>(O147+N147)*G147+'A.0_Tablas salariales SC'!$R$164*(100%-G147)</f>
        <v>3500.7846000000004</v>
      </c>
      <c r="Q147" s="492">
        <f>IF(D147=100,'A.0_Tablas salariales SC'!$H$227,IF(D147=150,'A.0_Tablas salariales SC'!$H$228,IF(D147=189,'A.0_Tablas salariales SC'!$H$229,IF(D147=400,'A.0_Tablas salariales SC'!$H$230,IF(D147=450,'A.0_Tablas salariales SC'!$H$231,IF(D147=401,'A.0_Tablas salariales SC'!$H$232,IF(D147=451,'A.0_Tablas salariales SC'!$H$233,'A.0_Tablas salariales SC'!$H$227)))))))</f>
        <v>0.37770000000000004</v>
      </c>
      <c r="R147" s="183">
        <f t="shared" si="15"/>
        <v>1322.2463434200004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'A.1.0_TablaAntigüedad_Sub'!N148</f>
        <v>131</v>
      </c>
      <c r="I148" s="183">
        <f>'A.1.0_TablaAntigüedad_Sub'!AB148</f>
        <v>543.53100000000006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8152.9650000000011</v>
      </c>
      <c r="O148" s="183">
        <f>'A.0_Tablas salariales SC'!$K$150</f>
        <v>28483.472100000006</v>
      </c>
      <c r="P148" s="183">
        <f>(O148+N148)*G148+'A.0_Tablas salariales SC'!$R$164*(100%-G148)</f>
        <v>3500.7846000000004</v>
      </c>
      <c r="Q148" s="492">
        <f>IF(D148=100,'A.0_Tablas salariales SC'!$H$227,IF(D148=150,'A.0_Tablas salariales SC'!$H$228,IF(D148=189,'A.0_Tablas salariales SC'!$H$229,IF(D148=400,'A.0_Tablas salariales SC'!$H$230,IF(D148=450,'A.0_Tablas salariales SC'!$H$231,IF(D148=401,'A.0_Tablas salariales SC'!$H$232,IF(D148=451,'A.0_Tablas salariales SC'!$H$233,'A.0_Tablas salariales SC'!$H$227)))))))</f>
        <v>0.37770000000000004</v>
      </c>
      <c r="R148" s="183">
        <f t="shared" si="15"/>
        <v>1322.2463434200004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'A.1.0_TablaAntigüedad_Sub'!N149</f>
        <v>131</v>
      </c>
      <c r="I149" s="183">
        <f>'A.1.0_TablaAntigüedad_Sub'!AB149</f>
        <v>543.53100000000006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8152.9650000000011</v>
      </c>
      <c r="O149" s="183">
        <f>'A.0_Tablas salariales SC'!$K$150</f>
        <v>28483.472100000006</v>
      </c>
      <c r="P149" s="183">
        <f>(O149+N149)*G149+'A.0_Tablas salariales SC'!$R$164*(100%-G149)</f>
        <v>3500.7846000000004</v>
      </c>
      <c r="Q149" s="492">
        <f>IF(D149=100,'A.0_Tablas salariales SC'!$H$227,IF(D149=150,'A.0_Tablas salariales SC'!$H$228,IF(D149=189,'A.0_Tablas salariales SC'!$H$229,IF(D149=400,'A.0_Tablas salariales SC'!$H$230,IF(D149=450,'A.0_Tablas salariales SC'!$H$231,IF(D149=401,'A.0_Tablas salariales SC'!$H$232,IF(D149=451,'A.0_Tablas salariales SC'!$H$233,'A.0_Tablas salariales SC'!$H$227)))))))</f>
        <v>0.37770000000000004</v>
      </c>
      <c r="R149" s="183">
        <f t="shared" si="15"/>
        <v>1322.2463434200004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'A.1.0_TablaAntigüedad_Sub'!N150</f>
        <v>131</v>
      </c>
      <c r="I150" s="183">
        <f>'A.1.0_TablaAntigüedad_Sub'!AB150</f>
        <v>543.53100000000006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8152.9650000000011</v>
      </c>
      <c r="O150" s="183">
        <f>'A.0_Tablas salariales SC'!$K$150</f>
        <v>28483.472100000006</v>
      </c>
      <c r="P150" s="183">
        <f>(O150+N150)*G150+'A.0_Tablas salariales SC'!$R$164*(100%-G150)</f>
        <v>3500.7846000000004</v>
      </c>
      <c r="Q150" s="492">
        <f>IF(D150=100,'A.0_Tablas salariales SC'!$H$227,IF(D150=150,'A.0_Tablas salariales SC'!$H$228,IF(D150=189,'A.0_Tablas salariales SC'!$H$229,IF(D150=400,'A.0_Tablas salariales SC'!$H$230,IF(D150=450,'A.0_Tablas salariales SC'!$H$231,IF(D150=401,'A.0_Tablas salariales SC'!$H$232,IF(D150=451,'A.0_Tablas salariales SC'!$H$233,'A.0_Tablas salariales SC'!$H$227)))))))</f>
        <v>0.37770000000000004</v>
      </c>
      <c r="R150" s="183">
        <f t="shared" si="15"/>
        <v>1322.2463434200004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'A.1.0_TablaAntigüedad_Sub'!N151</f>
        <v>131</v>
      </c>
      <c r="I151" s="183">
        <f>'A.1.0_TablaAntigüedad_Sub'!AB151</f>
        <v>543.53100000000006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8152.9650000000011</v>
      </c>
      <c r="O151" s="183">
        <f>'A.0_Tablas salariales SC'!$K$150</f>
        <v>28483.472100000006</v>
      </c>
      <c r="P151" s="183">
        <f>(O151+N151)*G151+'A.0_Tablas salariales SC'!$R$164*(100%-G151)</f>
        <v>3500.7846000000004</v>
      </c>
      <c r="Q151" s="492">
        <f>IF(D151=100,'A.0_Tablas salariales SC'!$H$227,IF(D151=150,'A.0_Tablas salariales SC'!$H$228,IF(D151=189,'A.0_Tablas salariales SC'!$H$229,IF(D151=400,'A.0_Tablas salariales SC'!$H$230,IF(D151=450,'A.0_Tablas salariales SC'!$H$231,IF(D151=401,'A.0_Tablas salariales SC'!$H$232,IF(D151=451,'A.0_Tablas salariales SC'!$H$233,'A.0_Tablas salariales SC'!$H$227)))))))</f>
        <v>0.37770000000000004</v>
      </c>
      <c r="R151" s="183">
        <f t="shared" si="10"/>
        <v>1322.2463434200004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0</v>
      </c>
    </row>
    <row r="153" spans="1:20">
      <c r="A153" s="508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2">
        <f>'A.1. Plantilla_Subrogacion'!F153</f>
        <v>0</v>
      </c>
      <c r="H153" s="181">
        <f>'A.1.0_TablaAntigüedad_Sub'!N153</f>
        <v>131</v>
      </c>
      <c r="I153" s="183">
        <f>'A.1.0_TablaAntigüedad_Sub'!AB153</f>
        <v>543.53100000000006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8152.9650000000011</v>
      </c>
      <c r="O153" s="183">
        <f>'A.0_Tablas salariales SC'!$K$153</f>
        <v>29625.381600000008</v>
      </c>
      <c r="P153" s="183">
        <f>(O153+N153)*G153+'A.0_Tablas salariales SC'!$R$164*(100%-G153)</f>
        <v>3500.7846000000004</v>
      </c>
      <c r="Q153" s="184">
        <f>IF(D153=100,'A.0_Tablas salariales SC'!$H$215,IF(D153=150,'A.0_Tablas salariales SC'!$H$216,IF(D153=189,'A.0_Tablas salariales SC'!$H$217,IF(D153=400,'A.0_Tablas salariales SC'!$H$218,IF(D153=450,'A.0_Tablas salariales SC'!$H$219,IF(D153=401,'A.0_Tablas salariales SC'!$H$220,IF(D153=451,'A.0_Tablas salariales SC'!$H$221,'A.0_Tablas salariales SC'!$H$215)))))))</f>
        <v>0.34670000000000001</v>
      </c>
      <c r="R153" s="183">
        <f t="shared" si="10"/>
        <v>1213.7220208200001</v>
      </c>
      <c r="S153" s="183">
        <f t="shared" si="11"/>
        <v>0</v>
      </c>
      <c r="T153" s="179"/>
    </row>
    <row r="154" spans="1:20">
      <c r="A154" s="508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2">
        <f>'A.1. Plantilla_Subrogacion'!F154</f>
        <v>0</v>
      </c>
      <c r="H154" s="181">
        <f>'A.1.0_TablaAntigüedad_Sub'!N154</f>
        <v>131</v>
      </c>
      <c r="I154" s="183">
        <f>'A.1.0_TablaAntigüedad_Sub'!AB154</f>
        <v>543.53100000000006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8152.9650000000011</v>
      </c>
      <c r="O154" s="183">
        <f>'A.0_Tablas salariales SC'!$K$153</f>
        <v>29625.381600000008</v>
      </c>
      <c r="P154" s="183">
        <f>(O154+N154)*G154+'A.0_Tablas salariales SC'!$R$164*(100%-G154)</f>
        <v>3500.7846000000004</v>
      </c>
      <c r="Q154" s="184">
        <f>IF(D154=100,'A.0_Tablas salariales SC'!$H$215,IF(D154=150,'A.0_Tablas salariales SC'!$H$216,IF(D154=189,'A.0_Tablas salariales SC'!$H$217,IF(D154=400,'A.0_Tablas salariales SC'!$H$218,IF(D154=450,'A.0_Tablas salariales SC'!$H$219,IF(D154=401,'A.0_Tablas salariales SC'!$H$220,IF(D154=451,'A.0_Tablas salariales SC'!$H$221,'A.0_Tablas salariales SC'!$H$215)))))))</f>
        <v>0.34670000000000001</v>
      </c>
      <c r="R154" s="183">
        <f t="shared" ref="R154:R161" si="17">Q154*P154</f>
        <v>1213.7220208200001</v>
      </c>
      <c r="S154" s="183">
        <f t="shared" ref="S154:S161" si="18">(R154+P154)*A154</f>
        <v>0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'A.1.0_TablaAntigüedad_Sub'!N155</f>
        <v>131</v>
      </c>
      <c r="I155" s="183">
        <f>'A.1.0_TablaAntigüedad_Sub'!AB155</f>
        <v>543.53100000000006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8152.9650000000011</v>
      </c>
      <c r="O155" s="183">
        <f>'A.0_Tablas salariales SC'!$K$153</f>
        <v>29625.381600000008</v>
      </c>
      <c r="P155" s="183">
        <f>(O155+N155)*G155+'A.0_Tablas salariales SC'!$R$164*(100%-G155)</f>
        <v>3500.7846000000004</v>
      </c>
      <c r="Q155" s="184">
        <f>IF(D155=100,'A.0_Tablas salariales SC'!$H$215,IF(D155=150,'A.0_Tablas salariales SC'!$H$216,IF(D155=189,'A.0_Tablas salariales SC'!$H$217,IF(D155=400,'A.0_Tablas salariales SC'!$H$218,IF(D155=450,'A.0_Tablas salariales SC'!$H$219,IF(D155=401,'A.0_Tablas salariales SC'!$H$220,IF(D155=451,'A.0_Tablas salariales SC'!$H$221,'A.0_Tablas salariales SC'!$H$215)))))))</f>
        <v>0.34670000000000001</v>
      </c>
      <c r="R155" s="183">
        <f t="shared" si="17"/>
        <v>1213.7220208200001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'A.1.0_TablaAntigüedad_Sub'!N156</f>
        <v>131</v>
      </c>
      <c r="I156" s="183">
        <f>'A.1.0_TablaAntigüedad_Sub'!AB156</f>
        <v>543.53100000000006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8152.9650000000011</v>
      </c>
      <c r="O156" s="183">
        <f>'A.0_Tablas salariales SC'!$K$153</f>
        <v>29625.381600000008</v>
      </c>
      <c r="P156" s="183">
        <f>(O156+N156)*G156+'A.0_Tablas salariales SC'!$R$164*(100%-G156)</f>
        <v>3500.7846000000004</v>
      </c>
      <c r="Q156" s="184">
        <f>IF(D156=100,'A.0_Tablas salariales SC'!$H$215,IF(D156=150,'A.0_Tablas salariales SC'!$H$216,IF(D156=189,'A.0_Tablas salariales SC'!$H$217,IF(D156=400,'A.0_Tablas salariales SC'!$H$218,IF(D156=450,'A.0_Tablas salariales SC'!$H$219,IF(D156=401,'A.0_Tablas salariales SC'!$H$220,IF(D156=451,'A.0_Tablas salariales SC'!$H$221,'A.0_Tablas salariales SC'!$H$215)))))))</f>
        <v>0.34670000000000001</v>
      </c>
      <c r="R156" s="183">
        <f t="shared" si="17"/>
        <v>1213.7220208200001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'A.1.0_TablaAntigüedad_Sub'!N157</f>
        <v>131</v>
      </c>
      <c r="I157" s="183">
        <f>'A.1.0_TablaAntigüedad_Sub'!AB157</f>
        <v>543.53100000000006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8152.9650000000011</v>
      </c>
      <c r="O157" s="183">
        <f>'A.0_Tablas salariales SC'!$K$153</f>
        <v>29625.381600000008</v>
      </c>
      <c r="P157" s="183">
        <f>(O157+N157)*G157+'A.0_Tablas salariales SC'!$R$164*(100%-G157)</f>
        <v>3500.7846000000004</v>
      </c>
      <c r="Q157" s="184">
        <f>IF(D157=100,'A.0_Tablas salariales SC'!$H$215,IF(D157=150,'A.0_Tablas salariales SC'!$H$216,IF(D157=189,'A.0_Tablas salariales SC'!$H$217,IF(D157=400,'A.0_Tablas salariales SC'!$H$218,IF(D157=450,'A.0_Tablas salariales SC'!$H$219,IF(D157=401,'A.0_Tablas salariales SC'!$H$220,IF(D157=451,'A.0_Tablas salariales SC'!$H$221,'A.0_Tablas salariales SC'!$H$215)))))))</f>
        <v>0.34670000000000001</v>
      </c>
      <c r="R157" s="183">
        <f t="shared" si="17"/>
        <v>1213.7220208200001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'A.1.0_TablaAntigüedad_Sub'!N158</f>
        <v>131</v>
      </c>
      <c r="I158" s="183">
        <f>'A.1.0_TablaAntigüedad_Sub'!AB158</f>
        <v>543.53100000000006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8152.9650000000011</v>
      </c>
      <c r="O158" s="183">
        <f>'A.0_Tablas salariales SC'!$K$153</f>
        <v>29625.381600000008</v>
      </c>
      <c r="P158" s="183">
        <f>(O158+N158)*G158+'A.0_Tablas salariales SC'!$R$164*(100%-G158)</f>
        <v>3500.7846000000004</v>
      </c>
      <c r="Q158" s="184">
        <f>IF(D158=100,'A.0_Tablas salariales SC'!$H$215,IF(D158=150,'A.0_Tablas salariales SC'!$H$216,IF(D158=189,'A.0_Tablas salariales SC'!$H$217,IF(D158=400,'A.0_Tablas salariales SC'!$H$218,IF(D158=450,'A.0_Tablas salariales SC'!$H$219,IF(D158=401,'A.0_Tablas salariales SC'!$H$220,IF(D158=451,'A.0_Tablas salariales SC'!$H$221,'A.0_Tablas salariales SC'!$H$215)))))))</f>
        <v>0.34670000000000001</v>
      </c>
      <c r="R158" s="183">
        <f t="shared" si="17"/>
        <v>1213.7220208200001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'A.1.0_TablaAntigüedad_Sub'!N159</f>
        <v>131</v>
      </c>
      <c r="I159" s="183">
        <f>'A.1.0_TablaAntigüedad_Sub'!AB159</f>
        <v>543.53100000000006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8152.9650000000011</v>
      </c>
      <c r="O159" s="183">
        <f>'A.0_Tablas salariales SC'!$K$153</f>
        <v>29625.381600000008</v>
      </c>
      <c r="P159" s="183">
        <f>(O159+N159)*G159+'A.0_Tablas salariales SC'!$R$164*(100%-G159)</f>
        <v>3500.7846000000004</v>
      </c>
      <c r="Q159" s="184">
        <f>IF(D159=100,'A.0_Tablas salariales SC'!$H$215,IF(D159=150,'A.0_Tablas salariales SC'!$H$216,IF(D159=189,'A.0_Tablas salariales SC'!$H$217,IF(D159=400,'A.0_Tablas salariales SC'!$H$218,IF(D159=450,'A.0_Tablas salariales SC'!$H$219,IF(D159=401,'A.0_Tablas salariales SC'!$H$220,IF(D159=451,'A.0_Tablas salariales SC'!$H$221,'A.0_Tablas salariales SC'!$H$215)))))))</f>
        <v>0.34670000000000001</v>
      </c>
      <c r="R159" s="183">
        <f t="shared" si="17"/>
        <v>1213.7220208200001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'A.1.0_TablaAntigüedad_Sub'!N160</f>
        <v>131</v>
      </c>
      <c r="I160" s="183">
        <f>'A.1.0_TablaAntigüedad_Sub'!AB160</f>
        <v>543.53100000000006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8152.9650000000011</v>
      </c>
      <c r="O160" s="183">
        <f>'A.0_Tablas salariales SC'!$K$153</f>
        <v>29625.381600000008</v>
      </c>
      <c r="P160" s="183">
        <f>(O160+N160)*G160+'A.0_Tablas salariales SC'!$R$164*(100%-G160)</f>
        <v>3500.7846000000004</v>
      </c>
      <c r="Q160" s="184">
        <f>IF(D160=100,'A.0_Tablas salariales SC'!$H$215,IF(D160=150,'A.0_Tablas salariales SC'!$H$216,IF(D160=189,'A.0_Tablas salariales SC'!$H$217,IF(D160=400,'A.0_Tablas salariales SC'!$H$218,IF(D160=450,'A.0_Tablas salariales SC'!$H$219,IF(D160=401,'A.0_Tablas salariales SC'!$H$220,IF(D160=451,'A.0_Tablas salariales SC'!$H$221,'A.0_Tablas salariales SC'!$H$215)))))))</f>
        <v>0.34670000000000001</v>
      </c>
      <c r="R160" s="183">
        <f t="shared" si="17"/>
        <v>1213.7220208200001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'A.1.0_TablaAntigüedad_Sub'!N161</f>
        <v>131</v>
      </c>
      <c r="I161" s="183">
        <f>'A.1.0_TablaAntigüedad_Sub'!AB161</f>
        <v>543.53100000000006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8152.9650000000011</v>
      </c>
      <c r="O161" s="183">
        <f>'A.0_Tablas salariales SC'!$K$153</f>
        <v>29625.381600000008</v>
      </c>
      <c r="P161" s="183">
        <f>(O161+N161)*G161+'A.0_Tablas salariales SC'!$R$164*(100%-G161)</f>
        <v>3500.7846000000004</v>
      </c>
      <c r="Q161" s="184">
        <f>IF(D161=100,'A.0_Tablas salariales SC'!$H$215,IF(D161=150,'A.0_Tablas salariales SC'!$H$216,IF(D161=189,'A.0_Tablas salariales SC'!$H$217,IF(D161=400,'A.0_Tablas salariales SC'!$H$218,IF(D161=450,'A.0_Tablas salariales SC'!$H$219,IF(D161=401,'A.0_Tablas salariales SC'!$H$220,IF(D161=451,'A.0_Tablas salariales SC'!$H$221,'A.0_Tablas salariales SC'!$H$215)))))))</f>
        <v>0.34670000000000001</v>
      </c>
      <c r="R161" s="183">
        <f t="shared" si="17"/>
        <v>1213.7220208200001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'A.1.0_TablaAntigüedad_Sub'!N162</f>
        <v>131</v>
      </c>
      <c r="I162" s="183">
        <f>'A.1.0_TablaAntigüedad_Sub'!AB162</f>
        <v>543.53100000000006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8152.9650000000011</v>
      </c>
      <c r="O162" s="183">
        <f>'A.0_Tablas salariales SC'!$K$153</f>
        <v>29625.381600000008</v>
      </c>
      <c r="P162" s="183">
        <f>(O162+N162)*G162+'A.0_Tablas salariales SC'!$R$164*(100%-G162)</f>
        <v>3500.7846000000004</v>
      </c>
      <c r="Q162" s="184">
        <f>IF(D162=100,'A.0_Tablas salariales SC'!$H$215,IF(D162=150,'A.0_Tablas salariales SC'!$H$216,IF(D162=189,'A.0_Tablas salariales SC'!$H$217,IF(D162=400,'A.0_Tablas salariales SC'!$H$218,IF(D162=450,'A.0_Tablas salariales SC'!$H$219,IF(D162=401,'A.0_Tablas salariales SC'!$H$220,IF(D162=451,'A.0_Tablas salariales SC'!$H$221,'A.0_Tablas salariales SC'!$H$215)))))))</f>
        <v>0.34670000000000001</v>
      </c>
      <c r="R162" s="183">
        <f t="shared" si="10"/>
        <v>1213.7220208200001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0</v>
      </c>
    </row>
    <row r="164" spans="1:20">
      <c r="A164" s="508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2">
        <f>'A.1. Plantilla_Subrogacion'!F164</f>
        <v>0</v>
      </c>
      <c r="H164" s="181">
        <f>'A.1.0_TablaAntigüedad_Sub'!N164</f>
        <v>131</v>
      </c>
      <c r="I164" s="183">
        <f>'A.1.0_TablaAntigüedad_Sub'!AB164</f>
        <v>744.45309999999995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11166.796499999999</v>
      </c>
      <c r="O164" s="183">
        <f>'A.0_Tablas salariales SC'!$K$163</f>
        <v>37045.3986</v>
      </c>
      <c r="P164" s="183">
        <f>(O164+N164)*G164+'A.0_Tablas salariales SC'!$R$164*(100%-G164)</f>
        <v>3500.7846000000004</v>
      </c>
      <c r="Q164" s="184">
        <f>IF(D164=100,'A.0_Tablas salariales SC'!$H$215,IF(D164=150,'A.0_Tablas salariales SC'!$H$216,IF(D164=189,'A.0_Tablas salariales SC'!$H$217,IF(D164=400,'A.0_Tablas salariales SC'!$H$218,IF(D164=450,'A.0_Tablas salariales SC'!$H$219,IF(D164=401,'A.0_Tablas salariales SC'!$H$220,IF(D164=451,'A.0_Tablas salariales SC'!$H$221,'A.0_Tablas salariales SC'!$H$215)))))))</f>
        <v>0.34670000000000001</v>
      </c>
      <c r="R164" s="183">
        <f t="shared" si="10"/>
        <v>1213.7220208200001</v>
      </c>
      <c r="S164" s="183">
        <f t="shared" si="11"/>
        <v>0</v>
      </c>
      <c r="T164" s="179"/>
    </row>
    <row r="165" spans="1:20">
      <c r="A165" s="508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2">
        <f>'A.1. Plantilla_Subrogacion'!F165</f>
        <v>0</v>
      </c>
      <c r="H165" s="181">
        <f>'A.1.0_TablaAntigüedad_Sub'!N165</f>
        <v>131</v>
      </c>
      <c r="I165" s="183">
        <f>'A.1.0_TablaAntigüedad_Sub'!AB165</f>
        <v>744.45309999999995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11166.796499999999</v>
      </c>
      <c r="O165" s="183">
        <f>'A.0_Tablas salariales SC'!$K$163</f>
        <v>37045.3986</v>
      </c>
      <c r="P165" s="183">
        <f>(O165+N165)*G165+'A.0_Tablas salariales SC'!$R$164*(100%-G165)</f>
        <v>3500.7846000000004</v>
      </c>
      <c r="Q165" s="184">
        <f>IF(D165=100,'A.0_Tablas salariales SC'!$H$215,IF(D165=150,'A.0_Tablas salariales SC'!$H$216,IF(D165=189,'A.0_Tablas salariales SC'!$H$217,IF(D165=400,'A.0_Tablas salariales SC'!$H$218,IF(D165=450,'A.0_Tablas salariales SC'!$H$219,IF(D165=401,'A.0_Tablas salariales SC'!$H$220,IF(D165=451,'A.0_Tablas salariales SC'!$H$221,'A.0_Tablas salariales SC'!$H$215)))))))</f>
        <v>0.34670000000000001</v>
      </c>
      <c r="R165" s="183">
        <f t="shared" ref="R165:R167" si="19">Q165*P165</f>
        <v>1213.7220208200001</v>
      </c>
      <c r="S165" s="183">
        <f t="shared" ref="S165:S167" si="20">(R165+P165)*A165</f>
        <v>0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'A.1.0_TablaAntigüedad_Sub'!N166</f>
        <v>131</v>
      </c>
      <c r="I166" s="183">
        <f>'A.1.0_TablaAntigüedad_Sub'!AB166</f>
        <v>744.45309999999995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11166.796499999999</v>
      </c>
      <c r="O166" s="183">
        <f>'A.0_Tablas salariales SC'!$K$163</f>
        <v>37045.3986</v>
      </c>
      <c r="P166" s="183">
        <f>(O166+N166)*G166+'A.0_Tablas salariales SC'!$R$164*(100%-G166)</f>
        <v>3500.7846000000004</v>
      </c>
      <c r="Q166" s="184">
        <f>IF(D166=100,'A.0_Tablas salariales SC'!$H$215,IF(D166=150,'A.0_Tablas salariales SC'!$H$216,IF(D166=189,'A.0_Tablas salariales SC'!$H$217,IF(D166=400,'A.0_Tablas salariales SC'!$H$218,IF(D166=450,'A.0_Tablas salariales SC'!$H$219,IF(D166=401,'A.0_Tablas salariales SC'!$H$220,IF(D166=451,'A.0_Tablas salariales SC'!$H$221,'A.0_Tablas salariales SC'!$H$215)))))))</f>
        <v>0.34670000000000001</v>
      </c>
      <c r="R166" s="183">
        <f t="shared" si="19"/>
        <v>1213.7220208200001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'A.1.0_TablaAntigüedad_Sub'!N167</f>
        <v>131</v>
      </c>
      <c r="I167" s="183">
        <f>'A.1.0_TablaAntigüedad_Sub'!AB167</f>
        <v>744.45309999999995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11166.796499999999</v>
      </c>
      <c r="O167" s="183">
        <f>'A.0_Tablas salariales SC'!$K$163</f>
        <v>37045.3986</v>
      </c>
      <c r="P167" s="183">
        <f>(O167+N167)*G167+'A.0_Tablas salariales SC'!$R$164*(100%-G167)</f>
        <v>3500.7846000000004</v>
      </c>
      <c r="Q167" s="184">
        <f>IF(D167=100,'A.0_Tablas salariales SC'!$H$215,IF(D167=150,'A.0_Tablas salariales SC'!$H$216,IF(D167=189,'A.0_Tablas salariales SC'!$H$217,IF(D167=400,'A.0_Tablas salariales SC'!$H$218,IF(D167=450,'A.0_Tablas salariales SC'!$H$219,IF(D167=401,'A.0_Tablas salariales SC'!$H$220,IF(D167=451,'A.0_Tablas salariales SC'!$H$221,'A.0_Tablas salariales SC'!$H$215)))))))</f>
        <v>0.34670000000000001</v>
      </c>
      <c r="R167" s="183">
        <f t="shared" si="19"/>
        <v>1213.7220208200001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'A.1.0_TablaAntigüedad_Sub'!N168</f>
        <v>131</v>
      </c>
      <c r="I168" s="183">
        <f>'A.1.0_TablaAntigüedad_Sub'!AB168</f>
        <v>744.45309999999995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11166.796499999999</v>
      </c>
      <c r="O168" s="183">
        <f>'A.0_Tablas salariales SC'!$K$163</f>
        <v>37045.3986</v>
      </c>
      <c r="P168" s="183">
        <f>(O168+N168)*G168+'A.0_Tablas salariales SC'!$R$164*(100%-G168)</f>
        <v>3500.7846000000004</v>
      </c>
      <c r="Q168" s="184">
        <f>IF(D168=100,'A.0_Tablas salariales SC'!$H$215,IF(D168=150,'A.0_Tablas salariales SC'!$H$216,IF(D168=189,'A.0_Tablas salariales SC'!$H$217,IF(D168=400,'A.0_Tablas salariales SC'!$H$218,IF(D168=450,'A.0_Tablas salariales SC'!$H$219,IF(D168=401,'A.0_Tablas salariales SC'!$H$220,IF(D168=451,'A.0_Tablas salariales SC'!$H$221,'A.0_Tablas salariales SC'!$H$215)))))))</f>
        <v>0.34670000000000001</v>
      </c>
      <c r="R168" s="183">
        <f t="shared" si="10"/>
        <v>1213.7220208200001</v>
      </c>
      <c r="S168" s="183">
        <f t="shared" si="11"/>
        <v>0</v>
      </c>
      <c r="T168" s="179"/>
    </row>
    <row r="169" spans="1:20">
      <c r="A169" s="508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2">
        <f>'A.1. Plantilla_Subrogacion'!F169</f>
        <v>0</v>
      </c>
      <c r="H169" s="181">
        <f>'A.1.0_TablaAntigüedad_Sub'!N169</f>
        <v>131</v>
      </c>
      <c r="I169" s="183">
        <f>'A.1.0_TablaAntigüedad_Sub'!AB169</f>
        <v>744.45309999999995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11166.796499999999</v>
      </c>
      <c r="O169" s="183">
        <f>'A.0_Tablas salariales SC'!$K$164</f>
        <v>41907.513600000013</v>
      </c>
      <c r="P169" s="183">
        <f>(O169+N169)*G169+'A.0_Tablas salariales SC'!$R$164*(100%-G169)</f>
        <v>3500.7846000000004</v>
      </c>
      <c r="Q169" s="184">
        <f>IF(D169=100,'A.0_Tablas salariales SC'!$H$215,IF(D169=150,'A.0_Tablas salariales SC'!$H$216,IF(D169=189,'A.0_Tablas salariales SC'!$H$217,IF(D169=400,'A.0_Tablas salariales SC'!$H$218,IF(D169=450,'A.0_Tablas salariales SC'!$H$219,IF(D169=401,'A.0_Tablas salariales SC'!$H$220,IF(D169=451,'A.0_Tablas salariales SC'!$H$221,'A.0_Tablas salariales SC'!$H$215)))))))</f>
        <v>0.34670000000000001</v>
      </c>
      <c r="R169" s="183">
        <f t="shared" ref="R169:R171" si="21">Q169*P169</f>
        <v>1213.7220208200001</v>
      </c>
      <c r="S169" s="183">
        <f t="shared" ref="S169:S171" si="22">(R169+P169)*A169</f>
        <v>0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'A.1.0_TablaAntigüedad_Sub'!N170</f>
        <v>131</v>
      </c>
      <c r="I170" s="183">
        <f>'A.1.0_TablaAntigüedad_Sub'!AB170</f>
        <v>744.45309999999995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11166.796499999999</v>
      </c>
      <c r="O170" s="183">
        <f>'A.0_Tablas salariales SC'!$K$164</f>
        <v>41907.513600000013</v>
      </c>
      <c r="P170" s="183">
        <f>(O170+N170)*G170+'A.0_Tablas salariales SC'!$R$164*(100%-G170)</f>
        <v>3500.7846000000004</v>
      </c>
      <c r="Q170" s="184">
        <f>IF(D170=100,'A.0_Tablas salariales SC'!$H$215,IF(D170=150,'A.0_Tablas salariales SC'!$H$216,IF(D170=189,'A.0_Tablas salariales SC'!$H$217,IF(D170=400,'A.0_Tablas salariales SC'!$H$218,IF(D170=450,'A.0_Tablas salariales SC'!$H$219,IF(D170=401,'A.0_Tablas salariales SC'!$H$220,IF(D170=451,'A.0_Tablas salariales SC'!$H$221,'A.0_Tablas salariales SC'!$H$215)))))))</f>
        <v>0.34670000000000001</v>
      </c>
      <c r="R170" s="183">
        <f t="shared" si="21"/>
        <v>1213.7220208200001</v>
      </c>
      <c r="S170" s="183">
        <f t="shared" si="22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'A.1.0_TablaAntigüedad_Sub'!N171</f>
        <v>131</v>
      </c>
      <c r="I171" s="183">
        <f>'A.1.0_TablaAntigüedad_Sub'!AB171</f>
        <v>744.45309999999995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11166.796499999999</v>
      </c>
      <c r="O171" s="183">
        <f>'A.0_Tablas salariales SC'!$K$164</f>
        <v>41907.513600000013</v>
      </c>
      <c r="P171" s="183">
        <f>(O171+N171)*G171+'A.0_Tablas salariales SC'!$R$164*(100%-G171)</f>
        <v>3500.7846000000004</v>
      </c>
      <c r="Q171" s="184">
        <f>IF(D171=100,'A.0_Tablas salariales SC'!$H$215,IF(D171=150,'A.0_Tablas salariales SC'!$H$216,IF(D171=189,'A.0_Tablas salariales SC'!$H$217,IF(D171=400,'A.0_Tablas salariales SC'!$H$218,IF(D171=450,'A.0_Tablas salariales SC'!$H$219,IF(D171=401,'A.0_Tablas salariales SC'!$H$220,IF(D171=451,'A.0_Tablas salariales SC'!$H$221,'A.0_Tablas salariales SC'!$H$215)))))))</f>
        <v>0.34670000000000001</v>
      </c>
      <c r="R171" s="183">
        <f t="shared" si="21"/>
        <v>1213.7220208200001</v>
      </c>
      <c r="S171" s="183">
        <f t="shared" si="22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'A.1.0_TablaAntigüedad_Sub'!N172</f>
        <v>131</v>
      </c>
      <c r="I172" s="183">
        <f>'A.1.0_TablaAntigüedad_Sub'!AB172</f>
        <v>744.45309999999995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11166.796499999999</v>
      </c>
      <c r="O172" s="183">
        <f>'A.0_Tablas salariales SC'!$K$164</f>
        <v>41907.513600000013</v>
      </c>
      <c r="P172" s="183">
        <f>(O172+N172)*G172+'A.0_Tablas salariales SC'!$R$164*(100%-G172)</f>
        <v>3500.7846000000004</v>
      </c>
      <c r="Q172" s="184">
        <f>IF(D172=100,'A.0_Tablas salariales SC'!$H$215,IF(D172=150,'A.0_Tablas salariales SC'!$H$216,IF(D172=189,'A.0_Tablas salariales SC'!$H$217,IF(D172=400,'A.0_Tablas salariales SC'!$H$218,IF(D172=450,'A.0_Tablas salariales SC'!$H$219,IF(D172=401,'A.0_Tablas salariales SC'!$H$220,IF(D172=451,'A.0_Tablas salariales SC'!$H$221,'A.0_Tablas salariales SC'!$H$215)))))))</f>
        <v>0.34670000000000001</v>
      </c>
      <c r="R172" s="183">
        <f t="shared" si="10"/>
        <v>1213.7220208200001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0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'A.1.0_TablaAntigüedad_Sub'!N174</f>
        <v>131</v>
      </c>
      <c r="I174" s="183">
        <f>'A.1.0_TablaAntigüedad_Sub'!AB174</f>
        <v>586.57470000000001</v>
      </c>
      <c r="J174" s="183"/>
      <c r="K174" s="183"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8798.6205000000009</v>
      </c>
      <c r="O174" s="183">
        <f>'A.0_Tablas salariales SC'!K156</f>
        <v>27321.0141</v>
      </c>
      <c r="P174" s="183">
        <f>(O174+N174)*G174+'A.0_Tablas salariales SC'!$R$164*(100%-G174)</f>
        <v>3500.7846000000004</v>
      </c>
      <c r="Q174" s="184">
        <f>IF(D174=100,'A.0_Tablas salariales SC'!$H$215,IF(D174=150,'A.0_Tablas salariales SC'!$H$216,IF(D174=189,'A.0_Tablas salariales SC'!$H$217,IF(D174=400,'A.0_Tablas salariales SC'!$H$218,IF(D174=450,'A.0_Tablas salariales SC'!$H$219,IF(D174=401,'A.0_Tablas salariales SC'!$H$220,IF(D174=451,'A.0_Tablas salariales SC'!$H$221,'A.0_Tablas salariales SC'!$H$215)))))))</f>
        <v>0.34670000000000001</v>
      </c>
      <c r="R174" s="183">
        <f t="shared" ref="R174" si="23">Q174*P174</f>
        <v>1213.7220208200001</v>
      </c>
      <c r="S174" s="183">
        <f t="shared" ref="S174" si="24">(R174+P174)*A174</f>
        <v>0</v>
      </c>
      <c r="T174" s="179"/>
    </row>
    <row r="175" spans="1:20">
      <c r="A175" s="508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2">
        <f>'A.1. Plantilla_Subrogacion'!F175</f>
        <v>0</v>
      </c>
      <c r="H175" s="181">
        <f>'A.1.0_TablaAntigüedad_Sub'!N175</f>
        <v>131</v>
      </c>
      <c r="I175" s="183">
        <f>'A.1.0_TablaAntigüedad_Sub'!AB175</f>
        <v>586.57470000000001</v>
      </c>
      <c r="J175" s="183"/>
      <c r="K175" s="183"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8798.6205000000009</v>
      </c>
      <c r="O175" s="183">
        <f>'A.0_Tablas salariales SC'!K157</f>
        <v>28384.128599999996</v>
      </c>
      <c r="P175" s="183">
        <f>(O175+N175)*G175+'A.0_Tablas salariales SC'!$R$164*(100%-G175)</f>
        <v>3500.7846000000004</v>
      </c>
      <c r="Q175" s="184">
        <f>IF(D175=100,'A.0_Tablas salariales SC'!$H$215,IF(D175=150,'A.0_Tablas salariales SC'!$H$216,IF(D175=189,'A.0_Tablas salariales SC'!$H$217,IF(D175=400,'A.0_Tablas salariales SC'!$H$218,IF(D175=450,'A.0_Tablas salariales SC'!$H$219,IF(D175=401,'A.0_Tablas salariales SC'!$H$220,IF(D175=451,'A.0_Tablas salariales SC'!$H$221,'A.0_Tablas salariales SC'!$H$215)))))))</f>
        <v>0.34670000000000001</v>
      </c>
      <c r="R175" s="183">
        <f t="shared" si="10"/>
        <v>1213.7220208200001</v>
      </c>
      <c r="S175" s="183">
        <f t="shared" si="11"/>
        <v>0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'A.1.0_TablaAntigüedad_Sub'!N176</f>
        <v>131</v>
      </c>
      <c r="I176" s="183">
        <f>'A.1.0_TablaAntigüedad_Sub'!AB176</f>
        <v>586.57470000000001</v>
      </c>
      <c r="J176" s="183"/>
      <c r="K176" s="183"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8798.6205000000009</v>
      </c>
      <c r="O176" s="183">
        <f>'A.0_Tablas salariales SC'!K159</f>
        <v>32013.951599999997</v>
      </c>
      <c r="P176" s="183">
        <f>(O176+N176)*G176+'A.0_Tablas salariales SC'!$R$164*(100%-G176)</f>
        <v>3500.7846000000004</v>
      </c>
      <c r="Q176" s="184">
        <f>IF(D176=100,'A.0_Tablas salariales SC'!$H$215,IF(D176=150,'A.0_Tablas salariales SC'!$H$216,IF(D176=189,'A.0_Tablas salariales SC'!$H$217,IF(D176=400,'A.0_Tablas salariales SC'!$H$218,IF(D176=450,'A.0_Tablas salariales SC'!$H$219,IF(D176=401,'A.0_Tablas salariales SC'!$H$220,IF(D176=451,'A.0_Tablas salariales SC'!$H$221,'A.0_Tablas salariales SC'!$H$215)))))))</f>
        <v>0.34670000000000001</v>
      </c>
      <c r="R176" s="183">
        <f t="shared" ref="R176" si="25">Q176*P176</f>
        <v>1213.7220208200001</v>
      </c>
      <c r="S176" s="183">
        <f t="shared" ref="S176" si="26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0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'A.1.0_TablaAntigüedad_Sub'!N178</f>
        <v>131</v>
      </c>
      <c r="I178" s="183">
        <f>'A.1.0_TablaAntigüedad_Sub'!AB178</f>
        <v>543.53100000000006</v>
      </c>
      <c r="J178" s="183"/>
      <c r="K178" s="183"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8152.9650000000011</v>
      </c>
      <c r="O178" s="183">
        <f>'A.0_Tablas salariales SC'!K148</f>
        <v>27109.349099999996</v>
      </c>
      <c r="P178" s="183">
        <f>(O178+N178)*G178+'A.0_Tablas salariales SC'!$R$164*(100%-G178)</f>
        <v>3500.7846000000004</v>
      </c>
      <c r="Q178" s="184">
        <f>IF(D178=100,'A.0_Tablas salariales SC'!$H$215,IF(D178=150,'A.0_Tablas salariales SC'!$H$216,IF(D178=189,'A.0_Tablas salariales SC'!$H$217,IF(D178=400,'A.0_Tablas salariales SC'!$H$218,IF(D178=450,'A.0_Tablas salariales SC'!$H$219,IF(D178=401,'A.0_Tablas salariales SC'!$H$220,IF(D178=451,'A.0_Tablas salariales SC'!$H$221,'A.0_Tablas salariales SC'!$H$215)))))))</f>
        <v>0.34670000000000001</v>
      </c>
      <c r="R178" s="183">
        <f t="shared" ref="R178:R179" si="27">Q178*P178</f>
        <v>1213.7220208200001</v>
      </c>
      <c r="S178" s="183">
        <f t="shared" ref="S178:S179" si="28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'A.1.0_TablaAntigüedad_Sub'!N179</f>
        <v>131</v>
      </c>
      <c r="I179" s="183">
        <f>'A.1.0_TablaAntigüedad_Sub'!AB179</f>
        <v>543.53100000000006</v>
      </c>
      <c r="J179" s="183"/>
      <c r="K179" s="183"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8152.9650000000011</v>
      </c>
      <c r="O179" s="183">
        <f>'A.0_Tablas salariales SC'!K147</f>
        <v>26264.234100000009</v>
      </c>
      <c r="P179" s="183">
        <f>(O179+N179)*G179+'A.0_Tablas salariales SC'!$R$164*(100%-G179)</f>
        <v>3500.7846000000004</v>
      </c>
      <c r="Q179" s="184">
        <f>IF(D179=100,'A.0_Tablas salariales SC'!$H$215,IF(D179=150,'A.0_Tablas salariales SC'!$H$216,IF(D179=189,'A.0_Tablas salariales SC'!$H$217,IF(D179=400,'A.0_Tablas salariales SC'!$H$218,IF(D179=450,'A.0_Tablas salariales SC'!$H$219,IF(D179=401,'A.0_Tablas salariales SC'!$H$220,IF(D179=451,'A.0_Tablas salariales SC'!$H$221,'A.0_Tablas salariales SC'!$H$215)))))))</f>
        <v>0.34670000000000001</v>
      </c>
      <c r="R179" s="183">
        <f t="shared" si="27"/>
        <v>1213.7220208200001</v>
      </c>
      <c r="S179" s="183">
        <f t="shared" si="28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0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76" priority="15" operator="equal">
      <formula>0</formula>
    </cfRule>
  </conditionalFormatting>
  <conditionalFormatting sqref="A139:K139">
    <cfRule type="cellIs" dxfId="75" priority="14" operator="equal">
      <formula>0</formula>
    </cfRule>
  </conditionalFormatting>
  <conditionalFormatting sqref="G5:K12 G14:K85 G87:K113 G115:K138 G140:K151 G153:K162 G164:K172">
    <cfRule type="cellIs" dxfId="74" priority="16" operator="equal">
      <formula>0</formula>
    </cfRule>
  </conditionalFormatting>
  <conditionalFormatting sqref="G174:K176">
    <cfRule type="cellIs" dxfId="73" priority="13" operator="equal">
      <formula>0</formula>
    </cfRule>
  </conditionalFormatting>
  <conditionalFormatting sqref="G178:S179">
    <cfRule type="cellIs" dxfId="72" priority="1" operator="equal">
      <formula>0</formula>
    </cfRule>
  </conditionalFormatting>
  <conditionalFormatting sqref="L5:S176">
    <cfRule type="cellIs" dxfId="71" priority="9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5861-5483-4F03-91A4-8286C2D38E29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4" sqref="M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986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987</v>
      </c>
      <c r="I3" s="241" t="s">
        <v>988</v>
      </c>
      <c r="J3" s="241" t="s">
        <v>989</v>
      </c>
      <c r="K3" s="241" t="s">
        <v>1007</v>
      </c>
      <c r="L3" s="241" t="s">
        <v>1103</v>
      </c>
      <c r="M3" s="241" t="s">
        <v>990</v>
      </c>
      <c r="N3" s="241" t="s">
        <v>991</v>
      </c>
      <c r="O3" s="241" t="s">
        <v>992</v>
      </c>
      <c r="P3" s="241" t="s">
        <v>993</v>
      </c>
      <c r="Q3" s="241" t="s">
        <v>994</v>
      </c>
      <c r="R3" s="241" t="s">
        <v>995</v>
      </c>
      <c r="S3" s="241" t="s">
        <v>996</v>
      </c>
      <c r="T3" s="241" t="s">
        <v>997</v>
      </c>
    </row>
    <row r="4" spans="1:20" ht="17.399999999999999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L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M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2">
        <f>'A.1. Plantilla_Subrogacion'!F5</f>
        <v>0</v>
      </c>
      <c r="H5" s="181">
        <f>'A.1.0_TablaAntigüedad_Sub'!O5</f>
        <v>132</v>
      </c>
      <c r="I5" s="183">
        <f>'A.1.0_TablaAntigüedad_Sub'!AC5</f>
        <v>559.83693000000005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8397.5539500000014</v>
      </c>
      <c r="O5" s="183">
        <f>'A.0_Tablas salariales SC'!$K$173</f>
        <v>25739.986863000006</v>
      </c>
      <c r="P5" s="183">
        <f>(O5+N5)*G5+'A.0_Tablas salariales SC'!$R$192*(100%-G5)</f>
        <v>3605.8081380000003</v>
      </c>
      <c r="Q5" s="184">
        <f>IF(D5=100,'A.0_Tablas salariales SC'!$I$215,IF(D5=150,'A.0_Tablas salariales SC'!$I$216,IF(D5=189,'A.0_Tablas salariales SC'!$I$217,IF(D5=400,'A.0_Tablas salariales SC'!$I$218,IF(D5=450,'A.0_Tablas salariales SC'!$I$219,IF(D5=401,'A.0_Tablas salariales SC'!$I$220,IF(D5=451,'A.0_Tablas salariales SC'!$I$221,'A.0_Tablas salariales SC'!$I$215)))))))</f>
        <v>0.34755000000000003</v>
      </c>
      <c r="R5" s="183">
        <f>Q5*P5</f>
        <v>1253.1986183619001</v>
      </c>
      <c r="S5" s="183">
        <f>(R5+P5)*A5</f>
        <v>0</v>
      </c>
      <c r="T5" s="179"/>
    </row>
    <row r="6" spans="1:20">
      <c r="A6" s="508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2">
        <f>'A.1. Plantilla_Subrogacion'!F6</f>
        <v>0</v>
      </c>
      <c r="H6" s="181">
        <f>'A.1.0_TablaAntigüedad_Sub'!O6</f>
        <v>132</v>
      </c>
      <c r="I6" s="183">
        <f>'A.1.0_TablaAntigüedad_Sub'!AC6</f>
        <v>559.83693000000005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8397.5539500000014</v>
      </c>
      <c r="O6" s="183">
        <f>'A.0_Tablas salariales SC'!$K$173</f>
        <v>25739.986863000006</v>
      </c>
      <c r="P6" s="183">
        <f>(O6+N6)*G6+'A.0_Tablas salariales SC'!$R$192*(100%-G6)</f>
        <v>3605.8081380000003</v>
      </c>
      <c r="Q6" s="184">
        <f>IF(D6=100,'A.0_Tablas salariales SC'!$I$215,IF(D6=150,'A.0_Tablas salariales SC'!$I$216,IF(D6=189,'A.0_Tablas salariales SC'!$I$217,IF(D6=400,'A.0_Tablas salariales SC'!$I$218,IF(D6=450,'A.0_Tablas salariales SC'!$I$219,IF(D6=401,'A.0_Tablas salariales SC'!$I$220,IF(D6=451,'A.0_Tablas salariales SC'!$I$221,'A.0_Tablas salariales SC'!$I$215)))))))</f>
        <v>0.34755000000000003</v>
      </c>
      <c r="R6" s="183">
        <f t="shared" ref="R6:R113" si="1">Q6*P6</f>
        <v>1253.1986183619001</v>
      </c>
      <c r="S6" s="183">
        <f t="shared" ref="S6:S113" si="2">(R6+P6)*A6</f>
        <v>0</v>
      </c>
      <c r="T6" s="179"/>
    </row>
    <row r="7" spans="1:20">
      <c r="A7" s="508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2">
        <f>'A.1. Plantilla_Subrogacion'!F7</f>
        <v>0</v>
      </c>
      <c r="H7" s="181">
        <f>'A.1.0_TablaAntigüedad_Sub'!O7</f>
        <v>132</v>
      </c>
      <c r="I7" s="183">
        <f>'A.1.0_TablaAntigüedad_Sub'!AC7</f>
        <v>559.83693000000005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8397.5539500000014</v>
      </c>
      <c r="O7" s="183">
        <f>'A.0_Tablas salariales SC'!$K$173</f>
        <v>25739.986863000006</v>
      </c>
      <c r="P7" s="183">
        <f>(O7+N7)*G7+'A.0_Tablas salariales SC'!$R$192*(100%-G7)</f>
        <v>3605.8081380000003</v>
      </c>
      <c r="Q7" s="184">
        <f>IF(D7=100,'A.0_Tablas salariales SC'!$I$215,IF(D7=150,'A.0_Tablas salariales SC'!$I$216,IF(D7=189,'A.0_Tablas salariales SC'!$I$217,IF(D7=400,'A.0_Tablas salariales SC'!$I$218,IF(D7=450,'A.0_Tablas salariales SC'!$I$219,IF(D7=401,'A.0_Tablas salariales SC'!$I$220,IF(D7=451,'A.0_Tablas salariales SC'!$I$221,'A.0_Tablas salariales SC'!$I$215)))))))</f>
        <v>0.34755000000000003</v>
      </c>
      <c r="R7" s="183">
        <f t="shared" si="1"/>
        <v>1253.1986183619001</v>
      </c>
      <c r="S7" s="183">
        <f t="shared" si="2"/>
        <v>0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'A.1.0_TablaAntigüedad_Sub'!O8</f>
        <v>132</v>
      </c>
      <c r="I8" s="183">
        <f>'A.1.0_TablaAntigüedad_Sub'!AC8</f>
        <v>559.83693000000005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8397.5539500000014</v>
      </c>
      <c r="O8" s="183">
        <f>'A.0_Tablas salariales SC'!$K$173</f>
        <v>25739.986863000006</v>
      </c>
      <c r="P8" s="183">
        <f>(O8+N8)*G8+'A.0_Tablas salariales SC'!$R$192*(100%-G8)</f>
        <v>3605.8081380000003</v>
      </c>
      <c r="Q8" s="184">
        <f>IF(D8=100,'A.0_Tablas salariales SC'!$I$215,IF(D8=150,'A.0_Tablas salariales SC'!$I$216,IF(D8=189,'A.0_Tablas salariales SC'!$I$217,IF(D8=400,'A.0_Tablas salariales SC'!$I$218,IF(D8=450,'A.0_Tablas salariales SC'!$I$219,IF(D8=401,'A.0_Tablas salariales SC'!$I$220,IF(D8=451,'A.0_Tablas salariales SC'!$I$221,'A.0_Tablas salariales SC'!$I$215)))))))</f>
        <v>0.34755000000000003</v>
      </c>
      <c r="R8" s="183">
        <f t="shared" ref="R8:R12" si="3">Q8*P8</f>
        <v>1253.1986183619001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'A.1.0_TablaAntigüedad_Sub'!O9</f>
        <v>132</v>
      </c>
      <c r="I9" s="183">
        <f>'A.1.0_TablaAntigüedad_Sub'!AC9</f>
        <v>559.83693000000005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8397.5539500000014</v>
      </c>
      <c r="O9" s="183">
        <f>'A.0_Tablas salariales SC'!$K$173</f>
        <v>25739.986863000006</v>
      </c>
      <c r="P9" s="183">
        <f>(O9+N9)*G9+'A.0_Tablas salariales SC'!$R$192*(100%-G9)</f>
        <v>3605.8081380000003</v>
      </c>
      <c r="Q9" s="184">
        <f>IF(D9=100,'A.0_Tablas salariales SC'!$I$215,IF(D9=150,'A.0_Tablas salariales SC'!$I$216,IF(D9=189,'A.0_Tablas salariales SC'!$I$217,IF(D9=400,'A.0_Tablas salariales SC'!$I$218,IF(D9=450,'A.0_Tablas salariales SC'!$I$219,IF(D9=401,'A.0_Tablas salariales SC'!$I$220,IF(D9=451,'A.0_Tablas salariales SC'!$I$221,'A.0_Tablas salariales SC'!$I$215)))))))</f>
        <v>0.34755000000000003</v>
      </c>
      <c r="R9" s="183">
        <f t="shared" si="3"/>
        <v>1253.1986183619001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'A.1.0_TablaAntigüedad_Sub'!O10</f>
        <v>132</v>
      </c>
      <c r="I10" s="183">
        <f>'A.1.0_TablaAntigüedad_Sub'!AC10</f>
        <v>559.83693000000005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8397.5539500000014</v>
      </c>
      <c r="O10" s="183">
        <f>'A.0_Tablas salariales SC'!$K$173</f>
        <v>25739.986863000006</v>
      </c>
      <c r="P10" s="183">
        <f>(O10+N10)*G10+'A.0_Tablas salariales SC'!$R$192*(100%-G10)</f>
        <v>3605.8081380000003</v>
      </c>
      <c r="Q10" s="184">
        <f>IF(D10=100,'A.0_Tablas salariales SC'!$I$215,IF(D10=150,'A.0_Tablas salariales SC'!$I$216,IF(D10=189,'A.0_Tablas salariales SC'!$I$217,IF(D10=400,'A.0_Tablas salariales SC'!$I$218,IF(D10=450,'A.0_Tablas salariales SC'!$I$219,IF(D10=401,'A.0_Tablas salariales SC'!$I$220,IF(D10=451,'A.0_Tablas salariales SC'!$I$221,'A.0_Tablas salariales SC'!$I$215)))))))</f>
        <v>0.34755000000000003</v>
      </c>
      <c r="R10" s="183">
        <f t="shared" si="3"/>
        <v>1253.1986183619001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'A.1.0_TablaAntigüedad_Sub'!O11</f>
        <v>132</v>
      </c>
      <c r="I11" s="183">
        <f>'A.1.0_TablaAntigüedad_Sub'!AC11</f>
        <v>559.83693000000005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8397.5539500000014</v>
      </c>
      <c r="O11" s="183">
        <f>'A.0_Tablas salariales SC'!$K$173</f>
        <v>25739.986863000006</v>
      </c>
      <c r="P11" s="183">
        <f>(O11+N11)*G11+'A.0_Tablas salariales SC'!$R$192*(100%-G11)</f>
        <v>3605.8081380000003</v>
      </c>
      <c r="Q11" s="184">
        <f>IF(D11=100,'A.0_Tablas salariales SC'!$I$215,IF(D11=150,'A.0_Tablas salariales SC'!$I$216,IF(D11=189,'A.0_Tablas salariales SC'!$I$217,IF(D11=400,'A.0_Tablas salariales SC'!$I$218,IF(D11=450,'A.0_Tablas salariales SC'!$I$219,IF(D11=401,'A.0_Tablas salariales SC'!$I$220,IF(D11=451,'A.0_Tablas salariales SC'!$I$221,'A.0_Tablas salariales SC'!$I$215)))))))</f>
        <v>0.34755000000000003</v>
      </c>
      <c r="R11" s="183">
        <f t="shared" si="3"/>
        <v>1253.1986183619001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'A.1.0_TablaAntigüedad_Sub'!O12</f>
        <v>132</v>
      </c>
      <c r="I12" s="183">
        <f>'A.1.0_TablaAntigüedad_Sub'!AC12</f>
        <v>559.83693000000005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8397.5539500000014</v>
      </c>
      <c r="O12" s="183">
        <f>'A.0_Tablas salariales SC'!$K$173</f>
        <v>25739.986863000006</v>
      </c>
      <c r="P12" s="183">
        <f>(O12+N12)*G12+'A.0_Tablas salariales SC'!$R$192*(100%-G12)</f>
        <v>3605.8081380000003</v>
      </c>
      <c r="Q12" s="184">
        <f>IF(D12=100,'A.0_Tablas salariales SC'!$I$215,IF(D12=150,'A.0_Tablas salariales SC'!$I$216,IF(D12=189,'A.0_Tablas salariales SC'!$I$217,IF(D12=400,'A.0_Tablas salariales SC'!$I$218,IF(D12=450,'A.0_Tablas salariales SC'!$I$219,IF(D12=401,'A.0_Tablas salariales SC'!$I$220,IF(D12=451,'A.0_Tablas salariales SC'!$I$221,'A.0_Tablas salariales SC'!$I$215)))))))</f>
        <v>0.34755000000000003</v>
      </c>
      <c r="R12" s="183">
        <f t="shared" si="3"/>
        <v>1253.1986183619001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0</v>
      </c>
    </row>
    <row r="14" spans="1:20">
      <c r="A14" s="508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2">
        <f>'A.1. Plantilla_Subrogacion'!F14</f>
        <v>0</v>
      </c>
      <c r="H14" s="181">
        <f>'A.1.0_TablaAntigüedad_Sub'!O14</f>
        <v>132</v>
      </c>
      <c r="I14" s="183">
        <f>'A.1.0_TablaAntigüedad_Sub'!AC14</f>
        <v>559.83693000000005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8397.5539500000014</v>
      </c>
      <c r="O14" s="183">
        <f>'A.0_Tablas salariales SC'!$K$174</f>
        <v>27024.683718</v>
      </c>
      <c r="P14" s="183">
        <f>(O14+N14)*G14+'A.0_Tablas salariales SC'!$R$192*(100%-G14)</f>
        <v>3605.8081380000003</v>
      </c>
      <c r="Q14" s="184">
        <f>IF(D14=100,'A.0_Tablas salariales SC'!$I$215,IF(D14=150,'A.0_Tablas salariales SC'!$I$216,IF(D14=189,'A.0_Tablas salariales SC'!$I$217,IF(D14=400,'A.0_Tablas salariales SC'!$I$218,IF(D14=450,'A.0_Tablas salariales SC'!$I$219,IF(D14=401,'A.0_Tablas salariales SC'!$I$220,IF(D14=451,'A.0_Tablas salariales SC'!$I$221,'A.0_Tablas salariales SC'!$I$215)))))))</f>
        <v>0.34755000000000003</v>
      </c>
      <c r="R14" s="183">
        <f t="shared" si="1"/>
        <v>1253.1986183619001</v>
      </c>
      <c r="S14" s="183">
        <f t="shared" si="2"/>
        <v>0</v>
      </c>
      <c r="T14" s="179"/>
    </row>
    <row r="15" spans="1:20">
      <c r="A15" s="508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2">
        <f>'A.1. Plantilla_Subrogacion'!F15</f>
        <v>0</v>
      </c>
      <c r="H15" s="181">
        <f>'A.1.0_TablaAntigüedad_Sub'!O15</f>
        <v>132</v>
      </c>
      <c r="I15" s="183">
        <f>'A.1.0_TablaAntigüedad_Sub'!AC15</f>
        <v>559.83693000000005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8397.5539500000014</v>
      </c>
      <c r="O15" s="183">
        <f>'A.0_Tablas salariales SC'!$K$174</f>
        <v>27024.683718</v>
      </c>
      <c r="P15" s="183">
        <f>(O15+N15)*G15+'A.0_Tablas salariales SC'!$R$192*(100%-G15)</f>
        <v>3605.8081380000003</v>
      </c>
      <c r="Q15" s="184">
        <f>IF(D15=100,'A.0_Tablas salariales SC'!$I$215,IF(D15=150,'A.0_Tablas salariales SC'!$I$216,IF(D15=189,'A.0_Tablas salariales SC'!$I$217,IF(D15=400,'A.0_Tablas salariales SC'!$I$218,IF(D15=450,'A.0_Tablas salariales SC'!$I$219,IF(D15=401,'A.0_Tablas salariales SC'!$I$220,IF(D15=451,'A.0_Tablas salariales SC'!$I$221,'A.0_Tablas salariales SC'!$I$215)))))))</f>
        <v>0.34755000000000003</v>
      </c>
      <c r="R15" s="183">
        <f t="shared" si="1"/>
        <v>1253.1986183619001</v>
      </c>
      <c r="S15" s="183">
        <f t="shared" si="2"/>
        <v>0</v>
      </c>
      <c r="T15" s="179"/>
    </row>
    <row r="16" spans="1:20">
      <c r="A16" s="508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2">
        <f>'A.1. Plantilla_Subrogacion'!F16</f>
        <v>0</v>
      </c>
      <c r="H16" s="181">
        <f>'A.1.0_TablaAntigüedad_Sub'!O16</f>
        <v>132</v>
      </c>
      <c r="I16" s="183">
        <f>'A.1.0_TablaAntigüedad_Sub'!AC16</f>
        <v>559.83693000000005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8397.5539500000014</v>
      </c>
      <c r="O16" s="183">
        <f>'A.0_Tablas salariales SC'!$K$174</f>
        <v>27024.683718</v>
      </c>
      <c r="P16" s="183">
        <f>(O16+N16)*G16+'A.0_Tablas salariales SC'!$R$192*(100%-G16)</f>
        <v>3605.8081380000003</v>
      </c>
      <c r="Q16" s="184">
        <f>IF(D16=100,'A.0_Tablas salariales SC'!$I$215,IF(D16=150,'A.0_Tablas salariales SC'!$I$216,IF(D16=189,'A.0_Tablas salariales SC'!$I$217,IF(D16=400,'A.0_Tablas salariales SC'!$I$218,IF(D16=450,'A.0_Tablas salariales SC'!$I$219,IF(D16=401,'A.0_Tablas salariales SC'!$I$220,IF(D16=451,'A.0_Tablas salariales SC'!$I$221,'A.0_Tablas salariales SC'!$I$215)))))))</f>
        <v>0.34755000000000003</v>
      </c>
      <c r="R16" s="183">
        <f t="shared" si="1"/>
        <v>1253.1986183619001</v>
      </c>
      <c r="S16" s="183">
        <f t="shared" si="2"/>
        <v>0</v>
      </c>
      <c r="T16" s="179"/>
    </row>
    <row r="17" spans="1:20">
      <c r="A17" s="508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2">
        <f>'A.1. Plantilla_Subrogacion'!F17</f>
        <v>0</v>
      </c>
      <c r="H17" s="181">
        <f>'A.1.0_TablaAntigüedad_Sub'!O17</f>
        <v>132</v>
      </c>
      <c r="I17" s="183">
        <f>'A.1.0_TablaAntigüedad_Sub'!AC17</f>
        <v>559.83693000000005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8397.5539500000014</v>
      </c>
      <c r="O17" s="183">
        <f>'A.0_Tablas salariales SC'!$K$174</f>
        <v>27024.683718</v>
      </c>
      <c r="P17" s="183">
        <f>(O17+N17)*G17+'A.0_Tablas salariales SC'!$R$192*(100%-G17)</f>
        <v>3605.8081380000003</v>
      </c>
      <c r="Q17" s="184">
        <f>IF(D17=100,'A.0_Tablas salariales SC'!$I$215,IF(D17=150,'A.0_Tablas salariales SC'!$I$216,IF(D17=189,'A.0_Tablas salariales SC'!$I$217,IF(D17=400,'A.0_Tablas salariales SC'!$I$218,IF(D17=450,'A.0_Tablas salariales SC'!$I$219,IF(D17=401,'A.0_Tablas salariales SC'!$I$220,IF(D17=451,'A.0_Tablas salariales SC'!$I$221,'A.0_Tablas salariales SC'!$I$215)))))))</f>
        <v>0.34755000000000003</v>
      </c>
      <c r="R17" s="183">
        <f t="shared" si="1"/>
        <v>1253.1986183619001</v>
      </c>
      <c r="S17" s="183">
        <f t="shared" si="2"/>
        <v>0</v>
      </c>
      <c r="T17" s="179"/>
    </row>
    <row r="18" spans="1:20">
      <c r="A18" s="508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2">
        <f>'A.1. Plantilla_Subrogacion'!F18</f>
        <v>0</v>
      </c>
      <c r="H18" s="181">
        <f>'A.1.0_TablaAntigüedad_Sub'!O18</f>
        <v>132</v>
      </c>
      <c r="I18" s="183">
        <f>'A.1.0_TablaAntigüedad_Sub'!AC18</f>
        <v>559.83693000000005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8397.5539500000014</v>
      </c>
      <c r="O18" s="183">
        <f>'A.0_Tablas salariales SC'!$K$174</f>
        <v>27024.683718</v>
      </c>
      <c r="P18" s="183">
        <f>(O18+N18)*G18+'A.0_Tablas salariales SC'!$R$192*(100%-G18)</f>
        <v>3605.8081380000003</v>
      </c>
      <c r="Q18" s="184">
        <f>IF(D18=100,'A.0_Tablas salariales SC'!$I$215,IF(D18=150,'A.0_Tablas salariales SC'!$I$216,IF(D18=189,'A.0_Tablas salariales SC'!$I$217,IF(D18=400,'A.0_Tablas salariales SC'!$I$218,IF(D18=450,'A.0_Tablas salariales SC'!$I$219,IF(D18=401,'A.0_Tablas salariales SC'!$I$220,IF(D18=451,'A.0_Tablas salariales SC'!$I$221,'A.0_Tablas salariales SC'!$I$215)))))))</f>
        <v>0.34755000000000003</v>
      </c>
      <c r="R18" s="183">
        <f t="shared" si="1"/>
        <v>1253.1986183619001</v>
      </c>
      <c r="S18" s="183">
        <f t="shared" si="2"/>
        <v>0</v>
      </c>
      <c r="T18" s="179"/>
    </row>
    <row r="19" spans="1:20">
      <c r="A19" s="508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2">
        <f>'A.1. Plantilla_Subrogacion'!F19</f>
        <v>0</v>
      </c>
      <c r="H19" s="181">
        <f>'A.1.0_TablaAntigüedad_Sub'!O19</f>
        <v>132</v>
      </c>
      <c r="I19" s="183">
        <f>'A.1.0_TablaAntigüedad_Sub'!AC19</f>
        <v>559.83693000000005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8397.5539500000014</v>
      </c>
      <c r="O19" s="183">
        <f>'A.0_Tablas salariales SC'!$K$174</f>
        <v>27024.683718</v>
      </c>
      <c r="P19" s="183">
        <f>(O19+N19)*G19+'A.0_Tablas salariales SC'!$R$192*(100%-G19)</f>
        <v>3605.8081380000003</v>
      </c>
      <c r="Q19" s="184">
        <f>IF(D19=100,'A.0_Tablas salariales SC'!$I$215,IF(D19=150,'A.0_Tablas salariales SC'!$I$216,IF(D19=189,'A.0_Tablas salariales SC'!$I$217,IF(D19=400,'A.0_Tablas salariales SC'!$I$218,IF(D19=450,'A.0_Tablas salariales SC'!$I$219,IF(D19=401,'A.0_Tablas salariales SC'!$I$220,IF(D19=451,'A.0_Tablas salariales SC'!$I$221,'A.0_Tablas salariales SC'!$I$215)))))))</f>
        <v>0.34755000000000003</v>
      </c>
      <c r="R19" s="183">
        <f t="shared" si="1"/>
        <v>1253.1986183619001</v>
      </c>
      <c r="S19" s="183">
        <f t="shared" si="2"/>
        <v>0</v>
      </c>
      <c r="T19" s="179"/>
    </row>
    <row r="20" spans="1:20">
      <c r="A20" s="508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2">
        <f>'A.1. Plantilla_Subrogacion'!F20</f>
        <v>0</v>
      </c>
      <c r="H20" s="181">
        <f>'A.1.0_TablaAntigüedad_Sub'!O20</f>
        <v>132</v>
      </c>
      <c r="I20" s="183">
        <f>'A.1.0_TablaAntigüedad_Sub'!AC20</f>
        <v>559.83693000000005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8397.5539500000014</v>
      </c>
      <c r="O20" s="183">
        <f>'A.0_Tablas salariales SC'!$K$174</f>
        <v>27024.683718</v>
      </c>
      <c r="P20" s="183">
        <f>(O20+N20)*G20+'A.0_Tablas salariales SC'!$R$192*(100%-G20)</f>
        <v>3605.8081380000003</v>
      </c>
      <c r="Q20" s="184">
        <f>IF(D20=100,'A.0_Tablas salariales SC'!$I$215,IF(D20=150,'A.0_Tablas salariales SC'!$I$216,IF(D20=189,'A.0_Tablas salariales SC'!$I$217,IF(D20=400,'A.0_Tablas salariales SC'!$I$218,IF(D20=450,'A.0_Tablas salariales SC'!$I$219,IF(D20=401,'A.0_Tablas salariales SC'!$I$220,IF(D20=451,'A.0_Tablas salariales SC'!$I$221,'A.0_Tablas salariales SC'!$I$215)))))))</f>
        <v>0.34755000000000003</v>
      </c>
      <c r="R20" s="183">
        <f t="shared" si="1"/>
        <v>1253.1986183619001</v>
      </c>
      <c r="S20" s="183">
        <f t="shared" si="2"/>
        <v>0</v>
      </c>
      <c r="T20" s="179"/>
    </row>
    <row r="21" spans="1:20">
      <c r="A21" s="508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2">
        <f>'A.1. Plantilla_Subrogacion'!F21</f>
        <v>0</v>
      </c>
      <c r="H21" s="181">
        <f>'A.1.0_TablaAntigüedad_Sub'!O21</f>
        <v>132</v>
      </c>
      <c r="I21" s="183">
        <f>'A.1.0_TablaAntigüedad_Sub'!AC21</f>
        <v>559.83693000000005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8397.5539500000014</v>
      </c>
      <c r="O21" s="183">
        <f>'A.0_Tablas salariales SC'!$K$174</f>
        <v>27024.683718</v>
      </c>
      <c r="P21" s="183">
        <f>(O21+N21)*G21+'A.0_Tablas salariales SC'!$R$192*(100%-G21)</f>
        <v>3605.8081380000003</v>
      </c>
      <c r="Q21" s="184">
        <f>IF(D21=100,'A.0_Tablas salariales SC'!$I$215,IF(D21=150,'A.0_Tablas salariales SC'!$I$216,IF(D21=189,'A.0_Tablas salariales SC'!$I$217,IF(D21=400,'A.0_Tablas salariales SC'!$I$218,IF(D21=450,'A.0_Tablas salariales SC'!$I$219,IF(D21=401,'A.0_Tablas salariales SC'!$I$220,IF(D21=451,'A.0_Tablas salariales SC'!$I$221,'A.0_Tablas salariales SC'!$I$215)))))))</f>
        <v>0.34755000000000003</v>
      </c>
      <c r="R21" s="183">
        <f t="shared" si="1"/>
        <v>1253.1986183619001</v>
      </c>
      <c r="S21" s="183">
        <f t="shared" si="2"/>
        <v>0</v>
      </c>
      <c r="T21" s="179"/>
    </row>
    <row r="22" spans="1:20">
      <c r="A22" s="508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2">
        <f>'A.1. Plantilla_Subrogacion'!F22</f>
        <v>0</v>
      </c>
      <c r="H22" s="181">
        <f>'A.1.0_TablaAntigüedad_Sub'!O22</f>
        <v>132</v>
      </c>
      <c r="I22" s="183">
        <f>'A.1.0_TablaAntigüedad_Sub'!AC22</f>
        <v>559.83693000000005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8397.5539500000014</v>
      </c>
      <c r="O22" s="183">
        <f>'A.0_Tablas salariales SC'!$K$174</f>
        <v>27024.683718</v>
      </c>
      <c r="P22" s="183">
        <f>(O22+N22)*G22+'A.0_Tablas salariales SC'!$R$192*(100%-G22)</f>
        <v>3605.8081380000003</v>
      </c>
      <c r="Q22" s="184">
        <f>IF(D22=100,'A.0_Tablas salariales SC'!$I$215,IF(D22=150,'A.0_Tablas salariales SC'!$I$216,IF(D22=189,'A.0_Tablas salariales SC'!$I$217,IF(D22=400,'A.0_Tablas salariales SC'!$I$218,IF(D22=450,'A.0_Tablas salariales SC'!$I$219,IF(D22=401,'A.0_Tablas salariales SC'!$I$220,IF(D22=451,'A.0_Tablas salariales SC'!$I$221,'A.0_Tablas salariales SC'!$I$215)))))))</f>
        <v>0.34755000000000003</v>
      </c>
      <c r="R22" s="183">
        <f t="shared" si="1"/>
        <v>1253.1986183619001</v>
      </c>
      <c r="S22" s="183">
        <f t="shared" si="2"/>
        <v>0</v>
      </c>
      <c r="T22" s="179"/>
    </row>
    <row r="23" spans="1:20">
      <c r="A23" s="508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2">
        <f>'A.1. Plantilla_Subrogacion'!F23</f>
        <v>0</v>
      </c>
      <c r="H23" s="181">
        <f>'A.1.0_TablaAntigüedad_Sub'!O23</f>
        <v>132</v>
      </c>
      <c r="I23" s="183">
        <f>'A.1.0_TablaAntigüedad_Sub'!AC23</f>
        <v>559.83693000000005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8397.5539500000014</v>
      </c>
      <c r="O23" s="183">
        <f>'A.0_Tablas salariales SC'!$K$174</f>
        <v>27024.683718</v>
      </c>
      <c r="P23" s="183">
        <f>(O23+N23)*G23+'A.0_Tablas salariales SC'!$R$192*(100%-G23)</f>
        <v>3605.8081380000003</v>
      </c>
      <c r="Q23" s="184">
        <f>IF(D23=100,'A.0_Tablas salariales SC'!$I$215,IF(D23=150,'A.0_Tablas salariales SC'!$I$216,IF(D23=189,'A.0_Tablas salariales SC'!$I$217,IF(D23=400,'A.0_Tablas salariales SC'!$I$218,IF(D23=450,'A.0_Tablas salariales SC'!$I$219,IF(D23=401,'A.0_Tablas salariales SC'!$I$220,IF(D23=451,'A.0_Tablas salariales SC'!$I$221,'A.0_Tablas salariales SC'!$I$215)))))))</f>
        <v>0.34755000000000003</v>
      </c>
      <c r="R23" s="183">
        <f t="shared" si="1"/>
        <v>1253.1986183619001</v>
      </c>
      <c r="S23" s="183">
        <f t="shared" si="2"/>
        <v>0</v>
      </c>
      <c r="T23" s="179"/>
    </row>
    <row r="24" spans="1:20">
      <c r="A24" s="508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2">
        <f>'A.1. Plantilla_Subrogacion'!F24</f>
        <v>0</v>
      </c>
      <c r="H24" s="181">
        <f>'A.1.0_TablaAntigüedad_Sub'!O24</f>
        <v>132</v>
      </c>
      <c r="I24" s="183">
        <f>'A.1.0_TablaAntigüedad_Sub'!AC24</f>
        <v>559.83693000000005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8397.5539500000014</v>
      </c>
      <c r="O24" s="183">
        <f>'A.0_Tablas salariales SC'!$K$174</f>
        <v>27024.683718</v>
      </c>
      <c r="P24" s="183">
        <f>(O24+N24)*G24+'A.0_Tablas salariales SC'!$R$192*(100%-G24)</f>
        <v>3605.8081380000003</v>
      </c>
      <c r="Q24" s="184">
        <f>IF(D24=100,'A.0_Tablas salariales SC'!$I$215,IF(D24=150,'A.0_Tablas salariales SC'!$I$216,IF(D24=189,'A.0_Tablas salariales SC'!$I$217,IF(D24=400,'A.0_Tablas salariales SC'!$I$218,IF(D24=450,'A.0_Tablas salariales SC'!$I$219,IF(D24=401,'A.0_Tablas salariales SC'!$I$220,IF(D24=451,'A.0_Tablas salariales SC'!$I$221,'A.0_Tablas salariales SC'!$I$215)))))))</f>
        <v>0.34755000000000003</v>
      </c>
      <c r="R24" s="183">
        <f t="shared" si="1"/>
        <v>1253.1986183619001</v>
      </c>
      <c r="S24" s="183">
        <f t="shared" si="2"/>
        <v>0</v>
      </c>
      <c r="T24" s="179"/>
    </row>
    <row r="25" spans="1:20">
      <c r="A25" s="508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2">
        <f>'A.1. Plantilla_Subrogacion'!F25</f>
        <v>0</v>
      </c>
      <c r="H25" s="181">
        <f>'A.1.0_TablaAntigüedad_Sub'!O25</f>
        <v>132</v>
      </c>
      <c r="I25" s="183">
        <f>'A.1.0_TablaAntigüedad_Sub'!AC25</f>
        <v>559.83693000000005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8397.5539500000014</v>
      </c>
      <c r="O25" s="183">
        <f>'A.0_Tablas salariales SC'!$K$174</f>
        <v>27024.683718</v>
      </c>
      <c r="P25" s="183">
        <f>(O25+N25)*G25+'A.0_Tablas salariales SC'!$R$192*(100%-G25)</f>
        <v>3605.8081380000003</v>
      </c>
      <c r="Q25" s="184">
        <f>IF(D25=100,'A.0_Tablas salariales SC'!$I$215,IF(D25=150,'A.0_Tablas salariales SC'!$I$216,IF(D25=189,'A.0_Tablas salariales SC'!$I$217,IF(D25=400,'A.0_Tablas salariales SC'!$I$218,IF(D25=450,'A.0_Tablas salariales SC'!$I$219,IF(D25=401,'A.0_Tablas salariales SC'!$I$220,IF(D25=451,'A.0_Tablas salariales SC'!$I$221,'A.0_Tablas salariales SC'!$I$215)))))))</f>
        <v>0.34755000000000003</v>
      </c>
      <c r="R25" s="183">
        <f t="shared" si="1"/>
        <v>1253.1986183619001</v>
      </c>
      <c r="S25" s="183">
        <f t="shared" si="2"/>
        <v>0</v>
      </c>
      <c r="T25" s="179"/>
    </row>
    <row r="26" spans="1:20">
      <c r="A26" s="508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2">
        <f>'A.1. Plantilla_Subrogacion'!F26</f>
        <v>0</v>
      </c>
      <c r="H26" s="181">
        <f>'A.1.0_TablaAntigüedad_Sub'!O26</f>
        <v>132</v>
      </c>
      <c r="I26" s="183">
        <f>'A.1.0_TablaAntigüedad_Sub'!AC26</f>
        <v>559.83693000000005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8397.5539500000014</v>
      </c>
      <c r="O26" s="183">
        <f>'A.0_Tablas salariales SC'!$K$174</f>
        <v>27024.683718</v>
      </c>
      <c r="P26" s="183">
        <f>(O26+N26)*G26+'A.0_Tablas salariales SC'!$R$192*(100%-G26)</f>
        <v>3605.8081380000003</v>
      </c>
      <c r="Q26" s="184">
        <f>IF(D26=100,'A.0_Tablas salariales SC'!$I$215,IF(D26=150,'A.0_Tablas salariales SC'!$I$216,IF(D26=189,'A.0_Tablas salariales SC'!$I$217,IF(D26=400,'A.0_Tablas salariales SC'!$I$218,IF(D26=450,'A.0_Tablas salariales SC'!$I$219,IF(D26=401,'A.0_Tablas salariales SC'!$I$220,IF(D26=451,'A.0_Tablas salariales SC'!$I$221,'A.0_Tablas salariales SC'!$I$215)))))))</f>
        <v>0.34755000000000003</v>
      </c>
      <c r="R26" s="183">
        <f t="shared" si="1"/>
        <v>1253.1986183619001</v>
      </c>
      <c r="S26" s="183">
        <f t="shared" si="2"/>
        <v>0</v>
      </c>
      <c r="T26" s="179"/>
    </row>
    <row r="27" spans="1:20">
      <c r="A27" s="508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2">
        <f>'A.1. Plantilla_Subrogacion'!F27</f>
        <v>0</v>
      </c>
      <c r="H27" s="181">
        <f>'A.1.0_TablaAntigüedad_Sub'!O27</f>
        <v>132</v>
      </c>
      <c r="I27" s="183">
        <f>'A.1.0_TablaAntigüedad_Sub'!AC27</f>
        <v>559.83693000000005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8397.5539500000014</v>
      </c>
      <c r="O27" s="183">
        <f>'A.0_Tablas salariales SC'!$K$174</f>
        <v>27024.683718</v>
      </c>
      <c r="P27" s="183">
        <f>(O27+N27)*G27+'A.0_Tablas salariales SC'!$R$192*(100%-G27)</f>
        <v>3605.8081380000003</v>
      </c>
      <c r="Q27" s="184">
        <f>IF(D27=100,'A.0_Tablas salariales SC'!$I$215,IF(D27=150,'A.0_Tablas salariales SC'!$I$216,IF(D27=189,'A.0_Tablas salariales SC'!$I$217,IF(D27=400,'A.0_Tablas salariales SC'!$I$218,IF(D27=450,'A.0_Tablas salariales SC'!$I$219,IF(D27=401,'A.0_Tablas salariales SC'!$I$220,IF(D27=451,'A.0_Tablas salariales SC'!$I$221,'A.0_Tablas salariales SC'!$I$215)))))))</f>
        <v>0.34755000000000003</v>
      </c>
      <c r="R27" s="183">
        <f t="shared" si="1"/>
        <v>1253.1986183619001</v>
      </c>
      <c r="S27" s="183">
        <f t="shared" si="2"/>
        <v>0</v>
      </c>
      <c r="T27" s="179"/>
    </row>
    <row r="28" spans="1:20">
      <c r="A28" s="508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2">
        <f>'A.1. Plantilla_Subrogacion'!F28</f>
        <v>0</v>
      </c>
      <c r="H28" s="181">
        <f>'A.1.0_TablaAntigüedad_Sub'!O28</f>
        <v>132</v>
      </c>
      <c r="I28" s="183">
        <f>'A.1.0_TablaAntigüedad_Sub'!AC28</f>
        <v>559.83693000000005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8397.5539500000014</v>
      </c>
      <c r="O28" s="183">
        <f>'A.0_Tablas salariales SC'!$K$174</f>
        <v>27024.683718</v>
      </c>
      <c r="P28" s="183">
        <f>(O28+N28)*G28+'A.0_Tablas salariales SC'!$R$192*(100%-G28)</f>
        <v>3605.8081380000003</v>
      </c>
      <c r="Q28" s="184">
        <f>IF(D28=100,'A.0_Tablas salariales SC'!$I$215,IF(D28=150,'A.0_Tablas salariales SC'!$I$216,IF(D28=189,'A.0_Tablas salariales SC'!$I$217,IF(D28=400,'A.0_Tablas salariales SC'!$I$218,IF(D28=450,'A.0_Tablas salariales SC'!$I$219,IF(D28=401,'A.0_Tablas salariales SC'!$I$220,IF(D28=451,'A.0_Tablas salariales SC'!$I$221,'A.0_Tablas salariales SC'!$I$215)))))))</f>
        <v>0.34755000000000003</v>
      </c>
      <c r="R28" s="183">
        <f t="shared" si="1"/>
        <v>1253.1986183619001</v>
      </c>
      <c r="S28" s="183">
        <f t="shared" si="2"/>
        <v>0</v>
      </c>
      <c r="T28" s="179"/>
    </row>
    <row r="29" spans="1:20">
      <c r="A29" s="508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2">
        <f>'A.1. Plantilla_Subrogacion'!F29</f>
        <v>0</v>
      </c>
      <c r="H29" s="181">
        <f>'A.1.0_TablaAntigüedad_Sub'!O29</f>
        <v>132</v>
      </c>
      <c r="I29" s="183">
        <f>'A.1.0_TablaAntigüedad_Sub'!AC29</f>
        <v>559.83693000000005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8397.5539500000014</v>
      </c>
      <c r="O29" s="183">
        <f>'A.0_Tablas salariales SC'!$K$174</f>
        <v>27024.683718</v>
      </c>
      <c r="P29" s="183">
        <f>(O29+N29)*G29+'A.0_Tablas salariales SC'!$R$192*(100%-G29)</f>
        <v>3605.8081380000003</v>
      </c>
      <c r="Q29" s="184">
        <f>IF(D29=100,'A.0_Tablas salariales SC'!$I$215,IF(D29=150,'A.0_Tablas salariales SC'!$I$216,IF(D29=189,'A.0_Tablas salariales SC'!$I$217,IF(D29=400,'A.0_Tablas salariales SC'!$I$218,IF(D29=450,'A.0_Tablas salariales SC'!$I$219,IF(D29=401,'A.0_Tablas salariales SC'!$I$220,IF(D29=451,'A.0_Tablas salariales SC'!$I$221,'A.0_Tablas salariales SC'!$I$215)))))))</f>
        <v>0.34755000000000003</v>
      </c>
      <c r="R29" s="183">
        <f t="shared" si="1"/>
        <v>1253.1986183619001</v>
      </c>
      <c r="S29" s="183">
        <f t="shared" si="2"/>
        <v>0</v>
      </c>
      <c r="T29" s="179"/>
    </row>
    <row r="30" spans="1:20">
      <c r="A30" s="508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2">
        <f>'A.1. Plantilla_Subrogacion'!F30</f>
        <v>0</v>
      </c>
      <c r="H30" s="181">
        <f>'A.1.0_TablaAntigüedad_Sub'!O30</f>
        <v>132</v>
      </c>
      <c r="I30" s="183">
        <f>'A.1.0_TablaAntigüedad_Sub'!AC30</f>
        <v>559.83693000000005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8397.5539500000014</v>
      </c>
      <c r="O30" s="183">
        <f>'A.0_Tablas salariales SC'!$K$174</f>
        <v>27024.683718</v>
      </c>
      <c r="P30" s="183">
        <f>(O30+N30)*G30+'A.0_Tablas salariales SC'!$R$192*(100%-G30)</f>
        <v>3605.8081380000003</v>
      </c>
      <c r="Q30" s="184">
        <f>IF(D30=100,'A.0_Tablas salariales SC'!$I$215,IF(D30=150,'A.0_Tablas salariales SC'!$I$216,IF(D30=189,'A.0_Tablas salariales SC'!$I$217,IF(D30=400,'A.0_Tablas salariales SC'!$I$218,IF(D30=450,'A.0_Tablas salariales SC'!$I$219,IF(D30=401,'A.0_Tablas salariales SC'!$I$220,IF(D30=451,'A.0_Tablas salariales SC'!$I$221,'A.0_Tablas salariales SC'!$I$215)))))))</f>
        <v>0.34755000000000003</v>
      </c>
      <c r="R30" s="183">
        <f t="shared" si="1"/>
        <v>1253.1986183619001</v>
      </c>
      <c r="S30" s="183">
        <f t="shared" si="2"/>
        <v>0</v>
      </c>
      <c r="T30" s="179"/>
    </row>
    <row r="31" spans="1:20">
      <c r="A31" s="508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2">
        <f>'A.1. Plantilla_Subrogacion'!F31</f>
        <v>0</v>
      </c>
      <c r="H31" s="181">
        <f>'A.1.0_TablaAntigüedad_Sub'!O31</f>
        <v>132</v>
      </c>
      <c r="I31" s="183">
        <f>'A.1.0_TablaAntigüedad_Sub'!AC31</f>
        <v>559.83693000000005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8397.5539500000014</v>
      </c>
      <c r="O31" s="183">
        <f>'A.0_Tablas salariales SC'!$K$174</f>
        <v>27024.683718</v>
      </c>
      <c r="P31" s="183">
        <f>(O31+N31)*G31+'A.0_Tablas salariales SC'!$R$192*(100%-G31)</f>
        <v>3605.8081380000003</v>
      </c>
      <c r="Q31" s="184">
        <f>IF(D31=100,'A.0_Tablas salariales SC'!$I$215,IF(D31=150,'A.0_Tablas salariales SC'!$I$216,IF(D31=189,'A.0_Tablas salariales SC'!$I$217,IF(D31=400,'A.0_Tablas salariales SC'!$I$218,IF(D31=450,'A.0_Tablas salariales SC'!$I$219,IF(D31=401,'A.0_Tablas salariales SC'!$I$220,IF(D31=451,'A.0_Tablas salariales SC'!$I$221,'A.0_Tablas salariales SC'!$I$215)))))))</f>
        <v>0.34755000000000003</v>
      </c>
      <c r="R31" s="183">
        <f t="shared" si="1"/>
        <v>1253.1986183619001</v>
      </c>
      <c r="S31" s="183">
        <f t="shared" si="2"/>
        <v>0</v>
      </c>
      <c r="T31" s="179"/>
    </row>
    <row r="32" spans="1:20">
      <c r="A32" s="508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2">
        <f>'A.1. Plantilla_Subrogacion'!F32</f>
        <v>0</v>
      </c>
      <c r="H32" s="181">
        <f>'A.1.0_TablaAntigüedad_Sub'!O32</f>
        <v>132</v>
      </c>
      <c r="I32" s="183">
        <f>'A.1.0_TablaAntigüedad_Sub'!AC32</f>
        <v>559.83693000000005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8397.5539500000014</v>
      </c>
      <c r="O32" s="183">
        <f>'A.0_Tablas salariales SC'!$K$174</f>
        <v>27024.683718</v>
      </c>
      <c r="P32" s="183">
        <f>(O32+N32)*G32+'A.0_Tablas salariales SC'!$R$192*(100%-G32)</f>
        <v>3605.8081380000003</v>
      </c>
      <c r="Q32" s="184">
        <f>IF(D32=100,'A.0_Tablas salariales SC'!$I$215,IF(D32=150,'A.0_Tablas salariales SC'!$I$216,IF(D32=189,'A.0_Tablas salariales SC'!$I$217,IF(D32=400,'A.0_Tablas salariales SC'!$I$218,IF(D32=450,'A.0_Tablas salariales SC'!$I$219,IF(D32=401,'A.0_Tablas salariales SC'!$I$220,IF(D32=451,'A.0_Tablas salariales SC'!$I$221,'A.0_Tablas salariales SC'!$I$215)))))))</f>
        <v>0.34755000000000003</v>
      </c>
      <c r="R32" s="183">
        <f t="shared" si="1"/>
        <v>1253.1986183619001</v>
      </c>
      <c r="S32" s="183">
        <f t="shared" si="2"/>
        <v>0</v>
      </c>
      <c r="T32" s="179"/>
    </row>
    <row r="33" spans="1:20">
      <c r="A33" s="508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2">
        <f>'A.1. Plantilla_Subrogacion'!F33</f>
        <v>0</v>
      </c>
      <c r="H33" s="181">
        <f>'A.1.0_TablaAntigüedad_Sub'!O33</f>
        <v>132</v>
      </c>
      <c r="I33" s="183">
        <f>'A.1.0_TablaAntigüedad_Sub'!AC33</f>
        <v>559.83693000000005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8397.5539500000014</v>
      </c>
      <c r="O33" s="183">
        <f>'A.0_Tablas salariales SC'!$K$174</f>
        <v>27024.683718</v>
      </c>
      <c r="P33" s="183">
        <f>(O33+N33)*G33+'A.0_Tablas salariales SC'!$R$192*(100%-G33)</f>
        <v>3605.8081380000003</v>
      </c>
      <c r="Q33" s="184">
        <f>IF(D33=100,'A.0_Tablas salariales SC'!$I$215,IF(D33=150,'A.0_Tablas salariales SC'!$I$216,IF(D33=189,'A.0_Tablas salariales SC'!$I$217,IF(D33=400,'A.0_Tablas salariales SC'!$I$218,IF(D33=450,'A.0_Tablas salariales SC'!$I$219,IF(D33=401,'A.0_Tablas salariales SC'!$I$220,IF(D33=451,'A.0_Tablas salariales SC'!$I$221,'A.0_Tablas salariales SC'!$I$215)))))))</f>
        <v>0.34755000000000003</v>
      </c>
      <c r="R33" s="183">
        <f t="shared" si="1"/>
        <v>1253.1986183619001</v>
      </c>
      <c r="S33" s="183">
        <f t="shared" si="2"/>
        <v>0</v>
      </c>
      <c r="T33" s="179"/>
    </row>
    <row r="34" spans="1:20">
      <c r="A34" s="508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2">
        <f>'A.1. Plantilla_Subrogacion'!F34</f>
        <v>0</v>
      </c>
      <c r="H34" s="181">
        <f>'A.1.0_TablaAntigüedad_Sub'!O34</f>
        <v>132</v>
      </c>
      <c r="I34" s="183">
        <f>'A.1.0_TablaAntigüedad_Sub'!AC34</f>
        <v>559.83693000000005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8397.5539500000014</v>
      </c>
      <c r="O34" s="183">
        <f>'A.0_Tablas salariales SC'!$K$174</f>
        <v>27024.683718</v>
      </c>
      <c r="P34" s="183">
        <f>(O34+N34)*G34+'A.0_Tablas salariales SC'!$R$192*(100%-G34)</f>
        <v>3605.8081380000003</v>
      </c>
      <c r="Q34" s="184">
        <f>IF(D34=100,'A.0_Tablas salariales SC'!$I$215,IF(D34=150,'A.0_Tablas salariales SC'!$I$216,IF(D34=189,'A.0_Tablas salariales SC'!$I$217,IF(D34=400,'A.0_Tablas salariales SC'!$I$218,IF(D34=450,'A.0_Tablas salariales SC'!$I$219,IF(D34=401,'A.0_Tablas salariales SC'!$I$220,IF(D34=451,'A.0_Tablas salariales SC'!$I$221,'A.0_Tablas salariales SC'!$I$215)))))))</f>
        <v>0.34755000000000003</v>
      </c>
      <c r="R34" s="183">
        <f t="shared" si="1"/>
        <v>1253.1986183619001</v>
      </c>
      <c r="S34" s="183">
        <f t="shared" si="2"/>
        <v>0</v>
      </c>
      <c r="T34" s="179"/>
    </row>
    <row r="35" spans="1:20">
      <c r="A35" s="508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2">
        <f>'A.1. Plantilla_Subrogacion'!F35</f>
        <v>0</v>
      </c>
      <c r="H35" s="181">
        <f>'A.1.0_TablaAntigüedad_Sub'!O35</f>
        <v>132</v>
      </c>
      <c r="I35" s="183">
        <f>'A.1.0_TablaAntigüedad_Sub'!AC35</f>
        <v>559.83693000000005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8397.5539500000014</v>
      </c>
      <c r="O35" s="183">
        <f>'A.0_Tablas salariales SC'!$K$174</f>
        <v>27024.683718</v>
      </c>
      <c r="P35" s="183">
        <f>(O35+N35)*G35+'A.0_Tablas salariales SC'!$R$192*(100%-G35)</f>
        <v>3605.8081380000003</v>
      </c>
      <c r="Q35" s="184">
        <f>IF(D35=100,'A.0_Tablas salariales SC'!$I$215,IF(D35=150,'A.0_Tablas salariales SC'!$I$216,IF(D35=189,'A.0_Tablas salariales SC'!$I$217,IF(D35=400,'A.0_Tablas salariales SC'!$I$218,IF(D35=450,'A.0_Tablas salariales SC'!$I$219,IF(D35=401,'A.0_Tablas salariales SC'!$I$220,IF(D35=451,'A.0_Tablas salariales SC'!$I$221,'A.0_Tablas salariales SC'!$I$215)))))))</f>
        <v>0.34755000000000003</v>
      </c>
      <c r="R35" s="183">
        <f t="shared" si="1"/>
        <v>1253.1986183619001</v>
      </c>
      <c r="S35" s="183">
        <f t="shared" si="2"/>
        <v>0</v>
      </c>
      <c r="T35" s="179"/>
    </row>
    <row r="36" spans="1:20">
      <c r="A36" s="508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2">
        <f>'A.1. Plantilla_Subrogacion'!F36</f>
        <v>0</v>
      </c>
      <c r="H36" s="181">
        <f>'A.1.0_TablaAntigüedad_Sub'!O36</f>
        <v>132</v>
      </c>
      <c r="I36" s="183">
        <f>'A.1.0_TablaAntigüedad_Sub'!AC36</f>
        <v>559.83693000000005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8397.5539500000014</v>
      </c>
      <c r="O36" s="183">
        <f>'A.0_Tablas salariales SC'!$K$174</f>
        <v>27024.683718</v>
      </c>
      <c r="P36" s="183">
        <f>(O36+N36)*G36+'A.0_Tablas salariales SC'!$R$192*(100%-G36)</f>
        <v>3605.8081380000003</v>
      </c>
      <c r="Q36" s="184">
        <f>IF(D36=100,'A.0_Tablas salariales SC'!$I$215,IF(D36=150,'A.0_Tablas salariales SC'!$I$216,IF(D36=189,'A.0_Tablas salariales SC'!$I$217,IF(D36=400,'A.0_Tablas salariales SC'!$I$218,IF(D36=450,'A.0_Tablas salariales SC'!$I$219,IF(D36=401,'A.0_Tablas salariales SC'!$I$220,IF(D36=451,'A.0_Tablas salariales SC'!$I$221,'A.0_Tablas salariales SC'!$I$215)))))))</f>
        <v>0.34755000000000003</v>
      </c>
      <c r="R36" s="183">
        <f t="shared" si="1"/>
        <v>1253.1986183619001</v>
      </c>
      <c r="S36" s="183">
        <f t="shared" si="2"/>
        <v>0</v>
      </c>
      <c r="T36" s="179"/>
    </row>
    <row r="37" spans="1:20">
      <c r="A37" s="508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2">
        <f>'A.1. Plantilla_Subrogacion'!F37</f>
        <v>0</v>
      </c>
      <c r="H37" s="181">
        <f>'A.1.0_TablaAntigüedad_Sub'!O37</f>
        <v>132</v>
      </c>
      <c r="I37" s="183">
        <f>'A.1.0_TablaAntigüedad_Sub'!AC37</f>
        <v>559.83693000000005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8397.5539500000014</v>
      </c>
      <c r="O37" s="183">
        <f>'A.0_Tablas salariales SC'!$K$174</f>
        <v>27024.683718</v>
      </c>
      <c r="P37" s="183">
        <f>(O37+N37)*G37+'A.0_Tablas salariales SC'!$R$192*(100%-G37)</f>
        <v>3605.8081380000003</v>
      </c>
      <c r="Q37" s="184">
        <f>IF(D37=100,'A.0_Tablas salariales SC'!$I$215,IF(D37=150,'A.0_Tablas salariales SC'!$I$216,IF(D37=189,'A.0_Tablas salariales SC'!$I$217,IF(D37=400,'A.0_Tablas salariales SC'!$I$218,IF(D37=450,'A.0_Tablas salariales SC'!$I$219,IF(D37=401,'A.0_Tablas salariales SC'!$I$220,IF(D37=451,'A.0_Tablas salariales SC'!$I$221,'A.0_Tablas salariales SC'!$I$215)))))))</f>
        <v>0.34755000000000003</v>
      </c>
      <c r="R37" s="183">
        <f t="shared" si="1"/>
        <v>1253.1986183619001</v>
      </c>
      <c r="S37" s="183">
        <f t="shared" si="2"/>
        <v>0</v>
      </c>
      <c r="T37" s="179"/>
    </row>
    <row r="38" spans="1:20">
      <c r="A38" s="508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2">
        <f>'A.1. Plantilla_Subrogacion'!F38</f>
        <v>0</v>
      </c>
      <c r="H38" s="181">
        <f>'A.1.0_TablaAntigüedad_Sub'!O38</f>
        <v>132</v>
      </c>
      <c r="I38" s="183">
        <f>'A.1.0_TablaAntigüedad_Sub'!AC38</f>
        <v>559.83693000000005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8397.5539500000014</v>
      </c>
      <c r="O38" s="183">
        <f>'A.0_Tablas salariales SC'!$K$174</f>
        <v>27024.683718</v>
      </c>
      <c r="P38" s="183">
        <f>(O38+N38)*G38+'A.0_Tablas salariales SC'!$R$192*(100%-G38)</f>
        <v>3605.8081380000003</v>
      </c>
      <c r="Q38" s="184">
        <f>IF(D38=100,'A.0_Tablas salariales SC'!$I$215,IF(D38=150,'A.0_Tablas salariales SC'!$I$216,IF(D38=189,'A.0_Tablas salariales SC'!$I$217,IF(D38=400,'A.0_Tablas salariales SC'!$I$218,IF(D38=450,'A.0_Tablas salariales SC'!$I$219,IF(D38=401,'A.0_Tablas salariales SC'!$I$220,IF(D38=451,'A.0_Tablas salariales SC'!$I$221,'A.0_Tablas salariales SC'!$I$215)))))))</f>
        <v>0.34755000000000003</v>
      </c>
      <c r="R38" s="183">
        <f t="shared" si="1"/>
        <v>1253.1986183619001</v>
      </c>
      <c r="S38" s="183">
        <f t="shared" si="2"/>
        <v>0</v>
      </c>
      <c r="T38" s="179"/>
    </row>
    <row r="39" spans="1:20">
      <c r="A39" s="508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2">
        <f>'A.1. Plantilla_Subrogacion'!F39</f>
        <v>0</v>
      </c>
      <c r="H39" s="181">
        <f>'A.1.0_TablaAntigüedad_Sub'!O39</f>
        <v>132</v>
      </c>
      <c r="I39" s="183">
        <f>'A.1.0_TablaAntigüedad_Sub'!AC39</f>
        <v>559.83693000000005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8397.5539500000014</v>
      </c>
      <c r="O39" s="183">
        <f>'A.0_Tablas salariales SC'!$K$174</f>
        <v>27024.683718</v>
      </c>
      <c r="P39" s="183">
        <f>(O39+N39)*G39+'A.0_Tablas salariales SC'!$R$192*(100%-G39)</f>
        <v>3605.8081380000003</v>
      </c>
      <c r="Q39" s="184">
        <f>IF(D39=100,'A.0_Tablas salariales SC'!$I$215,IF(D39=150,'A.0_Tablas salariales SC'!$I$216,IF(D39=189,'A.0_Tablas salariales SC'!$I$217,IF(D39=400,'A.0_Tablas salariales SC'!$I$218,IF(D39=450,'A.0_Tablas salariales SC'!$I$219,IF(D39=401,'A.0_Tablas salariales SC'!$I$220,IF(D39=451,'A.0_Tablas salariales SC'!$I$221,'A.0_Tablas salariales SC'!$I$215)))))))</f>
        <v>0.34755000000000003</v>
      </c>
      <c r="R39" s="183">
        <f t="shared" si="1"/>
        <v>1253.1986183619001</v>
      </c>
      <c r="S39" s="183">
        <f t="shared" si="2"/>
        <v>0</v>
      </c>
      <c r="T39" s="179"/>
    </row>
    <row r="40" spans="1:20">
      <c r="A40" s="508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2">
        <f>'A.1. Plantilla_Subrogacion'!F40</f>
        <v>0</v>
      </c>
      <c r="H40" s="181">
        <f>'A.1.0_TablaAntigüedad_Sub'!O40</f>
        <v>132</v>
      </c>
      <c r="I40" s="183">
        <f>'A.1.0_TablaAntigüedad_Sub'!AC40</f>
        <v>559.83693000000005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8397.5539500000014</v>
      </c>
      <c r="O40" s="183">
        <f>'A.0_Tablas salariales SC'!$K$174</f>
        <v>27024.683718</v>
      </c>
      <c r="P40" s="183">
        <f>(O40+N40)*G40+'A.0_Tablas salariales SC'!$R$192*(100%-G40)</f>
        <v>3605.8081380000003</v>
      </c>
      <c r="Q40" s="184">
        <f>IF(D40=100,'A.0_Tablas salariales SC'!$I$215,IF(D40=150,'A.0_Tablas salariales SC'!$I$216,IF(D40=189,'A.0_Tablas salariales SC'!$I$217,IF(D40=400,'A.0_Tablas salariales SC'!$I$218,IF(D40=450,'A.0_Tablas salariales SC'!$I$219,IF(D40=401,'A.0_Tablas salariales SC'!$I$220,IF(D40=451,'A.0_Tablas salariales SC'!$I$221,'A.0_Tablas salariales SC'!$I$215)))))))</f>
        <v>0.34755000000000003</v>
      </c>
      <c r="R40" s="183">
        <f t="shared" si="1"/>
        <v>1253.1986183619001</v>
      </c>
      <c r="S40" s="183">
        <f t="shared" si="2"/>
        <v>0</v>
      </c>
      <c r="T40" s="179"/>
    </row>
    <row r="41" spans="1:20">
      <c r="A41" s="508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2">
        <f>'A.1. Plantilla_Subrogacion'!F41</f>
        <v>0</v>
      </c>
      <c r="H41" s="181">
        <f>'A.1.0_TablaAntigüedad_Sub'!O41</f>
        <v>132</v>
      </c>
      <c r="I41" s="183">
        <f>'A.1.0_TablaAntigüedad_Sub'!AC41</f>
        <v>559.83693000000005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8397.5539500000014</v>
      </c>
      <c r="O41" s="183">
        <f>'A.0_Tablas salariales SC'!$K$174</f>
        <v>27024.683718</v>
      </c>
      <c r="P41" s="183">
        <f>(O41+N41)*G41+'A.0_Tablas salariales SC'!$R$192*(100%-G41)</f>
        <v>3605.8081380000003</v>
      </c>
      <c r="Q41" s="184">
        <f>IF(D41=100,'A.0_Tablas salariales SC'!$I$215,IF(D41=150,'A.0_Tablas salariales SC'!$I$216,IF(D41=189,'A.0_Tablas salariales SC'!$I$217,IF(D41=400,'A.0_Tablas salariales SC'!$I$218,IF(D41=450,'A.0_Tablas salariales SC'!$I$219,IF(D41=401,'A.0_Tablas salariales SC'!$I$220,IF(D41=451,'A.0_Tablas salariales SC'!$I$221,'A.0_Tablas salariales SC'!$I$215)))))))</f>
        <v>0.34755000000000003</v>
      </c>
      <c r="R41" s="183">
        <f t="shared" si="1"/>
        <v>1253.1986183619001</v>
      </c>
      <c r="S41" s="183">
        <f t="shared" si="2"/>
        <v>0</v>
      </c>
      <c r="T41" s="179"/>
    </row>
    <row r="42" spans="1:20">
      <c r="A42" s="508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2">
        <f>'A.1. Plantilla_Subrogacion'!F42</f>
        <v>0</v>
      </c>
      <c r="H42" s="181">
        <f>'A.1.0_TablaAntigüedad_Sub'!O42</f>
        <v>132</v>
      </c>
      <c r="I42" s="183">
        <f>'A.1.0_TablaAntigüedad_Sub'!AC42</f>
        <v>559.83693000000005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8397.5539500000014</v>
      </c>
      <c r="O42" s="183">
        <f>'A.0_Tablas salariales SC'!$K$174</f>
        <v>27024.683718</v>
      </c>
      <c r="P42" s="183">
        <f>(O42+N42)*G42+'A.0_Tablas salariales SC'!$R$192*(100%-G42)</f>
        <v>3605.8081380000003</v>
      </c>
      <c r="Q42" s="184">
        <f>IF(D42=100,'A.0_Tablas salariales SC'!$I$215,IF(D42=150,'A.0_Tablas salariales SC'!$I$216,IF(D42=189,'A.0_Tablas salariales SC'!$I$217,IF(D42=400,'A.0_Tablas salariales SC'!$I$218,IF(D42=450,'A.0_Tablas salariales SC'!$I$219,IF(D42=401,'A.0_Tablas salariales SC'!$I$220,IF(D42=451,'A.0_Tablas salariales SC'!$I$221,'A.0_Tablas salariales SC'!$I$215)))))))</f>
        <v>0.34755000000000003</v>
      </c>
      <c r="R42" s="183">
        <f t="shared" si="1"/>
        <v>1253.1986183619001</v>
      </c>
      <c r="S42" s="183">
        <f t="shared" si="2"/>
        <v>0</v>
      </c>
      <c r="T42" s="179"/>
    </row>
    <row r="43" spans="1:20">
      <c r="A43" s="508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2">
        <f>'A.1. Plantilla_Subrogacion'!F43</f>
        <v>0</v>
      </c>
      <c r="H43" s="181">
        <f>'A.1.0_TablaAntigüedad_Sub'!O43</f>
        <v>132</v>
      </c>
      <c r="I43" s="183">
        <f>'A.1.0_TablaAntigüedad_Sub'!AC43</f>
        <v>559.83693000000005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8397.5539500000014</v>
      </c>
      <c r="O43" s="183">
        <f>'A.0_Tablas salariales SC'!$K$174</f>
        <v>27024.683718</v>
      </c>
      <c r="P43" s="183">
        <f>(O43+N43)*G43+'A.0_Tablas salariales SC'!$R$192*(100%-G43)</f>
        <v>3605.8081380000003</v>
      </c>
      <c r="Q43" s="184">
        <f>IF(D43=100,'A.0_Tablas salariales SC'!$I$215,IF(D43=150,'A.0_Tablas salariales SC'!$I$216,IF(D43=189,'A.0_Tablas salariales SC'!$I$217,IF(D43=400,'A.0_Tablas salariales SC'!$I$218,IF(D43=450,'A.0_Tablas salariales SC'!$I$219,IF(D43=401,'A.0_Tablas salariales SC'!$I$220,IF(D43=451,'A.0_Tablas salariales SC'!$I$221,'A.0_Tablas salariales SC'!$I$215)))))))</f>
        <v>0.34755000000000003</v>
      </c>
      <c r="R43" s="183">
        <f t="shared" si="1"/>
        <v>1253.1986183619001</v>
      </c>
      <c r="S43" s="183">
        <f t="shared" si="2"/>
        <v>0</v>
      </c>
      <c r="T43" s="179"/>
    </row>
    <row r="44" spans="1:20">
      <c r="A44" s="508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2">
        <f>'A.1. Plantilla_Subrogacion'!F44</f>
        <v>0</v>
      </c>
      <c r="H44" s="181">
        <f>'A.1.0_TablaAntigüedad_Sub'!O44</f>
        <v>132</v>
      </c>
      <c r="I44" s="183">
        <f>'A.1.0_TablaAntigüedad_Sub'!AC44</f>
        <v>559.83693000000005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8397.5539500000014</v>
      </c>
      <c r="O44" s="183">
        <f>'A.0_Tablas salariales SC'!$K$174</f>
        <v>27024.683718</v>
      </c>
      <c r="P44" s="183">
        <f>(O44+N44)*G44+'A.0_Tablas salariales SC'!$R$192*(100%-G44)</f>
        <v>3605.8081380000003</v>
      </c>
      <c r="Q44" s="184">
        <f>IF(D44=100,'A.0_Tablas salariales SC'!$I$215,IF(D44=150,'A.0_Tablas salariales SC'!$I$216,IF(D44=189,'A.0_Tablas salariales SC'!$I$217,IF(D44=400,'A.0_Tablas salariales SC'!$I$218,IF(D44=450,'A.0_Tablas salariales SC'!$I$219,IF(D44=401,'A.0_Tablas salariales SC'!$I$220,IF(D44=451,'A.0_Tablas salariales SC'!$I$221,'A.0_Tablas salariales SC'!$I$215)))))))</f>
        <v>0.34755000000000003</v>
      </c>
      <c r="R44" s="183">
        <f t="shared" si="1"/>
        <v>1253.1986183619001</v>
      </c>
      <c r="S44" s="183">
        <f t="shared" si="2"/>
        <v>0</v>
      </c>
      <c r="T44" s="179"/>
    </row>
    <row r="45" spans="1:20">
      <c r="A45" s="508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2">
        <f>'A.1. Plantilla_Subrogacion'!F45</f>
        <v>0</v>
      </c>
      <c r="H45" s="181">
        <f>'A.1.0_TablaAntigüedad_Sub'!O45</f>
        <v>132</v>
      </c>
      <c r="I45" s="183">
        <f>'A.1.0_TablaAntigüedad_Sub'!AC45</f>
        <v>559.83693000000005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8397.5539500000014</v>
      </c>
      <c r="O45" s="183">
        <f>'A.0_Tablas salariales SC'!$K$174</f>
        <v>27024.683718</v>
      </c>
      <c r="P45" s="183">
        <f>(O45+N45)*G45+'A.0_Tablas salariales SC'!$R$192*(100%-G45)</f>
        <v>3605.8081380000003</v>
      </c>
      <c r="Q45" s="184">
        <f>IF(D45=100,'A.0_Tablas salariales SC'!$I$215,IF(D45=150,'A.0_Tablas salariales SC'!$I$216,IF(D45=189,'A.0_Tablas salariales SC'!$I$217,IF(D45=400,'A.0_Tablas salariales SC'!$I$218,IF(D45=450,'A.0_Tablas salariales SC'!$I$219,IF(D45=401,'A.0_Tablas salariales SC'!$I$220,IF(D45=451,'A.0_Tablas salariales SC'!$I$221,'A.0_Tablas salariales SC'!$I$215)))))))</f>
        <v>0.34755000000000003</v>
      </c>
      <c r="R45" s="183">
        <f t="shared" si="1"/>
        <v>1253.1986183619001</v>
      </c>
      <c r="S45" s="183">
        <f t="shared" si="2"/>
        <v>0</v>
      </c>
      <c r="T45" s="179"/>
    </row>
    <row r="46" spans="1:20">
      <c r="A46" s="508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2">
        <f>'A.1. Plantilla_Subrogacion'!F46</f>
        <v>0</v>
      </c>
      <c r="H46" s="181">
        <f>'A.1.0_TablaAntigüedad_Sub'!O46</f>
        <v>132</v>
      </c>
      <c r="I46" s="183">
        <f>'A.1.0_TablaAntigüedad_Sub'!AC46</f>
        <v>559.83693000000005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8397.5539500000014</v>
      </c>
      <c r="O46" s="183">
        <f>'A.0_Tablas salariales SC'!$K$174</f>
        <v>27024.683718</v>
      </c>
      <c r="P46" s="183">
        <f>(O46+N46)*G46+'A.0_Tablas salariales SC'!$R$192*(100%-G46)</f>
        <v>3605.8081380000003</v>
      </c>
      <c r="Q46" s="184">
        <f>IF(D46=100,'A.0_Tablas salariales SC'!$I$215,IF(D46=150,'A.0_Tablas salariales SC'!$I$216,IF(D46=189,'A.0_Tablas salariales SC'!$I$217,IF(D46=400,'A.0_Tablas salariales SC'!$I$218,IF(D46=450,'A.0_Tablas salariales SC'!$I$219,IF(D46=401,'A.0_Tablas salariales SC'!$I$220,IF(D46=451,'A.0_Tablas salariales SC'!$I$221,'A.0_Tablas salariales SC'!$I$215)))))))</f>
        <v>0.34755000000000003</v>
      </c>
      <c r="R46" s="183">
        <f t="shared" si="1"/>
        <v>1253.1986183619001</v>
      </c>
      <c r="S46" s="183">
        <f t="shared" si="2"/>
        <v>0</v>
      </c>
      <c r="T46" s="179"/>
    </row>
    <row r="47" spans="1:20">
      <c r="A47" s="508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2">
        <f>'A.1. Plantilla_Subrogacion'!F47</f>
        <v>0</v>
      </c>
      <c r="H47" s="181">
        <f>'A.1.0_TablaAntigüedad_Sub'!O47</f>
        <v>132</v>
      </c>
      <c r="I47" s="183">
        <f>'A.1.0_TablaAntigüedad_Sub'!AC47</f>
        <v>559.83693000000005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8397.5539500000014</v>
      </c>
      <c r="O47" s="183">
        <f>'A.0_Tablas salariales SC'!$K$174</f>
        <v>27024.683718</v>
      </c>
      <c r="P47" s="183">
        <f>(O47+N47)*G47+'A.0_Tablas salariales SC'!$R$192*(100%-G47)</f>
        <v>3605.8081380000003</v>
      </c>
      <c r="Q47" s="184">
        <f>IF(D47=100,'A.0_Tablas salariales SC'!$I$215,IF(D47=150,'A.0_Tablas salariales SC'!$I$216,IF(D47=189,'A.0_Tablas salariales SC'!$I$217,IF(D47=400,'A.0_Tablas salariales SC'!$I$218,IF(D47=450,'A.0_Tablas salariales SC'!$I$219,IF(D47=401,'A.0_Tablas salariales SC'!$I$220,IF(D47=451,'A.0_Tablas salariales SC'!$I$221,'A.0_Tablas salariales SC'!$I$215)))))))</f>
        <v>0.34755000000000003</v>
      </c>
      <c r="R47" s="183">
        <f t="shared" si="1"/>
        <v>1253.1986183619001</v>
      </c>
      <c r="S47" s="183">
        <f t="shared" si="2"/>
        <v>0</v>
      </c>
      <c r="T47" s="179"/>
    </row>
    <row r="48" spans="1:20">
      <c r="A48" s="508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2">
        <f>'A.1. Plantilla_Subrogacion'!F48</f>
        <v>0</v>
      </c>
      <c r="H48" s="181">
        <f>'A.1.0_TablaAntigüedad_Sub'!O48</f>
        <v>132</v>
      </c>
      <c r="I48" s="183">
        <f>'A.1.0_TablaAntigüedad_Sub'!AC48</f>
        <v>559.83693000000005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8397.5539500000014</v>
      </c>
      <c r="O48" s="183">
        <f>'A.0_Tablas salariales SC'!$K$174</f>
        <v>27024.683718</v>
      </c>
      <c r="P48" s="183">
        <f>(O48+N48)*G48+'A.0_Tablas salariales SC'!$R$192*(100%-G48)</f>
        <v>3605.8081380000003</v>
      </c>
      <c r="Q48" s="184">
        <f>IF(D48=100,'A.0_Tablas salariales SC'!$I$215,IF(D48=150,'A.0_Tablas salariales SC'!$I$216,IF(D48=189,'A.0_Tablas salariales SC'!$I$217,IF(D48=400,'A.0_Tablas salariales SC'!$I$218,IF(D48=450,'A.0_Tablas salariales SC'!$I$219,IF(D48=401,'A.0_Tablas salariales SC'!$I$220,IF(D48=451,'A.0_Tablas salariales SC'!$I$221,'A.0_Tablas salariales SC'!$I$215)))))))</f>
        <v>0.34755000000000003</v>
      </c>
      <c r="R48" s="183">
        <f t="shared" si="1"/>
        <v>1253.1986183619001</v>
      </c>
      <c r="S48" s="183">
        <f t="shared" si="2"/>
        <v>0</v>
      </c>
      <c r="T48" s="179"/>
    </row>
    <row r="49" spans="1:20">
      <c r="A49" s="508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2">
        <f>'A.1. Plantilla_Subrogacion'!F49</f>
        <v>0</v>
      </c>
      <c r="H49" s="181">
        <f>'A.1.0_TablaAntigüedad_Sub'!O49</f>
        <v>132</v>
      </c>
      <c r="I49" s="183">
        <f>'A.1.0_TablaAntigüedad_Sub'!AC49</f>
        <v>559.83693000000005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8397.5539500000014</v>
      </c>
      <c r="O49" s="183">
        <f>'A.0_Tablas salariales SC'!$K$174</f>
        <v>27024.683718</v>
      </c>
      <c r="P49" s="183">
        <f>(O49+N49)*G49+'A.0_Tablas salariales SC'!$R$192*(100%-G49)</f>
        <v>3605.8081380000003</v>
      </c>
      <c r="Q49" s="184">
        <f>IF(D49=100,'A.0_Tablas salariales SC'!$I$215,IF(D49=150,'A.0_Tablas salariales SC'!$I$216,IF(D49=189,'A.0_Tablas salariales SC'!$I$217,IF(D49=400,'A.0_Tablas salariales SC'!$I$218,IF(D49=450,'A.0_Tablas salariales SC'!$I$219,IF(D49=401,'A.0_Tablas salariales SC'!$I$220,IF(D49=451,'A.0_Tablas salariales SC'!$I$221,'A.0_Tablas salariales SC'!$I$215)))))))</f>
        <v>0.34755000000000003</v>
      </c>
      <c r="R49" s="183">
        <f t="shared" si="1"/>
        <v>1253.1986183619001</v>
      </c>
      <c r="S49" s="183">
        <f t="shared" si="2"/>
        <v>0</v>
      </c>
      <c r="T49" s="179"/>
    </row>
    <row r="50" spans="1:20">
      <c r="A50" s="508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2">
        <f>'A.1. Plantilla_Subrogacion'!F50</f>
        <v>0</v>
      </c>
      <c r="H50" s="181">
        <f>'A.1.0_TablaAntigüedad_Sub'!O50</f>
        <v>132</v>
      </c>
      <c r="I50" s="183">
        <f>'A.1.0_TablaAntigüedad_Sub'!AC50</f>
        <v>559.83693000000005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8397.5539500000014</v>
      </c>
      <c r="O50" s="183">
        <f>'A.0_Tablas salariales SC'!$K$174</f>
        <v>27024.683718</v>
      </c>
      <c r="P50" s="183">
        <f>(O50+N50)*G50+'A.0_Tablas salariales SC'!$R$192*(100%-G50)</f>
        <v>3605.8081380000003</v>
      </c>
      <c r="Q50" s="184">
        <f>IF(D50=100,'A.0_Tablas salariales SC'!$I$215,IF(D50=150,'A.0_Tablas salariales SC'!$I$216,IF(D50=189,'A.0_Tablas salariales SC'!$I$217,IF(D50=400,'A.0_Tablas salariales SC'!$I$218,IF(D50=450,'A.0_Tablas salariales SC'!$I$219,IF(D50=401,'A.0_Tablas salariales SC'!$I$220,IF(D50=451,'A.0_Tablas salariales SC'!$I$221,'A.0_Tablas salariales SC'!$I$215)))))))</f>
        <v>0.34755000000000003</v>
      </c>
      <c r="R50" s="183">
        <f t="shared" si="1"/>
        <v>1253.1986183619001</v>
      </c>
      <c r="S50" s="183">
        <f t="shared" si="2"/>
        <v>0</v>
      </c>
      <c r="T50" s="179"/>
    </row>
    <row r="51" spans="1:20">
      <c r="A51" s="508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2">
        <f>'A.1. Plantilla_Subrogacion'!F51</f>
        <v>0</v>
      </c>
      <c r="H51" s="181">
        <f>'A.1.0_TablaAntigüedad_Sub'!O51</f>
        <v>132</v>
      </c>
      <c r="I51" s="183">
        <f>'A.1.0_TablaAntigüedad_Sub'!AC51</f>
        <v>559.83693000000005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8397.5539500000014</v>
      </c>
      <c r="O51" s="183">
        <f>'A.0_Tablas salariales SC'!$K$174</f>
        <v>27024.683718</v>
      </c>
      <c r="P51" s="183">
        <f>(O51+N51)*G51+'A.0_Tablas salariales SC'!$R$192*(100%-G51)</f>
        <v>3605.8081380000003</v>
      </c>
      <c r="Q51" s="184">
        <f>IF(D51=100,'A.0_Tablas salariales SC'!$I$215,IF(D51=150,'A.0_Tablas salariales SC'!$I$216,IF(D51=189,'A.0_Tablas salariales SC'!$I$217,IF(D51=400,'A.0_Tablas salariales SC'!$I$218,IF(D51=450,'A.0_Tablas salariales SC'!$I$219,IF(D51=401,'A.0_Tablas salariales SC'!$I$220,IF(D51=451,'A.0_Tablas salariales SC'!$I$221,'A.0_Tablas salariales SC'!$I$215)))))))</f>
        <v>0.34755000000000003</v>
      </c>
      <c r="R51" s="183">
        <f t="shared" si="1"/>
        <v>1253.1986183619001</v>
      </c>
      <c r="S51" s="183">
        <f t="shared" si="2"/>
        <v>0</v>
      </c>
      <c r="T51" s="179"/>
    </row>
    <row r="52" spans="1:20">
      <c r="A52" s="508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2">
        <f>'A.1. Plantilla_Subrogacion'!F52</f>
        <v>0</v>
      </c>
      <c r="H52" s="181">
        <f>'A.1.0_TablaAntigüedad_Sub'!O52</f>
        <v>132</v>
      </c>
      <c r="I52" s="183">
        <f>'A.1.0_TablaAntigüedad_Sub'!AC52</f>
        <v>559.83693000000005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8397.5539500000014</v>
      </c>
      <c r="O52" s="183">
        <f>'A.0_Tablas salariales SC'!$K$174</f>
        <v>27024.683718</v>
      </c>
      <c r="P52" s="183">
        <f>(O52+N52)*G52+'A.0_Tablas salariales SC'!$R$192*(100%-G52)</f>
        <v>3605.8081380000003</v>
      </c>
      <c r="Q52" s="184">
        <f>IF(D52=100,'A.0_Tablas salariales SC'!$I$215,IF(D52=150,'A.0_Tablas salariales SC'!$I$216,IF(D52=189,'A.0_Tablas salariales SC'!$I$217,IF(D52=400,'A.0_Tablas salariales SC'!$I$218,IF(D52=450,'A.0_Tablas salariales SC'!$I$219,IF(D52=401,'A.0_Tablas salariales SC'!$I$220,IF(D52=451,'A.0_Tablas salariales SC'!$I$221,'A.0_Tablas salariales SC'!$I$215)))))))</f>
        <v>0.34755000000000003</v>
      </c>
      <c r="R52" s="183">
        <f t="shared" si="1"/>
        <v>1253.1986183619001</v>
      </c>
      <c r="S52" s="183">
        <f t="shared" si="2"/>
        <v>0</v>
      </c>
      <c r="T52" s="179"/>
    </row>
    <row r="53" spans="1:20">
      <c r="A53" s="508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2">
        <f>'A.1. Plantilla_Subrogacion'!F53</f>
        <v>0</v>
      </c>
      <c r="H53" s="181">
        <f>'A.1.0_TablaAntigüedad_Sub'!O53</f>
        <v>132</v>
      </c>
      <c r="I53" s="183">
        <f>'A.1.0_TablaAntigüedad_Sub'!AC53</f>
        <v>559.83693000000005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8397.5539500000014</v>
      </c>
      <c r="O53" s="183">
        <f>'A.0_Tablas salariales SC'!$K$174</f>
        <v>27024.683718</v>
      </c>
      <c r="P53" s="183">
        <f>(O53+N53)*G53+'A.0_Tablas salariales SC'!$R$192*(100%-G53)</f>
        <v>3605.8081380000003</v>
      </c>
      <c r="Q53" s="184">
        <f>IF(D53=100,'A.0_Tablas salariales SC'!$I$215,IF(D53=150,'A.0_Tablas salariales SC'!$I$216,IF(D53=189,'A.0_Tablas salariales SC'!$I$217,IF(D53=400,'A.0_Tablas salariales SC'!$I$218,IF(D53=450,'A.0_Tablas salariales SC'!$I$219,IF(D53=401,'A.0_Tablas salariales SC'!$I$220,IF(D53=451,'A.0_Tablas salariales SC'!$I$221,'A.0_Tablas salariales SC'!$I$215)))))))</f>
        <v>0.34755000000000003</v>
      </c>
      <c r="R53" s="183">
        <f t="shared" si="1"/>
        <v>1253.1986183619001</v>
      </c>
      <c r="S53" s="183">
        <f t="shared" si="2"/>
        <v>0</v>
      </c>
      <c r="T53" s="179"/>
    </row>
    <row r="54" spans="1:20">
      <c r="A54" s="508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2">
        <f>'A.1. Plantilla_Subrogacion'!F54</f>
        <v>0</v>
      </c>
      <c r="H54" s="181">
        <f>'A.1.0_TablaAntigüedad_Sub'!O54</f>
        <v>132</v>
      </c>
      <c r="I54" s="183">
        <f>'A.1.0_TablaAntigüedad_Sub'!AC54</f>
        <v>559.83693000000005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8397.5539500000014</v>
      </c>
      <c r="O54" s="183">
        <f>'A.0_Tablas salariales SC'!$K$174</f>
        <v>27024.683718</v>
      </c>
      <c r="P54" s="183">
        <f>(O54+N54)*G54+'A.0_Tablas salariales SC'!$R$192*(100%-G54)</f>
        <v>3605.8081380000003</v>
      </c>
      <c r="Q54" s="184">
        <f>IF(D54=100,'A.0_Tablas salariales SC'!$I$215,IF(D54=150,'A.0_Tablas salariales SC'!$I$216,IF(D54=189,'A.0_Tablas salariales SC'!$I$217,IF(D54=400,'A.0_Tablas salariales SC'!$I$218,IF(D54=450,'A.0_Tablas salariales SC'!$I$219,IF(D54=401,'A.0_Tablas salariales SC'!$I$220,IF(D54=451,'A.0_Tablas salariales SC'!$I$221,'A.0_Tablas salariales SC'!$I$215)))))))</f>
        <v>0.34755000000000003</v>
      </c>
      <c r="R54" s="183">
        <f t="shared" si="1"/>
        <v>1253.1986183619001</v>
      </c>
      <c r="S54" s="183">
        <f t="shared" si="2"/>
        <v>0</v>
      </c>
      <c r="T54" s="179"/>
    </row>
    <row r="55" spans="1:20">
      <c r="A55" s="508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2">
        <f>'A.1. Plantilla_Subrogacion'!F55</f>
        <v>0</v>
      </c>
      <c r="H55" s="181">
        <f>'A.1.0_TablaAntigüedad_Sub'!O55</f>
        <v>132</v>
      </c>
      <c r="I55" s="183">
        <f>'A.1.0_TablaAntigüedad_Sub'!AC55</f>
        <v>559.83693000000005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8397.5539500000014</v>
      </c>
      <c r="O55" s="183">
        <f>'A.0_Tablas salariales SC'!$K$174</f>
        <v>27024.683718</v>
      </c>
      <c r="P55" s="183">
        <f>(O55+N55)*G55+'A.0_Tablas salariales SC'!$R$192*(100%-G55)</f>
        <v>3605.8081380000003</v>
      </c>
      <c r="Q55" s="184">
        <f>IF(D55=100,'A.0_Tablas salariales SC'!$I$215,IF(D55=150,'A.0_Tablas salariales SC'!$I$216,IF(D55=189,'A.0_Tablas salariales SC'!$I$217,IF(D55=400,'A.0_Tablas salariales SC'!$I$218,IF(D55=450,'A.0_Tablas salariales SC'!$I$219,IF(D55=401,'A.0_Tablas salariales SC'!$I$220,IF(D55=451,'A.0_Tablas salariales SC'!$I$221,'A.0_Tablas salariales SC'!$I$215)))))))</f>
        <v>0.34755000000000003</v>
      </c>
      <c r="R55" s="183">
        <f t="shared" si="1"/>
        <v>1253.1986183619001</v>
      </c>
      <c r="S55" s="183">
        <f t="shared" si="2"/>
        <v>0</v>
      </c>
      <c r="T55" s="179"/>
    </row>
    <row r="56" spans="1:20">
      <c r="A56" s="508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2">
        <f>'A.1. Plantilla_Subrogacion'!F56</f>
        <v>0</v>
      </c>
      <c r="H56" s="181">
        <f>'A.1.0_TablaAntigüedad_Sub'!O56</f>
        <v>132</v>
      </c>
      <c r="I56" s="183">
        <f>'A.1.0_TablaAntigüedad_Sub'!AC56</f>
        <v>559.83693000000005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8397.5539500000014</v>
      </c>
      <c r="O56" s="183">
        <f>'A.0_Tablas salariales SC'!$K$174</f>
        <v>27024.683718</v>
      </c>
      <c r="P56" s="183">
        <f>(O56+N56)*G56+'A.0_Tablas salariales SC'!$R$192*(100%-G56)</f>
        <v>3605.8081380000003</v>
      </c>
      <c r="Q56" s="184">
        <f>IF(D56=100,'A.0_Tablas salariales SC'!$I$215,IF(D56=150,'A.0_Tablas salariales SC'!$I$216,IF(D56=189,'A.0_Tablas salariales SC'!$I$217,IF(D56=400,'A.0_Tablas salariales SC'!$I$218,IF(D56=450,'A.0_Tablas salariales SC'!$I$219,IF(D56=401,'A.0_Tablas salariales SC'!$I$220,IF(D56=451,'A.0_Tablas salariales SC'!$I$221,'A.0_Tablas salariales SC'!$I$215)))))))</f>
        <v>0.34755000000000003</v>
      </c>
      <c r="R56" s="183">
        <f t="shared" si="1"/>
        <v>1253.1986183619001</v>
      </c>
      <c r="S56" s="183">
        <f t="shared" si="2"/>
        <v>0</v>
      </c>
      <c r="T56" s="179"/>
    </row>
    <row r="57" spans="1:20">
      <c r="A57" s="508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2">
        <f>'A.1. Plantilla_Subrogacion'!F57</f>
        <v>0</v>
      </c>
      <c r="H57" s="181">
        <f>'A.1.0_TablaAntigüedad_Sub'!O57</f>
        <v>132</v>
      </c>
      <c r="I57" s="183">
        <f>'A.1.0_TablaAntigüedad_Sub'!AC57</f>
        <v>559.83693000000005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8397.5539500000014</v>
      </c>
      <c r="O57" s="183">
        <f>'A.0_Tablas salariales SC'!$K$174</f>
        <v>27024.683718</v>
      </c>
      <c r="P57" s="183">
        <f>(O57+N57)*G57+'A.0_Tablas salariales SC'!$R$192*(100%-G57)</f>
        <v>3605.8081380000003</v>
      </c>
      <c r="Q57" s="184">
        <f>IF(D57=100,'A.0_Tablas salariales SC'!$I$215,IF(D57=150,'A.0_Tablas salariales SC'!$I$216,IF(D57=189,'A.0_Tablas salariales SC'!$I$217,IF(D57=400,'A.0_Tablas salariales SC'!$I$218,IF(D57=450,'A.0_Tablas salariales SC'!$I$219,IF(D57=401,'A.0_Tablas salariales SC'!$I$220,IF(D57=451,'A.0_Tablas salariales SC'!$I$221,'A.0_Tablas salariales SC'!$I$215)))))))</f>
        <v>0.34755000000000003</v>
      </c>
      <c r="R57" s="183">
        <f t="shared" si="1"/>
        <v>1253.1986183619001</v>
      </c>
      <c r="S57" s="183">
        <f t="shared" si="2"/>
        <v>0</v>
      </c>
      <c r="T57" s="179"/>
    </row>
    <row r="58" spans="1:20">
      <c r="A58" s="508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2">
        <f>'A.1. Plantilla_Subrogacion'!F58</f>
        <v>0</v>
      </c>
      <c r="H58" s="181">
        <f>'A.1.0_TablaAntigüedad_Sub'!O58</f>
        <v>132</v>
      </c>
      <c r="I58" s="183">
        <f>'A.1.0_TablaAntigüedad_Sub'!AC58</f>
        <v>559.83693000000005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8397.5539500000014</v>
      </c>
      <c r="O58" s="183">
        <f>'A.0_Tablas salariales SC'!$K$174</f>
        <v>27024.683718</v>
      </c>
      <c r="P58" s="183">
        <f>(O58+N58)*G58+'A.0_Tablas salariales SC'!$R$192*(100%-G58)</f>
        <v>3605.8081380000003</v>
      </c>
      <c r="Q58" s="184">
        <f>IF(D58=100,'A.0_Tablas salariales SC'!$I$215,IF(D58=150,'A.0_Tablas salariales SC'!$I$216,IF(D58=189,'A.0_Tablas salariales SC'!$I$217,IF(D58=400,'A.0_Tablas salariales SC'!$I$218,IF(D58=450,'A.0_Tablas salariales SC'!$I$219,IF(D58=401,'A.0_Tablas salariales SC'!$I$220,IF(D58=451,'A.0_Tablas salariales SC'!$I$221,'A.0_Tablas salariales SC'!$I$215)))))))</f>
        <v>0.34755000000000003</v>
      </c>
      <c r="R58" s="183">
        <f t="shared" si="1"/>
        <v>1253.1986183619001</v>
      </c>
      <c r="S58" s="183">
        <f t="shared" si="2"/>
        <v>0</v>
      </c>
      <c r="T58" s="179"/>
    </row>
    <row r="59" spans="1:20">
      <c r="A59" s="508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2">
        <f>'A.1. Plantilla_Subrogacion'!F59</f>
        <v>0</v>
      </c>
      <c r="H59" s="181">
        <f>'A.1.0_TablaAntigüedad_Sub'!O59</f>
        <v>132</v>
      </c>
      <c r="I59" s="183">
        <f>'A.1.0_TablaAntigüedad_Sub'!AC59</f>
        <v>559.83693000000005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8397.5539500000014</v>
      </c>
      <c r="O59" s="183">
        <f>'A.0_Tablas salariales SC'!$K$174</f>
        <v>27024.683718</v>
      </c>
      <c r="P59" s="183">
        <f>(O59+N59)*G59+'A.0_Tablas salariales SC'!$R$192*(100%-G59)</f>
        <v>3605.8081380000003</v>
      </c>
      <c r="Q59" s="184">
        <f>IF(D59=100,'A.0_Tablas salariales SC'!$I$215,IF(D59=150,'A.0_Tablas salariales SC'!$I$216,IF(D59=189,'A.0_Tablas salariales SC'!$I$217,IF(D59=400,'A.0_Tablas salariales SC'!$I$218,IF(D59=450,'A.0_Tablas salariales SC'!$I$219,IF(D59=401,'A.0_Tablas salariales SC'!$I$220,IF(D59=451,'A.0_Tablas salariales SC'!$I$221,'A.0_Tablas salariales SC'!$I$215)))))))</f>
        <v>0.34755000000000003</v>
      </c>
      <c r="R59" s="183">
        <f t="shared" si="1"/>
        <v>1253.1986183619001</v>
      </c>
      <c r="S59" s="183">
        <f t="shared" si="2"/>
        <v>0</v>
      </c>
      <c r="T59" s="179"/>
    </row>
    <row r="60" spans="1:20">
      <c r="A60" s="508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2">
        <f>'A.1. Plantilla_Subrogacion'!F60</f>
        <v>0</v>
      </c>
      <c r="H60" s="181">
        <f>'A.1.0_TablaAntigüedad_Sub'!O60</f>
        <v>132</v>
      </c>
      <c r="I60" s="183">
        <f>'A.1.0_TablaAntigüedad_Sub'!AC60</f>
        <v>559.83693000000005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8397.5539500000014</v>
      </c>
      <c r="O60" s="183">
        <f>'A.0_Tablas salariales SC'!$K$174</f>
        <v>27024.683718</v>
      </c>
      <c r="P60" s="183">
        <f>(O60+N60)*G60+'A.0_Tablas salariales SC'!$R$192*(100%-G60)</f>
        <v>3605.8081380000003</v>
      </c>
      <c r="Q60" s="184">
        <f>IF(D60=100,'A.0_Tablas salariales SC'!$I$215,IF(D60=150,'A.0_Tablas salariales SC'!$I$216,IF(D60=189,'A.0_Tablas salariales SC'!$I$217,IF(D60=400,'A.0_Tablas salariales SC'!$I$218,IF(D60=450,'A.0_Tablas salariales SC'!$I$219,IF(D60=401,'A.0_Tablas salariales SC'!$I$220,IF(D60=451,'A.0_Tablas salariales SC'!$I$221,'A.0_Tablas salariales SC'!$I$215)))))))</f>
        <v>0.34755000000000003</v>
      </c>
      <c r="R60" s="183">
        <f t="shared" si="1"/>
        <v>1253.1986183619001</v>
      </c>
      <c r="S60" s="183">
        <f t="shared" si="2"/>
        <v>0</v>
      </c>
      <c r="T60" s="179"/>
    </row>
    <row r="61" spans="1:20">
      <c r="A61" s="508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2">
        <f>'A.1. Plantilla_Subrogacion'!F61</f>
        <v>0</v>
      </c>
      <c r="H61" s="181">
        <f>'A.1.0_TablaAntigüedad_Sub'!O61</f>
        <v>132</v>
      </c>
      <c r="I61" s="183">
        <f>'A.1.0_TablaAntigüedad_Sub'!AC61</f>
        <v>559.83693000000005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8397.5539500000014</v>
      </c>
      <c r="O61" s="183">
        <f>'A.0_Tablas salariales SC'!$K$174</f>
        <v>27024.683718</v>
      </c>
      <c r="P61" s="183">
        <f>(O61+N61)*G61+'A.0_Tablas salariales SC'!$R$192*(100%-G61)</f>
        <v>3605.8081380000003</v>
      </c>
      <c r="Q61" s="184">
        <f>IF(D61=100,'A.0_Tablas salariales SC'!$I$215,IF(D61=150,'A.0_Tablas salariales SC'!$I$216,IF(D61=189,'A.0_Tablas salariales SC'!$I$217,IF(D61=400,'A.0_Tablas salariales SC'!$I$218,IF(D61=450,'A.0_Tablas salariales SC'!$I$219,IF(D61=401,'A.0_Tablas salariales SC'!$I$220,IF(D61=451,'A.0_Tablas salariales SC'!$I$221,'A.0_Tablas salariales SC'!$I$215)))))))</f>
        <v>0.34755000000000003</v>
      </c>
      <c r="R61" s="183">
        <f t="shared" si="1"/>
        <v>1253.1986183619001</v>
      </c>
      <c r="S61" s="183">
        <f t="shared" si="2"/>
        <v>0</v>
      </c>
      <c r="T61" s="179"/>
    </row>
    <row r="62" spans="1:20">
      <c r="A62" s="508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2">
        <f>'A.1. Plantilla_Subrogacion'!F62</f>
        <v>0</v>
      </c>
      <c r="H62" s="181">
        <f>'A.1.0_TablaAntigüedad_Sub'!O62</f>
        <v>132</v>
      </c>
      <c r="I62" s="183">
        <f>'A.1.0_TablaAntigüedad_Sub'!AC62</f>
        <v>559.83693000000005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8397.5539500000014</v>
      </c>
      <c r="O62" s="183">
        <f>'A.0_Tablas salariales SC'!$K$174</f>
        <v>27024.683718</v>
      </c>
      <c r="P62" s="183">
        <f>(O62+N62)*G62+'A.0_Tablas salariales SC'!$R$192*(100%-G62)</f>
        <v>3605.8081380000003</v>
      </c>
      <c r="Q62" s="184">
        <f>IF(D62=100,'A.0_Tablas salariales SC'!$I$215,IF(D62=150,'A.0_Tablas salariales SC'!$I$216,IF(D62=189,'A.0_Tablas salariales SC'!$I$217,IF(D62=400,'A.0_Tablas salariales SC'!$I$218,IF(D62=450,'A.0_Tablas salariales SC'!$I$219,IF(D62=401,'A.0_Tablas salariales SC'!$I$220,IF(D62=451,'A.0_Tablas salariales SC'!$I$221,'A.0_Tablas salariales SC'!$I$215)))))))</f>
        <v>0.34755000000000003</v>
      </c>
      <c r="R62" s="183">
        <f t="shared" si="1"/>
        <v>1253.1986183619001</v>
      </c>
      <c r="S62" s="183">
        <f t="shared" si="2"/>
        <v>0</v>
      </c>
      <c r="T62" s="179"/>
    </row>
    <row r="63" spans="1:20">
      <c r="A63" s="508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2">
        <f>'A.1. Plantilla_Subrogacion'!F63</f>
        <v>0</v>
      </c>
      <c r="H63" s="181">
        <f>'A.1.0_TablaAntigüedad_Sub'!O63</f>
        <v>132</v>
      </c>
      <c r="I63" s="183">
        <f>'A.1.0_TablaAntigüedad_Sub'!AC63</f>
        <v>559.83693000000005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8397.5539500000014</v>
      </c>
      <c r="O63" s="183">
        <f>'A.0_Tablas salariales SC'!$K$174</f>
        <v>27024.683718</v>
      </c>
      <c r="P63" s="183">
        <f>(O63+N63)*G63+'A.0_Tablas salariales SC'!$R$192*(100%-G63)</f>
        <v>3605.8081380000003</v>
      </c>
      <c r="Q63" s="184">
        <f>IF(D63=100,'A.0_Tablas salariales SC'!$I$215,IF(D63=150,'A.0_Tablas salariales SC'!$I$216,IF(D63=189,'A.0_Tablas salariales SC'!$I$217,IF(D63=400,'A.0_Tablas salariales SC'!$I$218,IF(D63=450,'A.0_Tablas salariales SC'!$I$219,IF(D63=401,'A.0_Tablas salariales SC'!$I$220,IF(D63=451,'A.0_Tablas salariales SC'!$I$221,'A.0_Tablas salariales SC'!$I$215)))))))</f>
        <v>0.34755000000000003</v>
      </c>
      <c r="R63" s="183">
        <f t="shared" si="1"/>
        <v>1253.1986183619001</v>
      </c>
      <c r="S63" s="183">
        <f t="shared" si="2"/>
        <v>0</v>
      </c>
      <c r="T63" s="179"/>
    </row>
    <row r="64" spans="1:20">
      <c r="A64" s="508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2">
        <f>'A.1. Plantilla_Subrogacion'!F64</f>
        <v>0</v>
      </c>
      <c r="H64" s="181">
        <f>'A.1.0_TablaAntigüedad_Sub'!O64</f>
        <v>132</v>
      </c>
      <c r="I64" s="183">
        <f>'A.1.0_TablaAntigüedad_Sub'!AC64</f>
        <v>559.83693000000005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8397.5539500000014</v>
      </c>
      <c r="O64" s="183">
        <f>'A.0_Tablas salariales SC'!$K$174</f>
        <v>27024.683718</v>
      </c>
      <c r="P64" s="183">
        <f>(O64+N64)*G64+'A.0_Tablas salariales SC'!$R$192*(100%-G64)</f>
        <v>3605.8081380000003</v>
      </c>
      <c r="Q64" s="184">
        <f>IF(D64=100,'A.0_Tablas salariales SC'!$I$215,IF(D64=150,'A.0_Tablas salariales SC'!$I$216,IF(D64=189,'A.0_Tablas salariales SC'!$I$217,IF(D64=400,'A.0_Tablas salariales SC'!$I$218,IF(D64=450,'A.0_Tablas salariales SC'!$I$219,IF(D64=401,'A.0_Tablas salariales SC'!$I$220,IF(D64=451,'A.0_Tablas salariales SC'!$I$221,'A.0_Tablas salariales SC'!$I$215)))))))</f>
        <v>0.34755000000000003</v>
      </c>
      <c r="R64" s="183">
        <f t="shared" si="1"/>
        <v>1253.1986183619001</v>
      </c>
      <c r="S64" s="183">
        <f t="shared" si="2"/>
        <v>0</v>
      </c>
      <c r="T64" s="179"/>
    </row>
    <row r="65" spans="1:20">
      <c r="A65" s="508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2">
        <f>'A.1. Plantilla_Subrogacion'!F65</f>
        <v>0</v>
      </c>
      <c r="H65" s="181">
        <f>'A.1.0_TablaAntigüedad_Sub'!O65</f>
        <v>132</v>
      </c>
      <c r="I65" s="183">
        <f>'A.1.0_TablaAntigüedad_Sub'!AC65</f>
        <v>559.83693000000005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8397.5539500000014</v>
      </c>
      <c r="O65" s="183">
        <f>'A.0_Tablas salariales SC'!$K$174</f>
        <v>27024.683718</v>
      </c>
      <c r="P65" s="183">
        <f>(O65+N65)*G65+'A.0_Tablas salariales SC'!$R$192*(100%-G65)</f>
        <v>3605.8081380000003</v>
      </c>
      <c r="Q65" s="184">
        <f>IF(D65=100,'A.0_Tablas salariales SC'!$I$215,IF(D65=150,'A.0_Tablas salariales SC'!$I$216,IF(D65=189,'A.0_Tablas salariales SC'!$I$217,IF(D65=400,'A.0_Tablas salariales SC'!$I$218,IF(D65=450,'A.0_Tablas salariales SC'!$I$219,IF(D65=401,'A.0_Tablas salariales SC'!$I$220,IF(D65=451,'A.0_Tablas salariales SC'!$I$221,'A.0_Tablas salariales SC'!$I$215)))))))</f>
        <v>0.34755000000000003</v>
      </c>
      <c r="R65" s="183">
        <f t="shared" si="1"/>
        <v>1253.1986183619001</v>
      </c>
      <c r="S65" s="183">
        <f t="shared" si="2"/>
        <v>0</v>
      </c>
      <c r="T65" s="179"/>
    </row>
    <row r="66" spans="1:20">
      <c r="A66" s="508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2">
        <f>'A.1. Plantilla_Subrogacion'!F66</f>
        <v>0</v>
      </c>
      <c r="H66" s="181">
        <f>'A.1.0_TablaAntigüedad_Sub'!O66</f>
        <v>132</v>
      </c>
      <c r="I66" s="183">
        <f>'A.1.0_TablaAntigüedad_Sub'!AC66</f>
        <v>559.83693000000005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8397.5539500000014</v>
      </c>
      <c r="O66" s="183">
        <f>'A.0_Tablas salariales SC'!$K$174</f>
        <v>27024.683718</v>
      </c>
      <c r="P66" s="183">
        <f>(O66+N66)*G66+'A.0_Tablas salariales SC'!$R$192*(100%-G66)</f>
        <v>3605.8081380000003</v>
      </c>
      <c r="Q66" s="184">
        <f>IF(D66=100,'A.0_Tablas salariales SC'!$I$215,IF(D66=150,'A.0_Tablas salariales SC'!$I$216,IF(D66=189,'A.0_Tablas salariales SC'!$I$217,IF(D66=400,'A.0_Tablas salariales SC'!$I$218,IF(D66=450,'A.0_Tablas salariales SC'!$I$219,IF(D66=401,'A.0_Tablas salariales SC'!$I$220,IF(D66=451,'A.0_Tablas salariales SC'!$I$221,'A.0_Tablas salariales SC'!$I$215)))))))</f>
        <v>0.34755000000000003</v>
      </c>
      <c r="R66" s="183">
        <f t="shared" si="1"/>
        <v>1253.1986183619001</v>
      </c>
      <c r="S66" s="183">
        <f t="shared" si="2"/>
        <v>0</v>
      </c>
      <c r="T66" s="179"/>
    </row>
    <row r="67" spans="1:20">
      <c r="A67" s="508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2">
        <f>'A.1. Plantilla_Subrogacion'!F67</f>
        <v>0</v>
      </c>
      <c r="H67" s="181">
        <f>'A.1.0_TablaAntigüedad_Sub'!O67</f>
        <v>132</v>
      </c>
      <c r="I67" s="183">
        <f>'A.1.0_TablaAntigüedad_Sub'!AC67</f>
        <v>559.83693000000005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8397.5539500000014</v>
      </c>
      <c r="O67" s="183">
        <f>'A.0_Tablas salariales SC'!$K$174</f>
        <v>27024.683718</v>
      </c>
      <c r="P67" s="183">
        <f>(O67+N67)*G67+'A.0_Tablas salariales SC'!$R$192*(100%-G67)</f>
        <v>3605.8081380000003</v>
      </c>
      <c r="Q67" s="184">
        <f>IF(D67=100,'A.0_Tablas salariales SC'!$I$215,IF(D67=150,'A.0_Tablas salariales SC'!$I$216,IF(D67=189,'A.0_Tablas salariales SC'!$I$217,IF(D67=400,'A.0_Tablas salariales SC'!$I$218,IF(D67=450,'A.0_Tablas salariales SC'!$I$219,IF(D67=401,'A.0_Tablas salariales SC'!$I$220,IF(D67=451,'A.0_Tablas salariales SC'!$I$221,'A.0_Tablas salariales SC'!$I$215)))))))</f>
        <v>0.34755000000000003</v>
      </c>
      <c r="R67" s="183">
        <f t="shared" si="1"/>
        <v>1253.1986183619001</v>
      </c>
      <c r="S67" s="183">
        <f t="shared" si="2"/>
        <v>0</v>
      </c>
      <c r="T67" s="179"/>
    </row>
    <row r="68" spans="1:20">
      <c r="A68" s="508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2">
        <f>'A.1. Plantilla_Subrogacion'!F68</f>
        <v>0</v>
      </c>
      <c r="H68" s="181">
        <f>'A.1.0_TablaAntigüedad_Sub'!O68</f>
        <v>132</v>
      </c>
      <c r="I68" s="183">
        <f>'A.1.0_TablaAntigüedad_Sub'!AC68</f>
        <v>559.83693000000005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8397.5539500000014</v>
      </c>
      <c r="O68" s="183">
        <f>'A.0_Tablas salariales SC'!$K$174</f>
        <v>27024.683718</v>
      </c>
      <c r="P68" s="183">
        <f>(O68+N68)*G68+'A.0_Tablas salariales SC'!$R$192*(100%-G68)</f>
        <v>3605.8081380000003</v>
      </c>
      <c r="Q68" s="184">
        <f>IF(D68=100,'A.0_Tablas salariales SC'!$I$215,IF(D68=150,'A.0_Tablas salariales SC'!$I$216,IF(D68=189,'A.0_Tablas salariales SC'!$I$217,IF(D68=400,'A.0_Tablas salariales SC'!$I$218,IF(D68=450,'A.0_Tablas salariales SC'!$I$219,IF(D68=401,'A.0_Tablas salariales SC'!$I$220,IF(D68=451,'A.0_Tablas salariales SC'!$I$221,'A.0_Tablas salariales SC'!$I$215)))))))</f>
        <v>0.34755000000000003</v>
      </c>
      <c r="R68" s="183">
        <f t="shared" si="1"/>
        <v>1253.1986183619001</v>
      </c>
      <c r="S68" s="183">
        <f t="shared" si="2"/>
        <v>0</v>
      </c>
      <c r="T68" s="179"/>
    </row>
    <row r="69" spans="1:20">
      <c r="A69" s="508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2">
        <f>'A.1. Plantilla_Subrogacion'!F69</f>
        <v>0</v>
      </c>
      <c r="H69" s="181">
        <f>'A.1.0_TablaAntigüedad_Sub'!O69</f>
        <v>132</v>
      </c>
      <c r="I69" s="183">
        <f>'A.1.0_TablaAntigüedad_Sub'!AC69</f>
        <v>559.83693000000005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8397.5539500000014</v>
      </c>
      <c r="O69" s="183">
        <f>'A.0_Tablas salariales SC'!$K$174</f>
        <v>27024.683718</v>
      </c>
      <c r="P69" s="183">
        <f>(O69+N69)*G69+'A.0_Tablas salariales SC'!$R$192*(100%-G69)</f>
        <v>3605.8081380000003</v>
      </c>
      <c r="Q69" s="184">
        <f>IF(D69=100,'A.0_Tablas salariales SC'!$I$215,IF(D69=150,'A.0_Tablas salariales SC'!$I$216,IF(D69=189,'A.0_Tablas salariales SC'!$I$217,IF(D69=400,'A.0_Tablas salariales SC'!$I$218,IF(D69=450,'A.0_Tablas salariales SC'!$I$219,IF(D69=401,'A.0_Tablas salariales SC'!$I$220,IF(D69=451,'A.0_Tablas salariales SC'!$I$221,'A.0_Tablas salariales SC'!$I$215)))))))</f>
        <v>0.34755000000000003</v>
      </c>
      <c r="R69" s="183">
        <f t="shared" ref="R69:R84" si="5">Q69*P69</f>
        <v>1253.1986183619001</v>
      </c>
      <c r="S69" s="183">
        <f t="shared" ref="S69:S84" si="6">(R69+P69)*A69</f>
        <v>0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'A.1.0_TablaAntigüedad_Sub'!O70</f>
        <v>132</v>
      </c>
      <c r="I70" s="183">
        <f>'A.1.0_TablaAntigüedad_Sub'!AC70</f>
        <v>559.83693000000005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8397.5539500000014</v>
      </c>
      <c r="O70" s="183">
        <f>'A.0_Tablas salariales SC'!$K$174</f>
        <v>27024.683718</v>
      </c>
      <c r="P70" s="183">
        <f>(O70+N70)*G70+'A.0_Tablas salariales SC'!$R$192*(100%-G70)</f>
        <v>3605.8081380000003</v>
      </c>
      <c r="Q70" s="184">
        <f>IF(D70=100,'A.0_Tablas salariales SC'!$I$215,IF(D70=150,'A.0_Tablas salariales SC'!$I$216,IF(D70=189,'A.0_Tablas salariales SC'!$I$217,IF(D70=400,'A.0_Tablas salariales SC'!$I$218,IF(D70=450,'A.0_Tablas salariales SC'!$I$219,IF(D70=401,'A.0_Tablas salariales SC'!$I$220,IF(D70=451,'A.0_Tablas salariales SC'!$I$221,'A.0_Tablas salariales SC'!$I$215)))))))</f>
        <v>0.34755000000000003</v>
      </c>
      <c r="R70" s="183">
        <f t="shared" si="5"/>
        <v>1253.1986183619001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'A.1.0_TablaAntigüedad_Sub'!O71</f>
        <v>132</v>
      </c>
      <c r="I71" s="183">
        <f>'A.1.0_TablaAntigüedad_Sub'!AC71</f>
        <v>559.83693000000005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8397.5539500000014</v>
      </c>
      <c r="O71" s="183">
        <f>'A.0_Tablas salariales SC'!$K$174</f>
        <v>27024.683718</v>
      </c>
      <c r="P71" s="183">
        <f>(O71+N71)*G71+'A.0_Tablas salariales SC'!$R$192*(100%-G71)</f>
        <v>3605.8081380000003</v>
      </c>
      <c r="Q71" s="184">
        <f>IF(D71=100,'A.0_Tablas salariales SC'!$I$215,IF(D71=150,'A.0_Tablas salariales SC'!$I$216,IF(D71=189,'A.0_Tablas salariales SC'!$I$217,IF(D71=400,'A.0_Tablas salariales SC'!$I$218,IF(D71=450,'A.0_Tablas salariales SC'!$I$219,IF(D71=401,'A.0_Tablas salariales SC'!$I$220,IF(D71=451,'A.0_Tablas salariales SC'!$I$221,'A.0_Tablas salariales SC'!$I$215)))))))</f>
        <v>0.34755000000000003</v>
      </c>
      <c r="R71" s="183">
        <f t="shared" si="5"/>
        <v>1253.1986183619001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'A.1.0_TablaAntigüedad_Sub'!O72</f>
        <v>132</v>
      </c>
      <c r="I72" s="183">
        <f>'A.1.0_TablaAntigüedad_Sub'!AC72</f>
        <v>559.83693000000005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8397.5539500000014</v>
      </c>
      <c r="O72" s="183">
        <f>'A.0_Tablas salariales SC'!$K$174</f>
        <v>27024.683718</v>
      </c>
      <c r="P72" s="183">
        <f>(O72+N72)*G72+'A.0_Tablas salariales SC'!$R$192*(100%-G72)</f>
        <v>3605.8081380000003</v>
      </c>
      <c r="Q72" s="184">
        <f>IF(D72=100,'A.0_Tablas salariales SC'!$I$215,IF(D72=150,'A.0_Tablas salariales SC'!$I$216,IF(D72=189,'A.0_Tablas salariales SC'!$I$217,IF(D72=400,'A.0_Tablas salariales SC'!$I$218,IF(D72=450,'A.0_Tablas salariales SC'!$I$219,IF(D72=401,'A.0_Tablas salariales SC'!$I$220,IF(D72=451,'A.0_Tablas salariales SC'!$I$221,'A.0_Tablas salariales SC'!$I$215)))))))</f>
        <v>0.34755000000000003</v>
      </c>
      <c r="R72" s="183">
        <f t="shared" si="5"/>
        <v>1253.1986183619001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'A.1.0_TablaAntigüedad_Sub'!O73</f>
        <v>132</v>
      </c>
      <c r="I73" s="183">
        <f>'A.1.0_TablaAntigüedad_Sub'!AC73</f>
        <v>559.83693000000005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8397.5539500000014</v>
      </c>
      <c r="O73" s="183">
        <f>'A.0_Tablas salariales SC'!$K$174</f>
        <v>27024.683718</v>
      </c>
      <c r="P73" s="183">
        <f>(O73+N73)*G73+'A.0_Tablas salariales SC'!$R$192*(100%-G73)</f>
        <v>3605.8081380000003</v>
      </c>
      <c r="Q73" s="184">
        <f>IF(D73=100,'A.0_Tablas salariales SC'!$I$215,IF(D73=150,'A.0_Tablas salariales SC'!$I$216,IF(D73=189,'A.0_Tablas salariales SC'!$I$217,IF(D73=400,'A.0_Tablas salariales SC'!$I$218,IF(D73=450,'A.0_Tablas salariales SC'!$I$219,IF(D73=401,'A.0_Tablas salariales SC'!$I$220,IF(D73=451,'A.0_Tablas salariales SC'!$I$221,'A.0_Tablas salariales SC'!$I$215)))))))</f>
        <v>0.34755000000000003</v>
      </c>
      <c r="R73" s="183">
        <f t="shared" si="5"/>
        <v>1253.1986183619001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'A.1.0_TablaAntigüedad_Sub'!O74</f>
        <v>132</v>
      </c>
      <c r="I74" s="183">
        <f>'A.1.0_TablaAntigüedad_Sub'!AC74</f>
        <v>559.83693000000005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8397.5539500000014</v>
      </c>
      <c r="O74" s="183">
        <f>'A.0_Tablas salariales SC'!$K$174</f>
        <v>27024.683718</v>
      </c>
      <c r="P74" s="183">
        <f>(O74+N74)*G74+'A.0_Tablas salariales SC'!$R$192*(100%-G74)</f>
        <v>3605.8081380000003</v>
      </c>
      <c r="Q74" s="184">
        <f>IF(D74=100,'A.0_Tablas salariales SC'!$I$215,IF(D74=150,'A.0_Tablas salariales SC'!$I$216,IF(D74=189,'A.0_Tablas salariales SC'!$I$217,IF(D74=400,'A.0_Tablas salariales SC'!$I$218,IF(D74=450,'A.0_Tablas salariales SC'!$I$219,IF(D74=401,'A.0_Tablas salariales SC'!$I$220,IF(D74=451,'A.0_Tablas salariales SC'!$I$221,'A.0_Tablas salariales SC'!$I$215)))))))</f>
        <v>0.34755000000000003</v>
      </c>
      <c r="R74" s="183">
        <f t="shared" si="5"/>
        <v>1253.1986183619001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'A.1.0_TablaAntigüedad_Sub'!O75</f>
        <v>132</v>
      </c>
      <c r="I75" s="183">
        <f>'A.1.0_TablaAntigüedad_Sub'!AC75</f>
        <v>559.83693000000005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8397.5539500000014</v>
      </c>
      <c r="O75" s="183">
        <f>'A.0_Tablas salariales SC'!$K$174</f>
        <v>27024.683718</v>
      </c>
      <c r="P75" s="183">
        <f>(O75+N75)*G75+'A.0_Tablas salariales SC'!$R$192*(100%-G75)</f>
        <v>3605.8081380000003</v>
      </c>
      <c r="Q75" s="184">
        <f>IF(D75=100,'A.0_Tablas salariales SC'!$I$215,IF(D75=150,'A.0_Tablas salariales SC'!$I$216,IF(D75=189,'A.0_Tablas salariales SC'!$I$217,IF(D75=400,'A.0_Tablas salariales SC'!$I$218,IF(D75=450,'A.0_Tablas salariales SC'!$I$219,IF(D75=401,'A.0_Tablas salariales SC'!$I$220,IF(D75=451,'A.0_Tablas salariales SC'!$I$221,'A.0_Tablas salariales SC'!$I$215)))))))</f>
        <v>0.34755000000000003</v>
      </c>
      <c r="R75" s="183">
        <f t="shared" si="5"/>
        <v>1253.1986183619001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'A.1.0_TablaAntigüedad_Sub'!O76</f>
        <v>132</v>
      </c>
      <c r="I76" s="183">
        <f>'A.1.0_TablaAntigüedad_Sub'!AC76</f>
        <v>559.83693000000005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8397.5539500000014</v>
      </c>
      <c r="O76" s="183">
        <f>'A.0_Tablas salariales SC'!$K$174</f>
        <v>27024.683718</v>
      </c>
      <c r="P76" s="183">
        <f>(O76+N76)*G76+'A.0_Tablas salariales SC'!$R$192*(100%-G76)</f>
        <v>3605.8081380000003</v>
      </c>
      <c r="Q76" s="184">
        <f>IF(D76=100,'A.0_Tablas salariales SC'!$I$215,IF(D76=150,'A.0_Tablas salariales SC'!$I$216,IF(D76=189,'A.0_Tablas salariales SC'!$I$217,IF(D76=400,'A.0_Tablas salariales SC'!$I$218,IF(D76=450,'A.0_Tablas salariales SC'!$I$219,IF(D76=401,'A.0_Tablas salariales SC'!$I$220,IF(D76=451,'A.0_Tablas salariales SC'!$I$221,'A.0_Tablas salariales SC'!$I$215)))))))</f>
        <v>0.34755000000000003</v>
      </c>
      <c r="R76" s="183">
        <f t="shared" si="5"/>
        <v>1253.1986183619001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'A.1.0_TablaAntigüedad_Sub'!O77</f>
        <v>132</v>
      </c>
      <c r="I77" s="183">
        <f>'A.1.0_TablaAntigüedad_Sub'!AC77</f>
        <v>559.83693000000005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8397.5539500000014</v>
      </c>
      <c r="O77" s="183">
        <f>'A.0_Tablas salariales SC'!$K$174</f>
        <v>27024.683718</v>
      </c>
      <c r="P77" s="183">
        <f>(O77+N77)*G77+'A.0_Tablas salariales SC'!$R$192*(100%-G77)</f>
        <v>3605.8081380000003</v>
      </c>
      <c r="Q77" s="184">
        <f>IF(D77=100,'A.0_Tablas salariales SC'!$I$215,IF(D77=150,'A.0_Tablas salariales SC'!$I$216,IF(D77=189,'A.0_Tablas salariales SC'!$I$217,IF(D77=400,'A.0_Tablas salariales SC'!$I$218,IF(D77=450,'A.0_Tablas salariales SC'!$I$219,IF(D77=401,'A.0_Tablas salariales SC'!$I$220,IF(D77=451,'A.0_Tablas salariales SC'!$I$221,'A.0_Tablas salariales SC'!$I$215)))))))</f>
        <v>0.34755000000000003</v>
      </c>
      <c r="R77" s="183">
        <f t="shared" si="5"/>
        <v>1253.1986183619001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'A.1.0_TablaAntigüedad_Sub'!O78</f>
        <v>132</v>
      </c>
      <c r="I78" s="183">
        <f>'A.1.0_TablaAntigüedad_Sub'!AC78</f>
        <v>559.83693000000005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8397.5539500000014</v>
      </c>
      <c r="O78" s="183">
        <f>'A.0_Tablas salariales SC'!$K$174</f>
        <v>27024.683718</v>
      </c>
      <c r="P78" s="183">
        <f>(O78+N78)*G78+'A.0_Tablas salariales SC'!$R$192*(100%-G78)</f>
        <v>3605.8081380000003</v>
      </c>
      <c r="Q78" s="184">
        <f>IF(D78=100,'A.0_Tablas salariales SC'!$I$215,IF(D78=150,'A.0_Tablas salariales SC'!$I$216,IF(D78=189,'A.0_Tablas salariales SC'!$I$217,IF(D78=400,'A.0_Tablas salariales SC'!$I$218,IF(D78=450,'A.0_Tablas salariales SC'!$I$219,IF(D78=401,'A.0_Tablas salariales SC'!$I$220,IF(D78=451,'A.0_Tablas salariales SC'!$I$221,'A.0_Tablas salariales SC'!$I$215)))))))</f>
        <v>0.34755000000000003</v>
      </c>
      <c r="R78" s="183">
        <f t="shared" si="5"/>
        <v>1253.1986183619001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'A.1.0_TablaAntigüedad_Sub'!O79</f>
        <v>132</v>
      </c>
      <c r="I79" s="183">
        <f>'A.1.0_TablaAntigüedad_Sub'!AC79</f>
        <v>559.83693000000005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8397.5539500000014</v>
      </c>
      <c r="O79" s="183">
        <f>'A.0_Tablas salariales SC'!$K$174</f>
        <v>27024.683718</v>
      </c>
      <c r="P79" s="183">
        <f>(O79+N79)*G79+'A.0_Tablas salariales SC'!$R$192*(100%-G79)</f>
        <v>3605.8081380000003</v>
      </c>
      <c r="Q79" s="184">
        <f>IF(D79=100,'A.0_Tablas salariales SC'!$I$215,IF(D79=150,'A.0_Tablas salariales SC'!$I$216,IF(D79=189,'A.0_Tablas salariales SC'!$I$217,IF(D79=400,'A.0_Tablas salariales SC'!$I$218,IF(D79=450,'A.0_Tablas salariales SC'!$I$219,IF(D79=401,'A.0_Tablas salariales SC'!$I$220,IF(D79=451,'A.0_Tablas salariales SC'!$I$221,'A.0_Tablas salariales SC'!$I$215)))))))</f>
        <v>0.34755000000000003</v>
      </c>
      <c r="R79" s="183">
        <f t="shared" si="5"/>
        <v>1253.1986183619001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'A.1.0_TablaAntigüedad_Sub'!O80</f>
        <v>132</v>
      </c>
      <c r="I80" s="183">
        <f>'A.1.0_TablaAntigüedad_Sub'!AC80</f>
        <v>559.83693000000005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8397.5539500000014</v>
      </c>
      <c r="O80" s="183">
        <f>'A.0_Tablas salariales SC'!$K$174</f>
        <v>27024.683718</v>
      </c>
      <c r="P80" s="183">
        <f>(O80+N80)*G80+'A.0_Tablas salariales SC'!$R$192*(100%-G80)</f>
        <v>3605.8081380000003</v>
      </c>
      <c r="Q80" s="184">
        <f>IF(D80=100,'A.0_Tablas salariales SC'!$I$215,IF(D80=150,'A.0_Tablas salariales SC'!$I$216,IF(D80=189,'A.0_Tablas salariales SC'!$I$217,IF(D80=400,'A.0_Tablas salariales SC'!$I$218,IF(D80=450,'A.0_Tablas salariales SC'!$I$219,IF(D80=401,'A.0_Tablas salariales SC'!$I$220,IF(D80=451,'A.0_Tablas salariales SC'!$I$221,'A.0_Tablas salariales SC'!$I$215)))))))</f>
        <v>0.34755000000000003</v>
      </c>
      <c r="R80" s="183">
        <f t="shared" si="5"/>
        <v>1253.1986183619001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'A.1.0_TablaAntigüedad_Sub'!O81</f>
        <v>132</v>
      </c>
      <c r="I81" s="183">
        <f>'A.1.0_TablaAntigüedad_Sub'!AC81</f>
        <v>559.83693000000005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8397.5539500000014</v>
      </c>
      <c r="O81" s="183">
        <f>'A.0_Tablas salariales SC'!$K$174</f>
        <v>27024.683718</v>
      </c>
      <c r="P81" s="183">
        <f>(O81+N81)*G81+'A.0_Tablas salariales SC'!$R$192*(100%-G81)</f>
        <v>3605.8081380000003</v>
      </c>
      <c r="Q81" s="184">
        <f>IF(D81=100,'A.0_Tablas salariales SC'!$I$215,IF(D81=150,'A.0_Tablas salariales SC'!$I$216,IF(D81=189,'A.0_Tablas salariales SC'!$I$217,IF(D81=400,'A.0_Tablas salariales SC'!$I$218,IF(D81=450,'A.0_Tablas salariales SC'!$I$219,IF(D81=401,'A.0_Tablas salariales SC'!$I$220,IF(D81=451,'A.0_Tablas salariales SC'!$I$221,'A.0_Tablas salariales SC'!$I$215)))))))</f>
        <v>0.34755000000000003</v>
      </c>
      <c r="R81" s="183">
        <f t="shared" si="5"/>
        <v>1253.1986183619001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'A.1.0_TablaAntigüedad_Sub'!O82</f>
        <v>132</v>
      </c>
      <c r="I82" s="183">
        <f>'A.1.0_TablaAntigüedad_Sub'!AC82</f>
        <v>559.83693000000005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8397.5539500000014</v>
      </c>
      <c r="O82" s="183">
        <f>'A.0_Tablas salariales SC'!$K$174</f>
        <v>27024.683718</v>
      </c>
      <c r="P82" s="183">
        <f>(O82+N82)*G82+'A.0_Tablas salariales SC'!$R$192*(100%-G82)</f>
        <v>3605.8081380000003</v>
      </c>
      <c r="Q82" s="184">
        <f>IF(D82=100,'A.0_Tablas salariales SC'!$I$215,IF(D82=150,'A.0_Tablas salariales SC'!$I$216,IF(D82=189,'A.0_Tablas salariales SC'!$I$217,IF(D82=400,'A.0_Tablas salariales SC'!$I$218,IF(D82=450,'A.0_Tablas salariales SC'!$I$219,IF(D82=401,'A.0_Tablas salariales SC'!$I$220,IF(D82=451,'A.0_Tablas salariales SC'!$I$221,'A.0_Tablas salariales SC'!$I$215)))))))</f>
        <v>0.34755000000000003</v>
      </c>
      <c r="R82" s="183">
        <f t="shared" si="5"/>
        <v>1253.1986183619001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'A.1.0_TablaAntigüedad_Sub'!O83</f>
        <v>132</v>
      </c>
      <c r="I83" s="183">
        <f>'A.1.0_TablaAntigüedad_Sub'!AC83</f>
        <v>559.83693000000005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8397.5539500000014</v>
      </c>
      <c r="O83" s="183">
        <f>'A.0_Tablas salariales SC'!$K$174</f>
        <v>27024.683718</v>
      </c>
      <c r="P83" s="183">
        <f>(O83+N83)*G83+'A.0_Tablas salariales SC'!$R$192*(100%-G83)</f>
        <v>3605.8081380000003</v>
      </c>
      <c r="Q83" s="184">
        <f>IF(D83=100,'A.0_Tablas salariales SC'!$I$215,IF(D83=150,'A.0_Tablas salariales SC'!$I$216,IF(D83=189,'A.0_Tablas salariales SC'!$I$217,IF(D83=400,'A.0_Tablas salariales SC'!$I$218,IF(D83=450,'A.0_Tablas salariales SC'!$I$219,IF(D83=401,'A.0_Tablas salariales SC'!$I$220,IF(D83=451,'A.0_Tablas salariales SC'!$I$221,'A.0_Tablas salariales SC'!$I$215)))))))</f>
        <v>0.34755000000000003</v>
      </c>
      <c r="R83" s="183">
        <f t="shared" si="5"/>
        <v>1253.1986183619001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'A.1.0_TablaAntigüedad_Sub'!O84</f>
        <v>132</v>
      </c>
      <c r="I84" s="183">
        <f>'A.1.0_TablaAntigüedad_Sub'!AC84</f>
        <v>559.83693000000005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8397.5539500000014</v>
      </c>
      <c r="O84" s="183">
        <f>'A.0_Tablas salariales SC'!$K$174</f>
        <v>27024.683718</v>
      </c>
      <c r="P84" s="183">
        <f>(O84+N84)*G84+'A.0_Tablas salariales SC'!$R$192*(100%-G84)</f>
        <v>3605.8081380000003</v>
      </c>
      <c r="Q84" s="184">
        <f>IF(D84=100,'A.0_Tablas salariales SC'!$I$215,IF(D84=150,'A.0_Tablas salariales SC'!$I$216,IF(D84=189,'A.0_Tablas salariales SC'!$I$217,IF(D84=400,'A.0_Tablas salariales SC'!$I$218,IF(D84=450,'A.0_Tablas salariales SC'!$I$219,IF(D84=401,'A.0_Tablas salariales SC'!$I$220,IF(D84=451,'A.0_Tablas salariales SC'!$I$221,'A.0_Tablas salariales SC'!$I$215)))))))</f>
        <v>0.34755000000000003</v>
      </c>
      <c r="R84" s="183">
        <f t="shared" si="5"/>
        <v>1253.1986183619001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'A.1.0_TablaAntigüedad_Sub'!O85</f>
        <v>132</v>
      </c>
      <c r="I85" s="183">
        <f>'A.1.0_TablaAntigüedad_Sub'!AC85</f>
        <v>559.83693000000005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8397.5539500000014</v>
      </c>
      <c r="O85" s="183">
        <f>'A.0_Tablas salariales SC'!$K$174</f>
        <v>27024.683718</v>
      </c>
      <c r="P85" s="183">
        <f>(O85+N85)*G85+'A.0_Tablas salariales SC'!$R$192*(100%-G85)</f>
        <v>3605.8081380000003</v>
      </c>
      <c r="Q85" s="184">
        <f>IF(D85=100,'A.0_Tablas salariales SC'!$I$215,IF(D85=150,'A.0_Tablas salariales SC'!$I$216,IF(D85=189,'A.0_Tablas salariales SC'!$I$217,IF(D85=400,'A.0_Tablas salariales SC'!$I$218,IF(D85=450,'A.0_Tablas salariales SC'!$I$219,IF(D85=401,'A.0_Tablas salariales SC'!$I$220,IF(D85=451,'A.0_Tablas salariales SC'!$I$221,'A.0_Tablas salariales SC'!$I$215)))))))</f>
        <v>0.34755000000000003</v>
      </c>
      <c r="R85" s="183">
        <f t="shared" si="1"/>
        <v>1253.1986183619001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0</v>
      </c>
    </row>
    <row r="87" spans="1:20">
      <c r="A87" s="508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2">
        <f>'A.1. Plantilla_Subrogacion'!F87</f>
        <v>0</v>
      </c>
      <c r="H87" s="181">
        <f>'A.1.0_TablaAntigüedad_Sub'!O87</f>
        <v>132</v>
      </c>
      <c r="I87" s="183">
        <f>'A.1.0_TablaAntigüedad_Sub'!AC87</f>
        <v>559.83693000000005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8397.5539500000014</v>
      </c>
      <c r="O87" s="183">
        <f>'A.0_Tablas salariales SC'!$K$177</f>
        <v>28026.279407999995</v>
      </c>
      <c r="P87" s="183">
        <f>(O87+N87)*G87+'A.0_Tablas salariales SC'!$R$192*(100%-G87)</f>
        <v>3605.8081380000003</v>
      </c>
      <c r="Q87" s="184">
        <f>IF(D87=100,'A.0_Tablas salariales SC'!$I$215,IF(D87=150,'A.0_Tablas salariales SC'!$I$216,IF(D87=189,'A.0_Tablas salariales SC'!$I$217,IF(D87=400,'A.0_Tablas salariales SC'!$I$218,IF(D87=450,'A.0_Tablas salariales SC'!$I$219,IF(D87=401,'A.0_Tablas salariales SC'!$I$220,IF(D87=451,'A.0_Tablas salariales SC'!$I$221,'A.0_Tablas salariales SC'!$I$215)))))))</f>
        <v>0.34755000000000003</v>
      </c>
      <c r="R87" s="183">
        <f t="shared" si="1"/>
        <v>1253.1986183619001</v>
      </c>
      <c r="S87" s="183">
        <f t="shared" si="2"/>
        <v>0</v>
      </c>
      <c r="T87" s="179"/>
    </row>
    <row r="88" spans="1:20">
      <c r="A88" s="508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2">
        <f>'A.1. Plantilla_Subrogacion'!F88</f>
        <v>0</v>
      </c>
      <c r="H88" s="181">
        <f>'A.1.0_TablaAntigüedad_Sub'!O88</f>
        <v>132</v>
      </c>
      <c r="I88" s="183">
        <f>'A.1.0_TablaAntigüedad_Sub'!AC88</f>
        <v>559.83693000000005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8397.5539500000014</v>
      </c>
      <c r="O88" s="183">
        <f>'A.0_Tablas salariales SC'!$K$177</f>
        <v>28026.279407999995</v>
      </c>
      <c r="P88" s="183">
        <f>(O88+N88)*G88+'A.0_Tablas salariales SC'!$R$192*(100%-G88)</f>
        <v>3605.8081380000003</v>
      </c>
      <c r="Q88" s="184">
        <f>IF(D88=100,'A.0_Tablas salariales SC'!$I$215,IF(D88=150,'A.0_Tablas salariales SC'!$I$216,IF(D88=189,'A.0_Tablas salariales SC'!$I$217,IF(D88=400,'A.0_Tablas salariales SC'!$I$218,IF(D88=450,'A.0_Tablas salariales SC'!$I$219,IF(D88=401,'A.0_Tablas salariales SC'!$I$220,IF(D88=451,'A.0_Tablas salariales SC'!$I$221,'A.0_Tablas salariales SC'!$I$215)))))))</f>
        <v>0.34755000000000003</v>
      </c>
      <c r="R88" s="183">
        <f t="shared" si="1"/>
        <v>1253.1986183619001</v>
      </c>
      <c r="S88" s="183">
        <f t="shared" si="2"/>
        <v>0</v>
      </c>
      <c r="T88" s="179"/>
    </row>
    <row r="89" spans="1:20">
      <c r="A89" s="508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2">
        <f>'A.1. Plantilla_Subrogacion'!F89</f>
        <v>0</v>
      </c>
      <c r="H89" s="181">
        <f>'A.1.0_TablaAntigüedad_Sub'!O89</f>
        <v>132</v>
      </c>
      <c r="I89" s="183">
        <f>'A.1.0_TablaAntigüedad_Sub'!AC89</f>
        <v>559.83693000000005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8397.5539500000014</v>
      </c>
      <c r="O89" s="183">
        <f>'A.0_Tablas salariales SC'!$K$177</f>
        <v>28026.279407999995</v>
      </c>
      <c r="P89" s="183">
        <f>(O89+N89)*G89+'A.0_Tablas salariales SC'!$R$192*(100%-G89)</f>
        <v>3605.8081380000003</v>
      </c>
      <c r="Q89" s="184">
        <f>IF(D89=100,'A.0_Tablas salariales SC'!$I$215,IF(D89=150,'A.0_Tablas salariales SC'!$I$216,IF(D89=189,'A.0_Tablas salariales SC'!$I$217,IF(D89=400,'A.0_Tablas salariales SC'!$I$218,IF(D89=450,'A.0_Tablas salariales SC'!$I$219,IF(D89=401,'A.0_Tablas salariales SC'!$I$220,IF(D89=451,'A.0_Tablas salariales SC'!$I$221,'A.0_Tablas salariales SC'!$I$215)))))))</f>
        <v>0.34755000000000003</v>
      </c>
      <c r="R89" s="183">
        <f t="shared" si="1"/>
        <v>1253.1986183619001</v>
      </c>
      <c r="S89" s="183">
        <f t="shared" si="2"/>
        <v>0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'A.1.0_TablaAntigüedad_Sub'!O90</f>
        <v>132</v>
      </c>
      <c r="I90" s="183">
        <f>'A.1.0_TablaAntigüedad_Sub'!AC90</f>
        <v>559.83693000000005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8397.5539500000014</v>
      </c>
      <c r="O90" s="183">
        <f>'A.0_Tablas salariales SC'!$K$177</f>
        <v>28026.279407999995</v>
      </c>
      <c r="P90" s="183">
        <f>(O90+N90)*G90+'A.0_Tablas salariales SC'!$R$192*(100%-G90)</f>
        <v>3605.8081380000003</v>
      </c>
      <c r="Q90" s="184">
        <f>IF(D90=100,'A.0_Tablas salariales SC'!$I$215,IF(D90=150,'A.0_Tablas salariales SC'!$I$216,IF(D90=189,'A.0_Tablas salariales SC'!$I$217,IF(D90=400,'A.0_Tablas salariales SC'!$I$218,IF(D90=450,'A.0_Tablas salariales SC'!$I$219,IF(D90=401,'A.0_Tablas salariales SC'!$I$220,IF(D90=451,'A.0_Tablas salariales SC'!$I$221,'A.0_Tablas salariales SC'!$I$215)))))))</f>
        <v>0.34755000000000003</v>
      </c>
      <c r="R90" s="183">
        <f t="shared" ref="R90:R112" si="8">Q90*P90</f>
        <v>1253.1986183619001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'A.1.0_TablaAntigüedad_Sub'!O91</f>
        <v>132</v>
      </c>
      <c r="I91" s="183">
        <f>'A.1.0_TablaAntigüedad_Sub'!AC91</f>
        <v>559.83693000000005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8397.5539500000014</v>
      </c>
      <c r="O91" s="183">
        <f>'A.0_Tablas salariales SC'!$K$177</f>
        <v>28026.279407999995</v>
      </c>
      <c r="P91" s="183">
        <f>(O91+N91)*G91+'A.0_Tablas salariales SC'!$R$192*(100%-G91)</f>
        <v>3605.8081380000003</v>
      </c>
      <c r="Q91" s="184">
        <f>IF(D91=100,'A.0_Tablas salariales SC'!$I$215,IF(D91=150,'A.0_Tablas salariales SC'!$I$216,IF(D91=189,'A.0_Tablas salariales SC'!$I$217,IF(D91=400,'A.0_Tablas salariales SC'!$I$218,IF(D91=450,'A.0_Tablas salariales SC'!$I$219,IF(D91=401,'A.0_Tablas salariales SC'!$I$220,IF(D91=451,'A.0_Tablas salariales SC'!$I$221,'A.0_Tablas salariales SC'!$I$215)))))))</f>
        <v>0.34755000000000003</v>
      </c>
      <c r="R91" s="183">
        <f t="shared" si="8"/>
        <v>1253.1986183619001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'A.1.0_TablaAntigüedad_Sub'!O92</f>
        <v>132</v>
      </c>
      <c r="I92" s="183">
        <f>'A.1.0_TablaAntigüedad_Sub'!AC92</f>
        <v>559.83693000000005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8397.5539500000014</v>
      </c>
      <c r="O92" s="183">
        <f>'A.0_Tablas salariales SC'!$K$177</f>
        <v>28026.279407999995</v>
      </c>
      <c r="P92" s="183">
        <f>(O92+N92)*G92+'A.0_Tablas salariales SC'!$R$192*(100%-G92)</f>
        <v>3605.8081380000003</v>
      </c>
      <c r="Q92" s="184">
        <f>IF(D92=100,'A.0_Tablas salariales SC'!$I$215,IF(D92=150,'A.0_Tablas salariales SC'!$I$216,IF(D92=189,'A.0_Tablas salariales SC'!$I$217,IF(D92=400,'A.0_Tablas salariales SC'!$I$218,IF(D92=450,'A.0_Tablas salariales SC'!$I$219,IF(D92=401,'A.0_Tablas salariales SC'!$I$220,IF(D92=451,'A.0_Tablas salariales SC'!$I$221,'A.0_Tablas salariales SC'!$I$215)))))))</f>
        <v>0.34755000000000003</v>
      </c>
      <c r="R92" s="183">
        <f t="shared" si="8"/>
        <v>1253.1986183619001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'A.1.0_TablaAntigüedad_Sub'!O93</f>
        <v>132</v>
      </c>
      <c r="I93" s="183">
        <f>'A.1.0_TablaAntigüedad_Sub'!AC93</f>
        <v>559.83693000000005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8397.5539500000014</v>
      </c>
      <c r="O93" s="183">
        <f>'A.0_Tablas salariales SC'!$K$177</f>
        <v>28026.279407999995</v>
      </c>
      <c r="P93" s="183">
        <f>(O93+N93)*G93+'A.0_Tablas salariales SC'!$R$192*(100%-G93)</f>
        <v>3605.8081380000003</v>
      </c>
      <c r="Q93" s="184">
        <f>IF(D93=100,'A.0_Tablas salariales SC'!$I$215,IF(D93=150,'A.0_Tablas salariales SC'!$I$216,IF(D93=189,'A.0_Tablas salariales SC'!$I$217,IF(D93=400,'A.0_Tablas salariales SC'!$I$218,IF(D93=450,'A.0_Tablas salariales SC'!$I$219,IF(D93=401,'A.0_Tablas salariales SC'!$I$220,IF(D93=451,'A.0_Tablas salariales SC'!$I$221,'A.0_Tablas salariales SC'!$I$215)))))))</f>
        <v>0.34755000000000003</v>
      </c>
      <c r="R93" s="183">
        <f t="shared" si="8"/>
        <v>1253.1986183619001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'A.1.0_TablaAntigüedad_Sub'!O94</f>
        <v>132</v>
      </c>
      <c r="I94" s="183">
        <f>'A.1.0_TablaAntigüedad_Sub'!AC94</f>
        <v>559.83693000000005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8397.5539500000014</v>
      </c>
      <c r="O94" s="183">
        <f>'A.0_Tablas salariales SC'!$K$177</f>
        <v>28026.279407999995</v>
      </c>
      <c r="P94" s="183">
        <f>(O94+N94)*G94+'A.0_Tablas salariales SC'!$R$192*(100%-G94)</f>
        <v>3605.8081380000003</v>
      </c>
      <c r="Q94" s="184">
        <f>IF(D94=100,'A.0_Tablas salariales SC'!$I$215,IF(D94=150,'A.0_Tablas salariales SC'!$I$216,IF(D94=189,'A.0_Tablas salariales SC'!$I$217,IF(D94=400,'A.0_Tablas salariales SC'!$I$218,IF(D94=450,'A.0_Tablas salariales SC'!$I$219,IF(D94=401,'A.0_Tablas salariales SC'!$I$220,IF(D94=451,'A.0_Tablas salariales SC'!$I$221,'A.0_Tablas salariales SC'!$I$215)))))))</f>
        <v>0.34755000000000003</v>
      </c>
      <c r="R94" s="183">
        <f t="shared" si="8"/>
        <v>1253.1986183619001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'A.1.0_TablaAntigüedad_Sub'!O95</f>
        <v>132</v>
      </c>
      <c r="I95" s="183">
        <f>'A.1.0_TablaAntigüedad_Sub'!AC95</f>
        <v>559.83693000000005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8397.5539500000014</v>
      </c>
      <c r="O95" s="183">
        <f>'A.0_Tablas salariales SC'!$K$177</f>
        <v>28026.279407999995</v>
      </c>
      <c r="P95" s="183">
        <f>(O95+N95)*G95+'A.0_Tablas salariales SC'!$R$192*(100%-G95)</f>
        <v>3605.8081380000003</v>
      </c>
      <c r="Q95" s="184">
        <f>IF(D95=100,'A.0_Tablas salariales SC'!$I$215,IF(D95=150,'A.0_Tablas salariales SC'!$I$216,IF(D95=189,'A.0_Tablas salariales SC'!$I$217,IF(D95=400,'A.0_Tablas salariales SC'!$I$218,IF(D95=450,'A.0_Tablas salariales SC'!$I$219,IF(D95=401,'A.0_Tablas salariales SC'!$I$220,IF(D95=451,'A.0_Tablas salariales SC'!$I$221,'A.0_Tablas salariales SC'!$I$215)))))))</f>
        <v>0.34755000000000003</v>
      </c>
      <c r="R95" s="183">
        <f t="shared" si="8"/>
        <v>1253.1986183619001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'A.1.0_TablaAntigüedad_Sub'!O96</f>
        <v>132</v>
      </c>
      <c r="I96" s="183">
        <f>'A.1.0_TablaAntigüedad_Sub'!AC96</f>
        <v>559.83693000000005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8397.5539500000014</v>
      </c>
      <c r="O96" s="183">
        <f>'A.0_Tablas salariales SC'!$K$177</f>
        <v>28026.279407999995</v>
      </c>
      <c r="P96" s="183">
        <f>(O96+N96)*G96+'A.0_Tablas salariales SC'!$R$192*(100%-G96)</f>
        <v>3605.8081380000003</v>
      </c>
      <c r="Q96" s="184">
        <f>IF(D96=100,'A.0_Tablas salariales SC'!$I$215,IF(D96=150,'A.0_Tablas salariales SC'!$I$216,IF(D96=189,'A.0_Tablas salariales SC'!$I$217,IF(D96=400,'A.0_Tablas salariales SC'!$I$218,IF(D96=450,'A.0_Tablas salariales SC'!$I$219,IF(D96=401,'A.0_Tablas salariales SC'!$I$220,IF(D96=451,'A.0_Tablas salariales SC'!$I$221,'A.0_Tablas salariales SC'!$I$215)))))))</f>
        <v>0.34755000000000003</v>
      </c>
      <c r="R96" s="183">
        <f t="shared" si="8"/>
        <v>1253.1986183619001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'A.1.0_TablaAntigüedad_Sub'!O97</f>
        <v>132</v>
      </c>
      <c r="I97" s="183">
        <f>'A.1.0_TablaAntigüedad_Sub'!AC97</f>
        <v>559.83693000000005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8397.5539500000014</v>
      </c>
      <c r="O97" s="183">
        <f>'A.0_Tablas salariales SC'!$K$177</f>
        <v>28026.279407999995</v>
      </c>
      <c r="P97" s="183">
        <f>(O97+N97)*G97+'A.0_Tablas salariales SC'!$R$192*(100%-G97)</f>
        <v>3605.8081380000003</v>
      </c>
      <c r="Q97" s="184">
        <f>IF(D97=100,'A.0_Tablas salariales SC'!$I$215,IF(D97=150,'A.0_Tablas salariales SC'!$I$216,IF(D97=189,'A.0_Tablas salariales SC'!$I$217,IF(D97=400,'A.0_Tablas salariales SC'!$I$218,IF(D97=450,'A.0_Tablas salariales SC'!$I$219,IF(D97=401,'A.0_Tablas salariales SC'!$I$220,IF(D97=451,'A.0_Tablas salariales SC'!$I$221,'A.0_Tablas salariales SC'!$I$215)))))))</f>
        <v>0.34755000000000003</v>
      </c>
      <c r="R97" s="183">
        <f t="shared" si="8"/>
        <v>1253.1986183619001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'A.1.0_TablaAntigüedad_Sub'!O98</f>
        <v>132</v>
      </c>
      <c r="I98" s="183">
        <f>'A.1.0_TablaAntigüedad_Sub'!AC98</f>
        <v>559.83693000000005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8397.5539500000014</v>
      </c>
      <c r="O98" s="183">
        <f>'A.0_Tablas salariales SC'!$K$177</f>
        <v>28026.279407999995</v>
      </c>
      <c r="P98" s="183">
        <f>(O98+N98)*G98+'A.0_Tablas salariales SC'!$R$192*(100%-G98)</f>
        <v>3605.8081380000003</v>
      </c>
      <c r="Q98" s="184">
        <f>IF(D98=100,'A.0_Tablas salariales SC'!$I$215,IF(D98=150,'A.0_Tablas salariales SC'!$I$216,IF(D98=189,'A.0_Tablas salariales SC'!$I$217,IF(D98=400,'A.0_Tablas salariales SC'!$I$218,IF(D98=450,'A.0_Tablas salariales SC'!$I$219,IF(D98=401,'A.0_Tablas salariales SC'!$I$220,IF(D98=451,'A.0_Tablas salariales SC'!$I$221,'A.0_Tablas salariales SC'!$I$215)))))))</f>
        <v>0.34755000000000003</v>
      </c>
      <c r="R98" s="183">
        <f t="shared" si="8"/>
        <v>1253.1986183619001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'A.1.0_TablaAntigüedad_Sub'!O99</f>
        <v>132</v>
      </c>
      <c r="I99" s="183">
        <f>'A.1.0_TablaAntigüedad_Sub'!AC99</f>
        <v>559.83693000000005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8397.5539500000014</v>
      </c>
      <c r="O99" s="183">
        <f>'A.0_Tablas salariales SC'!$K$177</f>
        <v>28026.279407999995</v>
      </c>
      <c r="P99" s="183">
        <f>(O99+N99)*G99+'A.0_Tablas salariales SC'!$R$192*(100%-G99)</f>
        <v>3605.8081380000003</v>
      </c>
      <c r="Q99" s="184">
        <f>IF(D99=100,'A.0_Tablas salariales SC'!$I$215,IF(D99=150,'A.0_Tablas salariales SC'!$I$216,IF(D99=189,'A.0_Tablas salariales SC'!$I$217,IF(D99=400,'A.0_Tablas salariales SC'!$I$218,IF(D99=450,'A.0_Tablas salariales SC'!$I$219,IF(D99=401,'A.0_Tablas salariales SC'!$I$220,IF(D99=451,'A.0_Tablas salariales SC'!$I$221,'A.0_Tablas salariales SC'!$I$215)))))))</f>
        <v>0.34755000000000003</v>
      </c>
      <c r="R99" s="183">
        <f t="shared" si="8"/>
        <v>1253.1986183619001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'A.1.0_TablaAntigüedad_Sub'!O100</f>
        <v>132</v>
      </c>
      <c r="I100" s="183">
        <f>'A.1.0_TablaAntigüedad_Sub'!AC100</f>
        <v>559.83693000000005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8397.5539500000014</v>
      </c>
      <c r="O100" s="183">
        <f>'A.0_Tablas salariales SC'!$K$177</f>
        <v>28026.279407999995</v>
      </c>
      <c r="P100" s="183">
        <f>(O100+N100)*G100+'A.0_Tablas salariales SC'!$R$192*(100%-G100)</f>
        <v>3605.8081380000003</v>
      </c>
      <c r="Q100" s="184">
        <f>IF(D100=100,'A.0_Tablas salariales SC'!$I$215,IF(D100=150,'A.0_Tablas salariales SC'!$I$216,IF(D100=189,'A.0_Tablas salariales SC'!$I$217,IF(D100=400,'A.0_Tablas salariales SC'!$I$218,IF(D100=450,'A.0_Tablas salariales SC'!$I$219,IF(D100=401,'A.0_Tablas salariales SC'!$I$220,IF(D100=451,'A.0_Tablas salariales SC'!$I$221,'A.0_Tablas salariales SC'!$I$215)))))))</f>
        <v>0.34755000000000003</v>
      </c>
      <c r="R100" s="183">
        <f t="shared" si="8"/>
        <v>1253.1986183619001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'A.1.0_TablaAntigüedad_Sub'!O101</f>
        <v>132</v>
      </c>
      <c r="I101" s="183">
        <f>'A.1.0_TablaAntigüedad_Sub'!AC101</f>
        <v>559.83693000000005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8397.5539500000014</v>
      </c>
      <c r="O101" s="183">
        <f>'A.0_Tablas salariales SC'!$K$177</f>
        <v>28026.279407999995</v>
      </c>
      <c r="P101" s="183">
        <f>(O101+N101)*G101+'A.0_Tablas salariales SC'!$R$192*(100%-G101)</f>
        <v>3605.8081380000003</v>
      </c>
      <c r="Q101" s="184">
        <f>IF(D101=100,'A.0_Tablas salariales SC'!$I$215,IF(D101=150,'A.0_Tablas salariales SC'!$I$216,IF(D101=189,'A.0_Tablas salariales SC'!$I$217,IF(D101=400,'A.0_Tablas salariales SC'!$I$218,IF(D101=450,'A.0_Tablas salariales SC'!$I$219,IF(D101=401,'A.0_Tablas salariales SC'!$I$220,IF(D101=451,'A.0_Tablas salariales SC'!$I$221,'A.0_Tablas salariales SC'!$I$215)))))))</f>
        <v>0.34755000000000003</v>
      </c>
      <c r="R101" s="183">
        <f t="shared" si="8"/>
        <v>1253.1986183619001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'A.1.0_TablaAntigüedad_Sub'!O102</f>
        <v>132</v>
      </c>
      <c r="I102" s="183">
        <f>'A.1.0_TablaAntigüedad_Sub'!AC102</f>
        <v>559.83693000000005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8397.5539500000014</v>
      </c>
      <c r="O102" s="183">
        <f>'A.0_Tablas salariales SC'!$K$177</f>
        <v>28026.279407999995</v>
      </c>
      <c r="P102" s="183">
        <f>(O102+N102)*G102+'A.0_Tablas salariales SC'!$R$192*(100%-G102)</f>
        <v>3605.8081380000003</v>
      </c>
      <c r="Q102" s="184">
        <f>IF(D102=100,'A.0_Tablas salariales SC'!$I$215,IF(D102=150,'A.0_Tablas salariales SC'!$I$216,IF(D102=189,'A.0_Tablas salariales SC'!$I$217,IF(D102=400,'A.0_Tablas salariales SC'!$I$218,IF(D102=450,'A.0_Tablas salariales SC'!$I$219,IF(D102=401,'A.0_Tablas salariales SC'!$I$220,IF(D102=451,'A.0_Tablas salariales SC'!$I$221,'A.0_Tablas salariales SC'!$I$215)))))))</f>
        <v>0.34755000000000003</v>
      </c>
      <c r="R102" s="183">
        <f t="shared" si="8"/>
        <v>1253.1986183619001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'A.1.0_TablaAntigüedad_Sub'!O103</f>
        <v>132</v>
      </c>
      <c r="I103" s="183">
        <f>'A.1.0_TablaAntigüedad_Sub'!AC103</f>
        <v>559.83693000000005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8397.5539500000014</v>
      </c>
      <c r="O103" s="183">
        <f>'A.0_Tablas salariales SC'!$K$177</f>
        <v>28026.279407999995</v>
      </c>
      <c r="P103" s="183">
        <f>(O103+N103)*G103+'A.0_Tablas salariales SC'!$R$192*(100%-G103)</f>
        <v>3605.8081380000003</v>
      </c>
      <c r="Q103" s="184">
        <f>IF(D103=100,'A.0_Tablas salariales SC'!$I$215,IF(D103=150,'A.0_Tablas salariales SC'!$I$216,IF(D103=189,'A.0_Tablas salariales SC'!$I$217,IF(D103=400,'A.0_Tablas salariales SC'!$I$218,IF(D103=450,'A.0_Tablas salariales SC'!$I$219,IF(D103=401,'A.0_Tablas salariales SC'!$I$220,IF(D103=451,'A.0_Tablas salariales SC'!$I$221,'A.0_Tablas salariales SC'!$I$215)))))))</f>
        <v>0.34755000000000003</v>
      </c>
      <c r="R103" s="183">
        <f t="shared" si="8"/>
        <v>1253.1986183619001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'A.1.0_TablaAntigüedad_Sub'!O104</f>
        <v>132</v>
      </c>
      <c r="I104" s="183">
        <f>'A.1.0_TablaAntigüedad_Sub'!AC104</f>
        <v>559.83693000000005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8397.5539500000014</v>
      </c>
      <c r="O104" s="183">
        <f>'A.0_Tablas salariales SC'!$K$177</f>
        <v>28026.279407999995</v>
      </c>
      <c r="P104" s="183">
        <f>(O104+N104)*G104+'A.0_Tablas salariales SC'!$R$192*(100%-G104)</f>
        <v>3605.8081380000003</v>
      </c>
      <c r="Q104" s="184">
        <f>IF(D104=100,'A.0_Tablas salariales SC'!$I$215,IF(D104=150,'A.0_Tablas salariales SC'!$I$216,IF(D104=189,'A.0_Tablas salariales SC'!$I$217,IF(D104=400,'A.0_Tablas salariales SC'!$I$218,IF(D104=450,'A.0_Tablas salariales SC'!$I$219,IF(D104=401,'A.0_Tablas salariales SC'!$I$220,IF(D104=451,'A.0_Tablas salariales SC'!$I$221,'A.0_Tablas salariales SC'!$I$215)))))))</f>
        <v>0.34755000000000003</v>
      </c>
      <c r="R104" s="183">
        <f t="shared" si="8"/>
        <v>1253.1986183619001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'A.1.0_TablaAntigüedad_Sub'!O105</f>
        <v>132</v>
      </c>
      <c r="I105" s="183">
        <f>'A.1.0_TablaAntigüedad_Sub'!AC105</f>
        <v>559.83693000000005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8397.5539500000014</v>
      </c>
      <c r="O105" s="183">
        <f>'A.0_Tablas salariales SC'!$K$177</f>
        <v>28026.279407999995</v>
      </c>
      <c r="P105" s="183">
        <f>(O105+N105)*G105+'A.0_Tablas salariales SC'!$R$192*(100%-G105)</f>
        <v>3605.8081380000003</v>
      </c>
      <c r="Q105" s="184">
        <f>IF(D105=100,'A.0_Tablas salariales SC'!$I$215,IF(D105=150,'A.0_Tablas salariales SC'!$I$216,IF(D105=189,'A.0_Tablas salariales SC'!$I$217,IF(D105=400,'A.0_Tablas salariales SC'!$I$218,IF(D105=450,'A.0_Tablas salariales SC'!$I$219,IF(D105=401,'A.0_Tablas salariales SC'!$I$220,IF(D105=451,'A.0_Tablas salariales SC'!$I$221,'A.0_Tablas salariales SC'!$I$215)))))))</f>
        <v>0.34755000000000003</v>
      </c>
      <c r="R105" s="183">
        <f t="shared" si="8"/>
        <v>1253.1986183619001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'A.1.0_TablaAntigüedad_Sub'!O106</f>
        <v>132</v>
      </c>
      <c r="I106" s="183">
        <f>'A.1.0_TablaAntigüedad_Sub'!AC106</f>
        <v>559.83693000000005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8397.5539500000014</v>
      </c>
      <c r="O106" s="183">
        <f>'A.0_Tablas salariales SC'!$K$177</f>
        <v>28026.279407999995</v>
      </c>
      <c r="P106" s="183">
        <f>(O106+N106)*G106+'A.0_Tablas salariales SC'!$R$192*(100%-G106)</f>
        <v>3605.8081380000003</v>
      </c>
      <c r="Q106" s="184">
        <f>IF(D106=100,'A.0_Tablas salariales SC'!$I$215,IF(D106=150,'A.0_Tablas salariales SC'!$I$216,IF(D106=189,'A.0_Tablas salariales SC'!$I$217,IF(D106=400,'A.0_Tablas salariales SC'!$I$218,IF(D106=450,'A.0_Tablas salariales SC'!$I$219,IF(D106=401,'A.0_Tablas salariales SC'!$I$220,IF(D106=451,'A.0_Tablas salariales SC'!$I$221,'A.0_Tablas salariales SC'!$I$215)))))))</f>
        <v>0.34755000000000003</v>
      </c>
      <c r="R106" s="183">
        <f t="shared" si="8"/>
        <v>1253.1986183619001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'A.1.0_TablaAntigüedad_Sub'!O107</f>
        <v>132</v>
      </c>
      <c r="I107" s="183">
        <f>'A.1.0_TablaAntigüedad_Sub'!AC107</f>
        <v>559.83693000000005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8397.5539500000014</v>
      </c>
      <c r="O107" s="183">
        <f>'A.0_Tablas salariales SC'!$K$177</f>
        <v>28026.279407999995</v>
      </c>
      <c r="P107" s="183">
        <f>(O107+N107)*G107+'A.0_Tablas salariales SC'!$R$192*(100%-G107)</f>
        <v>3605.8081380000003</v>
      </c>
      <c r="Q107" s="184">
        <f>IF(D107=100,'A.0_Tablas salariales SC'!$I$215,IF(D107=150,'A.0_Tablas salariales SC'!$I$216,IF(D107=189,'A.0_Tablas salariales SC'!$I$217,IF(D107=400,'A.0_Tablas salariales SC'!$I$218,IF(D107=450,'A.0_Tablas salariales SC'!$I$219,IF(D107=401,'A.0_Tablas salariales SC'!$I$220,IF(D107=451,'A.0_Tablas salariales SC'!$I$221,'A.0_Tablas salariales SC'!$I$215)))))))</f>
        <v>0.34755000000000003</v>
      </c>
      <c r="R107" s="183">
        <f t="shared" si="8"/>
        <v>1253.1986183619001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'A.1.0_TablaAntigüedad_Sub'!O108</f>
        <v>132</v>
      </c>
      <c r="I108" s="183">
        <f>'A.1.0_TablaAntigüedad_Sub'!AC108</f>
        <v>559.83693000000005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8397.5539500000014</v>
      </c>
      <c r="O108" s="183">
        <f>'A.0_Tablas salariales SC'!$K$177</f>
        <v>28026.279407999995</v>
      </c>
      <c r="P108" s="183">
        <f>(O108+N108)*G108+'A.0_Tablas salariales SC'!$R$192*(100%-G108)</f>
        <v>3605.8081380000003</v>
      </c>
      <c r="Q108" s="184">
        <f>IF(D108=100,'A.0_Tablas salariales SC'!$I$215,IF(D108=150,'A.0_Tablas salariales SC'!$I$216,IF(D108=189,'A.0_Tablas salariales SC'!$I$217,IF(D108=400,'A.0_Tablas salariales SC'!$I$218,IF(D108=450,'A.0_Tablas salariales SC'!$I$219,IF(D108=401,'A.0_Tablas salariales SC'!$I$220,IF(D108=451,'A.0_Tablas salariales SC'!$I$221,'A.0_Tablas salariales SC'!$I$215)))))))</f>
        <v>0.34755000000000003</v>
      </c>
      <c r="R108" s="183">
        <f t="shared" si="8"/>
        <v>1253.1986183619001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'A.1.0_TablaAntigüedad_Sub'!O109</f>
        <v>132</v>
      </c>
      <c r="I109" s="183">
        <f>'A.1.0_TablaAntigüedad_Sub'!AC109</f>
        <v>559.83693000000005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8397.5539500000014</v>
      </c>
      <c r="O109" s="183">
        <f>'A.0_Tablas salariales SC'!$K$177</f>
        <v>28026.279407999995</v>
      </c>
      <c r="P109" s="183">
        <f>(O109+N109)*G109+'A.0_Tablas salariales SC'!$R$192*(100%-G109)</f>
        <v>3605.8081380000003</v>
      </c>
      <c r="Q109" s="184">
        <f>IF(D109=100,'A.0_Tablas salariales SC'!$I$215,IF(D109=150,'A.0_Tablas salariales SC'!$I$216,IF(D109=189,'A.0_Tablas salariales SC'!$I$217,IF(D109=400,'A.0_Tablas salariales SC'!$I$218,IF(D109=450,'A.0_Tablas salariales SC'!$I$219,IF(D109=401,'A.0_Tablas salariales SC'!$I$220,IF(D109=451,'A.0_Tablas salariales SC'!$I$221,'A.0_Tablas salariales SC'!$I$215)))))))</f>
        <v>0.34755000000000003</v>
      </c>
      <c r="R109" s="183">
        <f t="shared" si="8"/>
        <v>1253.1986183619001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'A.1.0_TablaAntigüedad_Sub'!O110</f>
        <v>132</v>
      </c>
      <c r="I110" s="183">
        <f>'A.1.0_TablaAntigüedad_Sub'!AC110</f>
        <v>559.83693000000005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8397.5539500000014</v>
      </c>
      <c r="O110" s="183">
        <f>'A.0_Tablas salariales SC'!$K$177</f>
        <v>28026.279407999995</v>
      </c>
      <c r="P110" s="183">
        <f>(O110+N110)*G110+'A.0_Tablas salariales SC'!$R$192*(100%-G110)</f>
        <v>3605.8081380000003</v>
      </c>
      <c r="Q110" s="184">
        <f>IF(D110=100,'A.0_Tablas salariales SC'!$I$215,IF(D110=150,'A.0_Tablas salariales SC'!$I$216,IF(D110=189,'A.0_Tablas salariales SC'!$I$217,IF(D110=400,'A.0_Tablas salariales SC'!$I$218,IF(D110=450,'A.0_Tablas salariales SC'!$I$219,IF(D110=401,'A.0_Tablas salariales SC'!$I$220,IF(D110=451,'A.0_Tablas salariales SC'!$I$221,'A.0_Tablas salariales SC'!$I$215)))))))</f>
        <v>0.34755000000000003</v>
      </c>
      <c r="R110" s="183">
        <f t="shared" si="8"/>
        <v>1253.1986183619001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'A.1.0_TablaAntigüedad_Sub'!O111</f>
        <v>132</v>
      </c>
      <c r="I111" s="183">
        <f>'A.1.0_TablaAntigüedad_Sub'!AC111</f>
        <v>559.83693000000005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8397.5539500000014</v>
      </c>
      <c r="O111" s="183">
        <f>'A.0_Tablas salariales SC'!$K$177</f>
        <v>28026.279407999995</v>
      </c>
      <c r="P111" s="183">
        <f>(O111+N111)*G111+'A.0_Tablas salariales SC'!$R$192*(100%-G111)</f>
        <v>3605.8081380000003</v>
      </c>
      <c r="Q111" s="184">
        <f>IF(D111=100,'A.0_Tablas salariales SC'!$I$215,IF(D111=150,'A.0_Tablas salariales SC'!$I$216,IF(D111=189,'A.0_Tablas salariales SC'!$I$217,IF(D111=400,'A.0_Tablas salariales SC'!$I$218,IF(D111=450,'A.0_Tablas salariales SC'!$I$219,IF(D111=401,'A.0_Tablas salariales SC'!$I$220,IF(D111=451,'A.0_Tablas salariales SC'!$I$221,'A.0_Tablas salariales SC'!$I$215)))))))</f>
        <v>0.34755000000000003</v>
      </c>
      <c r="R111" s="183">
        <f t="shared" si="8"/>
        <v>1253.1986183619001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'A.1.0_TablaAntigüedad_Sub'!O112</f>
        <v>132</v>
      </c>
      <c r="I112" s="183">
        <f>'A.1.0_TablaAntigüedad_Sub'!AC112</f>
        <v>559.83693000000005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8397.5539500000014</v>
      </c>
      <c r="O112" s="183">
        <f>'A.0_Tablas salariales SC'!$K$177</f>
        <v>28026.279407999995</v>
      </c>
      <c r="P112" s="183">
        <f>(O112+N112)*G112+'A.0_Tablas salariales SC'!$R$192*(100%-G112)</f>
        <v>3605.8081380000003</v>
      </c>
      <c r="Q112" s="184">
        <f>IF(D112=100,'A.0_Tablas salariales SC'!$I$215,IF(D112=150,'A.0_Tablas salariales SC'!$I$216,IF(D112=189,'A.0_Tablas salariales SC'!$I$217,IF(D112=400,'A.0_Tablas salariales SC'!$I$218,IF(D112=450,'A.0_Tablas salariales SC'!$I$219,IF(D112=401,'A.0_Tablas salariales SC'!$I$220,IF(D112=451,'A.0_Tablas salariales SC'!$I$221,'A.0_Tablas salariales SC'!$I$215)))))))</f>
        <v>0.34755000000000003</v>
      </c>
      <c r="R112" s="183">
        <f t="shared" si="8"/>
        <v>1253.1986183619001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'A.1.0_TablaAntigüedad_Sub'!O113</f>
        <v>132</v>
      </c>
      <c r="I113" s="183">
        <f>'A.1.0_TablaAntigüedad_Sub'!AC113</f>
        <v>559.83693000000005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8397.5539500000014</v>
      </c>
      <c r="O113" s="183">
        <f>'A.0_Tablas salariales SC'!$K$177</f>
        <v>28026.279407999995</v>
      </c>
      <c r="P113" s="183">
        <f>(O113+N113)*G113+'A.0_Tablas salariales SC'!$R$192*(100%-G113)</f>
        <v>3605.8081380000003</v>
      </c>
      <c r="Q113" s="184">
        <f>IF(D113=100,'A.0_Tablas salariales SC'!$I$215,IF(D113=150,'A.0_Tablas salariales SC'!$I$216,IF(D113=189,'A.0_Tablas salariales SC'!$I$217,IF(D113=400,'A.0_Tablas salariales SC'!$I$218,IF(D113=450,'A.0_Tablas salariales SC'!$I$219,IF(D113=401,'A.0_Tablas salariales SC'!$I$220,IF(D113=451,'A.0_Tablas salariales SC'!$I$221,'A.0_Tablas salariales SC'!$I$215)))))))</f>
        <v>0.34755000000000003</v>
      </c>
      <c r="R113" s="183">
        <f t="shared" si="1"/>
        <v>1253.1986183619001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4"/>
      <c r="Q114" s="174"/>
      <c r="R114" s="174"/>
      <c r="S114" s="174"/>
      <c r="T114" s="180">
        <f>SUM(S87:S113)</f>
        <v>0</v>
      </c>
    </row>
    <row r="115" spans="1:20">
      <c r="A115" s="508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2">
        <f>'A.1. Plantilla_Subrogacion'!F115</f>
        <v>0</v>
      </c>
      <c r="H115" s="181">
        <f>'A.1.0_TablaAntigüedad_Sub'!O115</f>
        <v>132</v>
      </c>
      <c r="I115" s="183">
        <f>'A.1.0_TablaAntigüedad_Sub'!AC115</f>
        <v>559.83693000000005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8397.5539500000014</v>
      </c>
      <c r="O115" s="183">
        <f>'A.0_Tablas salariales SC'!$K$178</f>
        <v>29310.976263000004</v>
      </c>
      <c r="P115" s="183">
        <f>(O115+N115)*G115+'A.0_Tablas salariales SC'!$R$192*(100%-G115)</f>
        <v>3605.8081380000003</v>
      </c>
      <c r="Q115" s="184">
        <f>IF(D115=100,'A.0_Tablas salariales SC'!$I$215,IF(D115=150,'A.0_Tablas salariales SC'!$I$216,IF(D115=189,'A.0_Tablas salariales SC'!$I$217,IF(D115=400,'A.0_Tablas salariales SC'!$I$218,IF(D115=450,'A.0_Tablas salariales SC'!$I$219,IF(D115=401,'A.0_Tablas salariales SC'!$I$220,IF(D115=451,'A.0_Tablas salariales SC'!$I$221,'A.0_Tablas salariales SC'!$I$215)))))))</f>
        <v>0.34755000000000003</v>
      </c>
      <c r="R115" s="183">
        <f t="shared" ref="R115:R175" si="10">Q115*P115</f>
        <v>1253.1986183619001</v>
      </c>
      <c r="S115" s="183">
        <f t="shared" ref="S115:S172" si="11">(R115+P115)*A115</f>
        <v>0</v>
      </c>
      <c r="T115" s="179"/>
    </row>
    <row r="116" spans="1:20">
      <c r="A116" s="508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2">
        <f>'A.1. Plantilla_Subrogacion'!F116</f>
        <v>0</v>
      </c>
      <c r="H116" s="181">
        <f>'A.1.0_TablaAntigüedad_Sub'!O116</f>
        <v>132</v>
      </c>
      <c r="I116" s="183">
        <f>'A.1.0_TablaAntigüedad_Sub'!AC116</f>
        <v>559.83693000000005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8397.5539500000014</v>
      </c>
      <c r="O116" s="183">
        <f>'A.0_Tablas salariales SC'!$K$178</f>
        <v>29310.976263000004</v>
      </c>
      <c r="P116" s="183">
        <f>(O116+N116)*G116+'A.0_Tablas salariales SC'!$R$192*(100%-G116)</f>
        <v>3605.8081380000003</v>
      </c>
      <c r="Q116" s="184">
        <f>IF(D116=100,'A.0_Tablas salariales SC'!$I$215,IF(D116=150,'A.0_Tablas salariales SC'!$I$216,IF(D116=189,'A.0_Tablas salariales SC'!$I$217,IF(D116=400,'A.0_Tablas salariales SC'!$I$218,IF(D116=450,'A.0_Tablas salariales SC'!$I$219,IF(D116=401,'A.0_Tablas salariales SC'!$I$220,IF(D116=451,'A.0_Tablas salariales SC'!$I$221,'A.0_Tablas salariales SC'!$I$215)))))))</f>
        <v>0.34755000000000003</v>
      </c>
      <c r="R116" s="183">
        <f t="shared" si="10"/>
        <v>1253.1986183619001</v>
      </c>
      <c r="S116" s="183">
        <f t="shared" si="11"/>
        <v>0</v>
      </c>
      <c r="T116" s="179"/>
    </row>
    <row r="117" spans="1:20">
      <c r="A117" s="508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2">
        <f>'A.1. Plantilla_Subrogacion'!F117</f>
        <v>0</v>
      </c>
      <c r="H117" s="181">
        <f>'A.1.0_TablaAntigüedad_Sub'!O117</f>
        <v>132</v>
      </c>
      <c r="I117" s="183">
        <f>'A.1.0_TablaAntigüedad_Sub'!AC117</f>
        <v>559.83693000000005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8397.5539500000014</v>
      </c>
      <c r="O117" s="183">
        <f>'A.0_Tablas salariales SC'!$K$178</f>
        <v>29310.976263000004</v>
      </c>
      <c r="P117" s="183">
        <f>(O117+N117)*G117+'A.0_Tablas salariales SC'!$R$192*(100%-G117)</f>
        <v>3605.8081380000003</v>
      </c>
      <c r="Q117" s="184">
        <f>IF(D117=100,'A.0_Tablas salariales SC'!$I$215,IF(D117=150,'A.0_Tablas salariales SC'!$I$216,IF(D117=189,'A.0_Tablas salariales SC'!$I$217,IF(D117=400,'A.0_Tablas salariales SC'!$I$218,IF(D117=450,'A.0_Tablas salariales SC'!$I$219,IF(D117=401,'A.0_Tablas salariales SC'!$I$220,IF(D117=451,'A.0_Tablas salariales SC'!$I$221,'A.0_Tablas salariales SC'!$I$215)))))))</f>
        <v>0.34755000000000003</v>
      </c>
      <c r="R117" s="183">
        <f t="shared" si="10"/>
        <v>1253.1986183619001</v>
      </c>
      <c r="S117" s="183">
        <f t="shared" si="11"/>
        <v>0</v>
      </c>
      <c r="T117" s="179"/>
    </row>
    <row r="118" spans="1:20">
      <c r="A118" s="508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2">
        <f>'A.1. Plantilla_Subrogacion'!F118</f>
        <v>0</v>
      </c>
      <c r="H118" s="181">
        <f>'A.1.0_TablaAntigüedad_Sub'!O118</f>
        <v>132</v>
      </c>
      <c r="I118" s="183">
        <f>'A.1.0_TablaAntigüedad_Sub'!AC118</f>
        <v>559.83693000000005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8397.5539500000014</v>
      </c>
      <c r="O118" s="183">
        <f>'A.0_Tablas salariales SC'!$K$178</f>
        <v>29310.976263000004</v>
      </c>
      <c r="P118" s="183">
        <f>(O118+N118)*G118+'A.0_Tablas salariales SC'!$R$192*(100%-G118)</f>
        <v>3605.8081380000003</v>
      </c>
      <c r="Q118" s="184">
        <f>IF(D118=100,'A.0_Tablas salariales SC'!$I$215,IF(D118=150,'A.0_Tablas salariales SC'!$I$216,IF(D118=189,'A.0_Tablas salariales SC'!$I$217,IF(D118=400,'A.0_Tablas salariales SC'!$I$218,IF(D118=450,'A.0_Tablas salariales SC'!$I$219,IF(D118=401,'A.0_Tablas salariales SC'!$I$220,IF(D118=451,'A.0_Tablas salariales SC'!$I$221,'A.0_Tablas salariales SC'!$I$215)))))))</f>
        <v>0.34755000000000003</v>
      </c>
      <c r="R118" s="183">
        <f t="shared" si="10"/>
        <v>1253.1986183619001</v>
      </c>
      <c r="S118" s="183">
        <f t="shared" si="11"/>
        <v>0</v>
      </c>
      <c r="T118" s="179"/>
    </row>
    <row r="119" spans="1:20">
      <c r="A119" s="508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2">
        <f>'A.1. Plantilla_Subrogacion'!F119</f>
        <v>0</v>
      </c>
      <c r="H119" s="181">
        <f>'A.1.0_TablaAntigüedad_Sub'!O119</f>
        <v>132</v>
      </c>
      <c r="I119" s="183">
        <f>'A.1.0_TablaAntigüedad_Sub'!AC119</f>
        <v>559.83693000000005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8397.5539500000014</v>
      </c>
      <c r="O119" s="183">
        <f>'A.0_Tablas salariales SC'!$K$178</f>
        <v>29310.976263000004</v>
      </c>
      <c r="P119" s="183">
        <f>(O119+N119)*G119+'A.0_Tablas salariales SC'!$R$192*(100%-G119)</f>
        <v>3605.8081380000003</v>
      </c>
      <c r="Q119" s="184">
        <f>IF(D119=100,'A.0_Tablas salariales SC'!$I$215,IF(D119=150,'A.0_Tablas salariales SC'!$I$216,IF(D119=189,'A.0_Tablas salariales SC'!$I$217,IF(D119=400,'A.0_Tablas salariales SC'!$I$218,IF(D119=450,'A.0_Tablas salariales SC'!$I$219,IF(D119=401,'A.0_Tablas salariales SC'!$I$220,IF(D119=451,'A.0_Tablas salariales SC'!$I$221,'A.0_Tablas salariales SC'!$I$215)))))))</f>
        <v>0.34755000000000003</v>
      </c>
      <c r="R119" s="183">
        <f t="shared" si="10"/>
        <v>1253.1986183619001</v>
      </c>
      <c r="S119" s="183">
        <f t="shared" si="11"/>
        <v>0</v>
      </c>
      <c r="T119" s="179"/>
    </row>
    <row r="120" spans="1:20">
      <c r="A120" s="508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2">
        <f>'A.1. Plantilla_Subrogacion'!F120</f>
        <v>0</v>
      </c>
      <c r="H120" s="181">
        <f>'A.1.0_TablaAntigüedad_Sub'!O120</f>
        <v>132</v>
      </c>
      <c r="I120" s="183">
        <f>'A.1.0_TablaAntigüedad_Sub'!AC120</f>
        <v>559.83693000000005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8397.5539500000014</v>
      </c>
      <c r="O120" s="183">
        <f>'A.0_Tablas salariales SC'!$K$178</f>
        <v>29310.976263000004</v>
      </c>
      <c r="P120" s="183">
        <f>(O120+N120)*G120+'A.0_Tablas salariales SC'!$R$192*(100%-G120)</f>
        <v>3605.8081380000003</v>
      </c>
      <c r="Q120" s="184">
        <f>IF(D120=100,'A.0_Tablas salariales SC'!$I$215,IF(D120=150,'A.0_Tablas salariales SC'!$I$216,IF(D120=189,'A.0_Tablas salariales SC'!$I$217,IF(D120=400,'A.0_Tablas salariales SC'!$I$218,IF(D120=450,'A.0_Tablas salariales SC'!$I$219,IF(D120=401,'A.0_Tablas salariales SC'!$I$220,IF(D120=451,'A.0_Tablas salariales SC'!$I$221,'A.0_Tablas salariales SC'!$I$215)))))))</f>
        <v>0.34755000000000003</v>
      </c>
      <c r="R120" s="183">
        <f t="shared" si="10"/>
        <v>1253.1986183619001</v>
      </c>
      <c r="S120" s="183">
        <f t="shared" si="11"/>
        <v>0</v>
      </c>
      <c r="T120" s="179"/>
    </row>
    <row r="121" spans="1:20">
      <c r="A121" s="508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2">
        <f>'A.1. Plantilla_Subrogacion'!F121</f>
        <v>0</v>
      </c>
      <c r="H121" s="181">
        <f>'A.1.0_TablaAntigüedad_Sub'!O121</f>
        <v>132</v>
      </c>
      <c r="I121" s="183">
        <f>'A.1.0_TablaAntigüedad_Sub'!AC121</f>
        <v>559.83693000000005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8397.5539500000014</v>
      </c>
      <c r="O121" s="183">
        <f>'A.0_Tablas salariales SC'!$K$178</f>
        <v>29310.976263000004</v>
      </c>
      <c r="P121" s="183">
        <f>(O121+N121)*G121+'A.0_Tablas salariales SC'!$R$192*(100%-G121)</f>
        <v>3605.8081380000003</v>
      </c>
      <c r="Q121" s="184">
        <f>IF(D121=100,'A.0_Tablas salariales SC'!$I$215,IF(D121=150,'A.0_Tablas salariales SC'!$I$216,IF(D121=189,'A.0_Tablas salariales SC'!$I$217,IF(D121=400,'A.0_Tablas salariales SC'!$I$218,IF(D121=450,'A.0_Tablas salariales SC'!$I$219,IF(D121=401,'A.0_Tablas salariales SC'!$I$220,IF(D121=451,'A.0_Tablas salariales SC'!$I$221,'A.0_Tablas salariales SC'!$I$215)))))))</f>
        <v>0.34755000000000003</v>
      </c>
      <c r="R121" s="183">
        <f t="shared" si="10"/>
        <v>1253.1986183619001</v>
      </c>
      <c r="S121" s="183">
        <f t="shared" si="11"/>
        <v>0</v>
      </c>
      <c r="T121" s="179"/>
    </row>
    <row r="122" spans="1:20">
      <c r="A122" s="508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2">
        <f>'A.1. Plantilla_Subrogacion'!F122</f>
        <v>0</v>
      </c>
      <c r="H122" s="181">
        <f>'A.1.0_TablaAntigüedad_Sub'!O122</f>
        <v>132</v>
      </c>
      <c r="I122" s="183">
        <f>'A.1.0_TablaAntigüedad_Sub'!AC122</f>
        <v>559.83693000000005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8397.5539500000014</v>
      </c>
      <c r="O122" s="183">
        <f>'A.0_Tablas salariales SC'!$K$178</f>
        <v>29310.976263000004</v>
      </c>
      <c r="P122" s="183">
        <f>(O122+N122)*G122+'A.0_Tablas salariales SC'!$R$192*(100%-G122)</f>
        <v>3605.8081380000003</v>
      </c>
      <c r="Q122" s="184">
        <f>IF(D122=100,'A.0_Tablas salariales SC'!$I$215,IF(D122=150,'A.0_Tablas salariales SC'!$I$216,IF(D122=189,'A.0_Tablas salariales SC'!$I$217,IF(D122=400,'A.0_Tablas salariales SC'!$I$218,IF(D122=450,'A.0_Tablas salariales SC'!$I$219,IF(D122=401,'A.0_Tablas salariales SC'!$I$220,IF(D122=451,'A.0_Tablas salariales SC'!$I$221,'A.0_Tablas salariales SC'!$I$215)))))))</f>
        <v>0.34755000000000003</v>
      </c>
      <c r="R122" s="183">
        <f t="shared" si="10"/>
        <v>1253.1986183619001</v>
      </c>
      <c r="S122" s="183">
        <f t="shared" si="11"/>
        <v>0</v>
      </c>
      <c r="T122" s="179"/>
    </row>
    <row r="123" spans="1:20">
      <c r="A123" s="508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2">
        <f>'A.1. Plantilla_Subrogacion'!F123</f>
        <v>0</v>
      </c>
      <c r="H123" s="181">
        <f>'A.1.0_TablaAntigüedad_Sub'!O123</f>
        <v>132</v>
      </c>
      <c r="I123" s="183">
        <f>'A.1.0_TablaAntigüedad_Sub'!AC123</f>
        <v>559.83693000000005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8397.5539500000014</v>
      </c>
      <c r="O123" s="183">
        <f>'A.0_Tablas salariales SC'!$K$178</f>
        <v>29310.976263000004</v>
      </c>
      <c r="P123" s="183">
        <f>(O123+N123)*G123+'A.0_Tablas salariales SC'!$R$192*(100%-G123)</f>
        <v>3605.8081380000003</v>
      </c>
      <c r="Q123" s="184">
        <f>IF(D123=100,'A.0_Tablas salariales SC'!$I$215,IF(D123=150,'A.0_Tablas salariales SC'!$I$216,IF(D123=189,'A.0_Tablas salariales SC'!$I$217,IF(D123=400,'A.0_Tablas salariales SC'!$I$218,IF(D123=450,'A.0_Tablas salariales SC'!$I$219,IF(D123=401,'A.0_Tablas salariales SC'!$I$220,IF(D123=451,'A.0_Tablas salariales SC'!$I$221,'A.0_Tablas salariales SC'!$I$215)))))))</f>
        <v>0.34755000000000003</v>
      </c>
      <c r="R123" s="183">
        <f t="shared" ref="R123:R137" si="12">Q123*P123</f>
        <v>1253.1986183619001</v>
      </c>
      <c r="S123" s="183">
        <f t="shared" ref="S123:S137" si="13">(R123+P123)*A123</f>
        <v>0</v>
      </c>
      <c r="T123" s="179"/>
    </row>
    <row r="124" spans="1:20">
      <c r="A124" s="508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2">
        <f>'A.1. Plantilla_Subrogacion'!F124</f>
        <v>0</v>
      </c>
      <c r="H124" s="181">
        <f>'A.1.0_TablaAntigüedad_Sub'!O124</f>
        <v>132</v>
      </c>
      <c r="I124" s="183">
        <f>'A.1.0_TablaAntigüedad_Sub'!AC124</f>
        <v>559.83693000000005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8397.5539500000014</v>
      </c>
      <c r="O124" s="183">
        <f>'A.0_Tablas salariales SC'!$K$178</f>
        <v>29310.976263000004</v>
      </c>
      <c r="P124" s="183">
        <f>(O124+N124)*G124+'A.0_Tablas salariales SC'!$R$192*(100%-G124)</f>
        <v>3605.8081380000003</v>
      </c>
      <c r="Q124" s="184">
        <f>IF(D124=100,'A.0_Tablas salariales SC'!$I$215,IF(D124=150,'A.0_Tablas salariales SC'!$I$216,IF(D124=189,'A.0_Tablas salariales SC'!$I$217,IF(D124=400,'A.0_Tablas salariales SC'!$I$218,IF(D124=450,'A.0_Tablas salariales SC'!$I$219,IF(D124=401,'A.0_Tablas salariales SC'!$I$220,IF(D124=451,'A.0_Tablas salariales SC'!$I$221,'A.0_Tablas salariales SC'!$I$215)))))))</f>
        <v>0.34755000000000003</v>
      </c>
      <c r="R124" s="183">
        <f t="shared" si="12"/>
        <v>1253.1986183619001</v>
      </c>
      <c r="S124" s="183">
        <f t="shared" si="13"/>
        <v>0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'A.1.0_TablaAntigüedad_Sub'!O125</f>
        <v>132</v>
      </c>
      <c r="I125" s="183">
        <f>'A.1.0_TablaAntigüedad_Sub'!AC125</f>
        <v>559.83693000000005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8397.5539500000014</v>
      </c>
      <c r="O125" s="183">
        <f>'A.0_Tablas salariales SC'!$K$178</f>
        <v>29310.976263000004</v>
      </c>
      <c r="P125" s="183">
        <f>(O125+N125)*G125+'A.0_Tablas salariales SC'!$R$192*(100%-G125)</f>
        <v>3605.8081380000003</v>
      </c>
      <c r="Q125" s="184">
        <f>IF(D125=100,'A.0_Tablas salariales SC'!$I$215,IF(D125=150,'A.0_Tablas salariales SC'!$I$216,IF(D125=189,'A.0_Tablas salariales SC'!$I$217,IF(D125=400,'A.0_Tablas salariales SC'!$I$218,IF(D125=450,'A.0_Tablas salariales SC'!$I$219,IF(D125=401,'A.0_Tablas salariales SC'!$I$220,IF(D125=451,'A.0_Tablas salariales SC'!$I$221,'A.0_Tablas salariales SC'!$I$215)))))))</f>
        <v>0.34755000000000003</v>
      </c>
      <c r="R125" s="183">
        <f t="shared" si="12"/>
        <v>1253.1986183619001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'A.1.0_TablaAntigüedad_Sub'!O126</f>
        <v>132</v>
      </c>
      <c r="I126" s="183">
        <f>'A.1.0_TablaAntigüedad_Sub'!AC126</f>
        <v>559.83693000000005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8397.5539500000014</v>
      </c>
      <c r="O126" s="183">
        <f>'A.0_Tablas salariales SC'!$K$178</f>
        <v>29310.976263000004</v>
      </c>
      <c r="P126" s="183">
        <f>(O126+N126)*G126+'A.0_Tablas salariales SC'!$R$192*(100%-G126)</f>
        <v>3605.8081380000003</v>
      </c>
      <c r="Q126" s="184">
        <f>IF(D126=100,'A.0_Tablas salariales SC'!$I$215,IF(D126=150,'A.0_Tablas salariales SC'!$I$216,IF(D126=189,'A.0_Tablas salariales SC'!$I$217,IF(D126=400,'A.0_Tablas salariales SC'!$I$218,IF(D126=450,'A.0_Tablas salariales SC'!$I$219,IF(D126=401,'A.0_Tablas salariales SC'!$I$220,IF(D126=451,'A.0_Tablas salariales SC'!$I$221,'A.0_Tablas salariales SC'!$I$215)))))))</f>
        <v>0.34755000000000003</v>
      </c>
      <c r="R126" s="183">
        <f t="shared" si="12"/>
        <v>1253.1986183619001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'A.1.0_TablaAntigüedad_Sub'!O127</f>
        <v>132</v>
      </c>
      <c r="I127" s="183">
        <f>'A.1.0_TablaAntigüedad_Sub'!AC127</f>
        <v>559.83693000000005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8397.5539500000014</v>
      </c>
      <c r="O127" s="183">
        <f>'A.0_Tablas salariales SC'!$K$178</f>
        <v>29310.976263000004</v>
      </c>
      <c r="P127" s="183">
        <f>(O127+N127)*G127+'A.0_Tablas salariales SC'!$R$192*(100%-G127)</f>
        <v>3605.8081380000003</v>
      </c>
      <c r="Q127" s="184">
        <f>IF(D127=100,'A.0_Tablas salariales SC'!$I$215,IF(D127=150,'A.0_Tablas salariales SC'!$I$216,IF(D127=189,'A.0_Tablas salariales SC'!$I$217,IF(D127=400,'A.0_Tablas salariales SC'!$I$218,IF(D127=450,'A.0_Tablas salariales SC'!$I$219,IF(D127=401,'A.0_Tablas salariales SC'!$I$220,IF(D127=451,'A.0_Tablas salariales SC'!$I$221,'A.0_Tablas salariales SC'!$I$215)))))))</f>
        <v>0.34755000000000003</v>
      </c>
      <c r="R127" s="183">
        <f t="shared" si="12"/>
        <v>1253.1986183619001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'A.1.0_TablaAntigüedad_Sub'!O128</f>
        <v>132</v>
      </c>
      <c r="I128" s="183">
        <f>'A.1.0_TablaAntigüedad_Sub'!AC128</f>
        <v>559.83693000000005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8397.5539500000014</v>
      </c>
      <c r="O128" s="183">
        <f>'A.0_Tablas salariales SC'!$K$178</f>
        <v>29310.976263000004</v>
      </c>
      <c r="P128" s="183">
        <f>(O128+N128)*G128+'A.0_Tablas salariales SC'!$R$192*(100%-G128)</f>
        <v>3605.8081380000003</v>
      </c>
      <c r="Q128" s="184">
        <f>IF(D128=100,'A.0_Tablas salariales SC'!$I$215,IF(D128=150,'A.0_Tablas salariales SC'!$I$216,IF(D128=189,'A.0_Tablas salariales SC'!$I$217,IF(D128=400,'A.0_Tablas salariales SC'!$I$218,IF(D128=450,'A.0_Tablas salariales SC'!$I$219,IF(D128=401,'A.0_Tablas salariales SC'!$I$220,IF(D128=451,'A.0_Tablas salariales SC'!$I$221,'A.0_Tablas salariales SC'!$I$215)))))))</f>
        <v>0.34755000000000003</v>
      </c>
      <c r="R128" s="183">
        <f t="shared" si="12"/>
        <v>1253.1986183619001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'A.1.0_TablaAntigüedad_Sub'!O129</f>
        <v>132</v>
      </c>
      <c r="I129" s="183">
        <f>'A.1.0_TablaAntigüedad_Sub'!AC129</f>
        <v>559.83693000000005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8397.5539500000014</v>
      </c>
      <c r="O129" s="183">
        <f>'A.0_Tablas salariales SC'!$K$178</f>
        <v>29310.976263000004</v>
      </c>
      <c r="P129" s="183">
        <f>(O129+N129)*G129+'A.0_Tablas salariales SC'!$R$192*(100%-G129)</f>
        <v>3605.8081380000003</v>
      </c>
      <c r="Q129" s="184">
        <f>IF(D129=100,'A.0_Tablas salariales SC'!$I$215,IF(D129=150,'A.0_Tablas salariales SC'!$I$216,IF(D129=189,'A.0_Tablas salariales SC'!$I$217,IF(D129=400,'A.0_Tablas salariales SC'!$I$218,IF(D129=450,'A.0_Tablas salariales SC'!$I$219,IF(D129=401,'A.0_Tablas salariales SC'!$I$220,IF(D129=451,'A.0_Tablas salariales SC'!$I$221,'A.0_Tablas salariales SC'!$I$215)))))))</f>
        <v>0.34755000000000003</v>
      </c>
      <c r="R129" s="183">
        <f t="shared" si="12"/>
        <v>1253.1986183619001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'A.1.0_TablaAntigüedad_Sub'!O130</f>
        <v>132</v>
      </c>
      <c r="I130" s="183">
        <f>'A.1.0_TablaAntigüedad_Sub'!AC130</f>
        <v>559.83693000000005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8397.5539500000014</v>
      </c>
      <c r="O130" s="183">
        <f>'A.0_Tablas salariales SC'!$K$178</f>
        <v>29310.976263000004</v>
      </c>
      <c r="P130" s="183">
        <f>(O130+N130)*G130+'A.0_Tablas salariales SC'!$R$192*(100%-G130)</f>
        <v>3605.8081380000003</v>
      </c>
      <c r="Q130" s="184">
        <f>IF(D130=100,'A.0_Tablas salariales SC'!$I$215,IF(D130=150,'A.0_Tablas salariales SC'!$I$216,IF(D130=189,'A.0_Tablas salariales SC'!$I$217,IF(D130=400,'A.0_Tablas salariales SC'!$I$218,IF(D130=450,'A.0_Tablas salariales SC'!$I$219,IF(D130=401,'A.0_Tablas salariales SC'!$I$220,IF(D130=451,'A.0_Tablas salariales SC'!$I$221,'A.0_Tablas salariales SC'!$I$215)))))))</f>
        <v>0.34755000000000003</v>
      </c>
      <c r="R130" s="183">
        <f t="shared" si="12"/>
        <v>1253.1986183619001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'A.1.0_TablaAntigüedad_Sub'!O131</f>
        <v>132</v>
      </c>
      <c r="I131" s="183">
        <f>'A.1.0_TablaAntigüedad_Sub'!AC131</f>
        <v>559.83693000000005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8397.5539500000014</v>
      </c>
      <c r="O131" s="183">
        <f>'A.0_Tablas salariales SC'!$K$178</f>
        <v>29310.976263000004</v>
      </c>
      <c r="P131" s="183">
        <f>(O131+N131)*G131+'A.0_Tablas salariales SC'!$R$192*(100%-G131)</f>
        <v>3605.8081380000003</v>
      </c>
      <c r="Q131" s="184">
        <f>IF(D131=100,'A.0_Tablas salariales SC'!$I$215,IF(D131=150,'A.0_Tablas salariales SC'!$I$216,IF(D131=189,'A.0_Tablas salariales SC'!$I$217,IF(D131=400,'A.0_Tablas salariales SC'!$I$218,IF(D131=450,'A.0_Tablas salariales SC'!$I$219,IF(D131=401,'A.0_Tablas salariales SC'!$I$220,IF(D131=451,'A.0_Tablas salariales SC'!$I$221,'A.0_Tablas salariales SC'!$I$215)))))))</f>
        <v>0.34755000000000003</v>
      </c>
      <c r="R131" s="183">
        <f t="shared" si="12"/>
        <v>1253.1986183619001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'A.1.0_TablaAntigüedad_Sub'!O132</f>
        <v>132</v>
      </c>
      <c r="I132" s="183">
        <f>'A.1.0_TablaAntigüedad_Sub'!AC132</f>
        <v>559.83693000000005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8397.5539500000014</v>
      </c>
      <c r="O132" s="183">
        <f>'A.0_Tablas salariales SC'!$K$178</f>
        <v>29310.976263000004</v>
      </c>
      <c r="P132" s="183">
        <f>(O132+N132)*G132+'A.0_Tablas salariales SC'!$R$192*(100%-G132)</f>
        <v>3605.8081380000003</v>
      </c>
      <c r="Q132" s="184">
        <f>IF(D132=100,'A.0_Tablas salariales SC'!$I$215,IF(D132=150,'A.0_Tablas salariales SC'!$I$216,IF(D132=189,'A.0_Tablas salariales SC'!$I$217,IF(D132=400,'A.0_Tablas salariales SC'!$I$218,IF(D132=450,'A.0_Tablas salariales SC'!$I$219,IF(D132=401,'A.0_Tablas salariales SC'!$I$220,IF(D132=451,'A.0_Tablas salariales SC'!$I$221,'A.0_Tablas salariales SC'!$I$215)))))))</f>
        <v>0.34755000000000003</v>
      </c>
      <c r="R132" s="183">
        <f t="shared" si="12"/>
        <v>1253.1986183619001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'A.1.0_TablaAntigüedad_Sub'!O133</f>
        <v>132</v>
      </c>
      <c r="I133" s="183">
        <f>'A.1.0_TablaAntigüedad_Sub'!AC133</f>
        <v>559.83693000000005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8397.5539500000014</v>
      </c>
      <c r="O133" s="183">
        <f>'A.0_Tablas salariales SC'!$K$178</f>
        <v>29310.976263000004</v>
      </c>
      <c r="P133" s="183">
        <f>(O133+N133)*G133+'A.0_Tablas salariales SC'!$R$192*(100%-G133)</f>
        <v>3605.8081380000003</v>
      </c>
      <c r="Q133" s="184">
        <f>IF(D133=100,'A.0_Tablas salariales SC'!$I$215,IF(D133=150,'A.0_Tablas salariales SC'!$I$216,IF(D133=189,'A.0_Tablas salariales SC'!$I$217,IF(D133=400,'A.0_Tablas salariales SC'!$I$218,IF(D133=450,'A.0_Tablas salariales SC'!$I$219,IF(D133=401,'A.0_Tablas salariales SC'!$I$220,IF(D133=451,'A.0_Tablas salariales SC'!$I$221,'A.0_Tablas salariales SC'!$I$215)))))))</f>
        <v>0.34755000000000003</v>
      </c>
      <c r="R133" s="183">
        <f t="shared" si="12"/>
        <v>1253.1986183619001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'A.1.0_TablaAntigüedad_Sub'!O134</f>
        <v>132</v>
      </c>
      <c r="I134" s="183">
        <f>'A.1.0_TablaAntigüedad_Sub'!AC134</f>
        <v>559.83693000000005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8397.5539500000014</v>
      </c>
      <c r="O134" s="183">
        <f>'A.0_Tablas salariales SC'!$K$178</f>
        <v>29310.976263000004</v>
      </c>
      <c r="P134" s="183">
        <f>(O134+N134)*G134+'A.0_Tablas salariales SC'!$R$192*(100%-G134)</f>
        <v>3605.8081380000003</v>
      </c>
      <c r="Q134" s="184">
        <f>IF(D134=100,'A.0_Tablas salariales SC'!$I$215,IF(D134=150,'A.0_Tablas salariales SC'!$I$216,IF(D134=189,'A.0_Tablas salariales SC'!$I$217,IF(D134=400,'A.0_Tablas salariales SC'!$I$218,IF(D134=450,'A.0_Tablas salariales SC'!$I$219,IF(D134=401,'A.0_Tablas salariales SC'!$I$220,IF(D134=451,'A.0_Tablas salariales SC'!$I$221,'A.0_Tablas salariales SC'!$I$215)))))))</f>
        <v>0.34755000000000003</v>
      </c>
      <c r="R134" s="183">
        <f t="shared" si="12"/>
        <v>1253.1986183619001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'A.1.0_TablaAntigüedad_Sub'!O135</f>
        <v>132</v>
      </c>
      <c r="I135" s="183">
        <f>'A.1.0_TablaAntigüedad_Sub'!AC135</f>
        <v>559.83693000000005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8397.5539500000014</v>
      </c>
      <c r="O135" s="183">
        <f>'A.0_Tablas salariales SC'!$K$178</f>
        <v>29310.976263000004</v>
      </c>
      <c r="P135" s="183">
        <f>(O135+N135)*G135+'A.0_Tablas salariales SC'!$R$192*(100%-G135)</f>
        <v>3605.8081380000003</v>
      </c>
      <c r="Q135" s="184">
        <f>IF(D135=100,'A.0_Tablas salariales SC'!$I$215,IF(D135=150,'A.0_Tablas salariales SC'!$I$216,IF(D135=189,'A.0_Tablas salariales SC'!$I$217,IF(D135=400,'A.0_Tablas salariales SC'!$I$218,IF(D135=450,'A.0_Tablas salariales SC'!$I$219,IF(D135=401,'A.0_Tablas salariales SC'!$I$220,IF(D135=451,'A.0_Tablas salariales SC'!$I$221,'A.0_Tablas salariales SC'!$I$215)))))))</f>
        <v>0.34755000000000003</v>
      </c>
      <c r="R135" s="183">
        <f t="shared" si="12"/>
        <v>1253.1986183619001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'A.1.0_TablaAntigüedad_Sub'!O136</f>
        <v>132</v>
      </c>
      <c r="I136" s="183">
        <f>'A.1.0_TablaAntigüedad_Sub'!AC136</f>
        <v>559.83693000000005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8397.5539500000014</v>
      </c>
      <c r="O136" s="183">
        <f>'A.0_Tablas salariales SC'!$K$178</f>
        <v>29310.976263000004</v>
      </c>
      <c r="P136" s="183">
        <f>(O136+N136)*G136+'A.0_Tablas salariales SC'!$R$192*(100%-G136)</f>
        <v>3605.8081380000003</v>
      </c>
      <c r="Q136" s="184">
        <f>IF(D136=100,'A.0_Tablas salariales SC'!$I$215,IF(D136=150,'A.0_Tablas salariales SC'!$I$216,IF(D136=189,'A.0_Tablas salariales SC'!$I$217,IF(D136=400,'A.0_Tablas salariales SC'!$I$218,IF(D136=450,'A.0_Tablas salariales SC'!$I$219,IF(D136=401,'A.0_Tablas salariales SC'!$I$220,IF(D136=451,'A.0_Tablas salariales SC'!$I$221,'A.0_Tablas salariales SC'!$I$215)))))))</f>
        <v>0.34755000000000003</v>
      </c>
      <c r="R136" s="183">
        <f t="shared" si="12"/>
        <v>1253.1986183619001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'A.1.0_TablaAntigüedad_Sub'!O137</f>
        <v>132</v>
      </c>
      <c r="I137" s="183">
        <f>'A.1.0_TablaAntigüedad_Sub'!AC137</f>
        <v>559.83693000000005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8397.5539500000014</v>
      </c>
      <c r="O137" s="183">
        <f>'A.0_Tablas salariales SC'!$K$178</f>
        <v>29310.976263000004</v>
      </c>
      <c r="P137" s="183">
        <f>(O137+N137)*G137+'A.0_Tablas salariales SC'!$R$192*(100%-G137)</f>
        <v>3605.8081380000003</v>
      </c>
      <c r="Q137" s="184">
        <f>IF(D137=100,'A.0_Tablas salariales SC'!$I$215,IF(D137=150,'A.0_Tablas salariales SC'!$I$216,IF(D137=189,'A.0_Tablas salariales SC'!$I$217,IF(D137=400,'A.0_Tablas salariales SC'!$I$218,IF(D137=450,'A.0_Tablas salariales SC'!$I$219,IF(D137=401,'A.0_Tablas salariales SC'!$I$220,IF(D137=451,'A.0_Tablas salariales SC'!$I$221,'A.0_Tablas salariales SC'!$I$215)))))))</f>
        <v>0.34755000000000003</v>
      </c>
      <c r="R137" s="183">
        <f t="shared" si="12"/>
        <v>1253.1986183619001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'A.1.0_TablaAntigüedad_Sub'!O138</f>
        <v>132</v>
      </c>
      <c r="I138" s="183">
        <f>'A.1.0_TablaAntigüedad_Sub'!AC138</f>
        <v>559.83693000000005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8397.5539500000014</v>
      </c>
      <c r="O138" s="183">
        <f>'A.0_Tablas salariales SC'!$K$178</f>
        <v>29310.976263000004</v>
      </c>
      <c r="P138" s="183">
        <f>(O138+N138)*G138+'A.0_Tablas salariales SC'!$R$192*(100%-G138)</f>
        <v>3605.8081380000003</v>
      </c>
      <c r="Q138" s="184">
        <f>IF(D138=100,'A.0_Tablas salariales SC'!$I$215,IF(D138=150,'A.0_Tablas salariales SC'!$I$216,IF(D138=189,'A.0_Tablas salariales SC'!$I$217,IF(D138=400,'A.0_Tablas salariales SC'!$I$218,IF(D138=450,'A.0_Tablas salariales SC'!$I$219,IF(D138=401,'A.0_Tablas salariales SC'!$I$220,IF(D138=451,'A.0_Tablas salariales SC'!$I$221,'A.0_Tablas salariales SC'!$I$215)))))))</f>
        <v>0.34755000000000003</v>
      </c>
      <c r="R138" s="183">
        <f t="shared" si="10"/>
        <v>1253.1986183619001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0</v>
      </c>
    </row>
    <row r="140" spans="1:20">
      <c r="A140" s="508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2">
        <f>'A.1. Plantilla_Subrogacion'!F140</f>
        <v>0</v>
      </c>
      <c r="H140" s="181">
        <f>'A.1.0_TablaAntigüedad_Sub'!O140</f>
        <v>132</v>
      </c>
      <c r="I140" s="183">
        <f>'A.1.0_TablaAntigüedad_Sub'!AC140</f>
        <v>559.83693000000005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8397.5539500000014</v>
      </c>
      <c r="O140" s="183">
        <f>'A.0_Tablas salariales SC'!$K$178</f>
        <v>29310.976263000004</v>
      </c>
      <c r="P140" s="183">
        <f>(O140+N140)*G140+'A.0_Tablas salariales SC'!$R$192*(100%-G140)</f>
        <v>3605.8081380000003</v>
      </c>
      <c r="Q140" s="492">
        <f>IF(D140=100,'A.0_Tablas salariales SC'!$I$227,IF(D140=150,'A.0_Tablas salariales SC'!$I$228,IF(D140=189,'A.0_Tablas salariales SC'!$I$229,IF(D140=400,'A.0_Tablas salariales SC'!$I$230,IF(D140=450,'A.0_Tablas salariales SC'!$I$231,IF(D140=401,'A.0_Tablas salariales SC'!$I$232,IF(D140=451,'A.0_Tablas salariales SC'!$I$233,'A.0_Tablas salariales SC'!$I$227)))))))</f>
        <v>0.37855000000000005</v>
      </c>
      <c r="R140" s="183">
        <f t="shared" si="10"/>
        <v>1364.9786706399004</v>
      </c>
      <c r="S140" s="183">
        <f t="shared" si="11"/>
        <v>0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'A.1.0_TablaAntigüedad_Sub'!O141</f>
        <v>132</v>
      </c>
      <c r="I141" s="183">
        <f>'A.1.0_TablaAntigüedad_Sub'!AC141</f>
        <v>559.83693000000005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8397.5539500000014</v>
      </c>
      <c r="O141" s="183">
        <f>'A.0_Tablas salariales SC'!$K$178</f>
        <v>29310.976263000004</v>
      </c>
      <c r="P141" s="183">
        <f>(O141+N141)*G141+'A.0_Tablas salariales SC'!$R$192*(100%-G141)</f>
        <v>3605.8081380000003</v>
      </c>
      <c r="Q141" s="492">
        <f>IF(D141=100,'A.0_Tablas salariales SC'!$I$227,IF(D141=150,'A.0_Tablas salariales SC'!$I$228,IF(D141=189,'A.0_Tablas salariales SC'!$I$229,IF(D141=400,'A.0_Tablas salariales SC'!$I$230,IF(D141=450,'A.0_Tablas salariales SC'!$I$231,IF(D141=401,'A.0_Tablas salariales SC'!$I$232,IF(D141=451,'A.0_Tablas salariales SC'!$I$233,'A.0_Tablas salariales SC'!$I$227)))))))</f>
        <v>0.37855000000000005</v>
      </c>
      <c r="R141" s="183">
        <f t="shared" si="10"/>
        <v>1364.9786706399004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'A.1.0_TablaAntigüedad_Sub'!O142</f>
        <v>132</v>
      </c>
      <c r="I142" s="183">
        <f>'A.1.0_TablaAntigüedad_Sub'!AC142</f>
        <v>559.83693000000005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8397.5539500000014</v>
      </c>
      <c r="O142" s="183">
        <f>'A.0_Tablas salariales SC'!$K$178</f>
        <v>29310.976263000004</v>
      </c>
      <c r="P142" s="183">
        <f>(O142+N142)*G142+'A.0_Tablas salariales SC'!$R$192*(100%-G142)</f>
        <v>3605.8081380000003</v>
      </c>
      <c r="Q142" s="492">
        <f>IF(D142=100,'A.0_Tablas salariales SC'!$I$227,IF(D142=150,'A.0_Tablas salariales SC'!$I$228,IF(D142=189,'A.0_Tablas salariales SC'!$I$229,IF(D142=400,'A.0_Tablas salariales SC'!$I$230,IF(D142=450,'A.0_Tablas salariales SC'!$I$231,IF(D142=401,'A.0_Tablas salariales SC'!$I$232,IF(D142=451,'A.0_Tablas salariales SC'!$I$233,'A.0_Tablas salariales SC'!$I$227)))))))</f>
        <v>0.37855000000000005</v>
      </c>
      <c r="R142" s="183">
        <f t="shared" si="10"/>
        <v>1364.9786706399004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'A.1.0_TablaAntigüedad_Sub'!O143</f>
        <v>132</v>
      </c>
      <c r="I143" s="183">
        <f>'A.1.0_TablaAntigüedad_Sub'!AC143</f>
        <v>559.83693000000005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8397.5539500000014</v>
      </c>
      <c r="O143" s="183">
        <f>'A.0_Tablas salariales SC'!$K$178</f>
        <v>29310.976263000004</v>
      </c>
      <c r="P143" s="183">
        <f>(O143+N143)*G143+'A.0_Tablas salariales SC'!$R$192*(100%-G143)</f>
        <v>3605.8081380000003</v>
      </c>
      <c r="Q143" s="492">
        <f>IF(D143=100,'A.0_Tablas salariales SC'!$I$227,IF(D143=150,'A.0_Tablas salariales SC'!$I$228,IF(D143=189,'A.0_Tablas salariales SC'!$I$229,IF(D143=400,'A.0_Tablas salariales SC'!$I$230,IF(D143=450,'A.0_Tablas salariales SC'!$I$231,IF(D143=401,'A.0_Tablas salariales SC'!$I$232,IF(D143=451,'A.0_Tablas salariales SC'!$I$233,'A.0_Tablas salariales SC'!$I$227)))))))</f>
        <v>0.37855000000000005</v>
      </c>
      <c r="R143" s="183">
        <f t="shared" ref="R143:R150" si="15">Q143*P143</f>
        <v>1364.9786706399004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'A.1.0_TablaAntigüedad_Sub'!O144</f>
        <v>132</v>
      </c>
      <c r="I144" s="183">
        <f>'A.1.0_TablaAntigüedad_Sub'!AC144</f>
        <v>559.83693000000005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8397.5539500000014</v>
      </c>
      <c r="O144" s="183">
        <f>'A.0_Tablas salariales SC'!$K$178</f>
        <v>29310.976263000004</v>
      </c>
      <c r="P144" s="183">
        <f>(O144+N144)*G144+'A.0_Tablas salariales SC'!$R$192*(100%-G144)</f>
        <v>3605.8081380000003</v>
      </c>
      <c r="Q144" s="492">
        <f>IF(D144=100,'A.0_Tablas salariales SC'!$I$227,IF(D144=150,'A.0_Tablas salariales SC'!$I$228,IF(D144=189,'A.0_Tablas salariales SC'!$I$229,IF(D144=400,'A.0_Tablas salariales SC'!$I$230,IF(D144=450,'A.0_Tablas salariales SC'!$I$231,IF(D144=401,'A.0_Tablas salariales SC'!$I$232,IF(D144=451,'A.0_Tablas salariales SC'!$I$233,'A.0_Tablas salariales SC'!$I$227)))))))</f>
        <v>0.37855000000000005</v>
      </c>
      <c r="R144" s="183">
        <f t="shared" si="15"/>
        <v>1364.9786706399004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'A.1.0_TablaAntigüedad_Sub'!O145</f>
        <v>132</v>
      </c>
      <c r="I145" s="183">
        <f>'A.1.0_TablaAntigüedad_Sub'!AC145</f>
        <v>559.83693000000005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8397.5539500000014</v>
      </c>
      <c r="O145" s="183">
        <f>'A.0_Tablas salariales SC'!$K$178</f>
        <v>29310.976263000004</v>
      </c>
      <c r="P145" s="183">
        <f>(O145+N145)*G145+'A.0_Tablas salariales SC'!$R$192*(100%-G145)</f>
        <v>3605.8081380000003</v>
      </c>
      <c r="Q145" s="492">
        <f>IF(D145=100,'A.0_Tablas salariales SC'!$I$227,IF(D145=150,'A.0_Tablas salariales SC'!$I$228,IF(D145=189,'A.0_Tablas salariales SC'!$I$229,IF(D145=400,'A.0_Tablas salariales SC'!$I$230,IF(D145=450,'A.0_Tablas salariales SC'!$I$231,IF(D145=401,'A.0_Tablas salariales SC'!$I$232,IF(D145=451,'A.0_Tablas salariales SC'!$I$233,'A.0_Tablas salariales SC'!$I$227)))))))</f>
        <v>0.37855000000000005</v>
      </c>
      <c r="R145" s="183">
        <f t="shared" si="15"/>
        <v>1364.9786706399004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'A.1.0_TablaAntigüedad_Sub'!O146</f>
        <v>132</v>
      </c>
      <c r="I146" s="183">
        <f>'A.1.0_TablaAntigüedad_Sub'!AC146</f>
        <v>559.83693000000005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8397.5539500000014</v>
      </c>
      <c r="O146" s="183">
        <f>'A.0_Tablas salariales SC'!$K$178</f>
        <v>29310.976263000004</v>
      </c>
      <c r="P146" s="183">
        <f>(O146+N146)*G146+'A.0_Tablas salariales SC'!$R$192*(100%-G146)</f>
        <v>3605.8081380000003</v>
      </c>
      <c r="Q146" s="492">
        <f>IF(D146=100,'A.0_Tablas salariales SC'!$I$227,IF(D146=150,'A.0_Tablas salariales SC'!$I$228,IF(D146=189,'A.0_Tablas salariales SC'!$I$229,IF(D146=400,'A.0_Tablas salariales SC'!$I$230,IF(D146=450,'A.0_Tablas salariales SC'!$I$231,IF(D146=401,'A.0_Tablas salariales SC'!$I$232,IF(D146=451,'A.0_Tablas salariales SC'!$I$233,'A.0_Tablas salariales SC'!$I$227)))))))</f>
        <v>0.37855000000000005</v>
      </c>
      <c r="R146" s="183">
        <f t="shared" si="15"/>
        <v>1364.9786706399004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'A.1.0_TablaAntigüedad_Sub'!O147</f>
        <v>132</v>
      </c>
      <c r="I147" s="183">
        <f>'A.1.0_TablaAntigüedad_Sub'!AC147</f>
        <v>559.83693000000005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8397.5539500000014</v>
      </c>
      <c r="O147" s="183">
        <f>'A.0_Tablas salariales SC'!$K$178</f>
        <v>29310.976263000004</v>
      </c>
      <c r="P147" s="183">
        <f>(O147+N147)*G147+'A.0_Tablas salariales SC'!$R$192*(100%-G147)</f>
        <v>3605.8081380000003</v>
      </c>
      <c r="Q147" s="492">
        <f>IF(D147=100,'A.0_Tablas salariales SC'!$I$227,IF(D147=150,'A.0_Tablas salariales SC'!$I$228,IF(D147=189,'A.0_Tablas salariales SC'!$I$229,IF(D147=400,'A.0_Tablas salariales SC'!$I$230,IF(D147=450,'A.0_Tablas salariales SC'!$I$231,IF(D147=401,'A.0_Tablas salariales SC'!$I$232,IF(D147=451,'A.0_Tablas salariales SC'!$I$233,'A.0_Tablas salariales SC'!$I$227)))))))</f>
        <v>0.37855000000000005</v>
      </c>
      <c r="R147" s="183">
        <f t="shared" si="15"/>
        <v>1364.9786706399004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'A.1.0_TablaAntigüedad_Sub'!O148</f>
        <v>132</v>
      </c>
      <c r="I148" s="183">
        <f>'A.1.0_TablaAntigüedad_Sub'!AC148</f>
        <v>559.83693000000005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8397.5539500000014</v>
      </c>
      <c r="O148" s="183">
        <f>'A.0_Tablas salariales SC'!$K$178</f>
        <v>29310.976263000004</v>
      </c>
      <c r="P148" s="183">
        <f>(O148+N148)*G148+'A.0_Tablas salariales SC'!$R$192*(100%-G148)</f>
        <v>3605.8081380000003</v>
      </c>
      <c r="Q148" s="492">
        <f>IF(D148=100,'A.0_Tablas salariales SC'!$I$227,IF(D148=150,'A.0_Tablas salariales SC'!$I$228,IF(D148=189,'A.0_Tablas salariales SC'!$I$229,IF(D148=400,'A.0_Tablas salariales SC'!$I$230,IF(D148=450,'A.0_Tablas salariales SC'!$I$231,IF(D148=401,'A.0_Tablas salariales SC'!$I$232,IF(D148=451,'A.0_Tablas salariales SC'!$I$233,'A.0_Tablas salariales SC'!$I$227)))))))</f>
        <v>0.37855000000000005</v>
      </c>
      <c r="R148" s="183">
        <f t="shared" si="15"/>
        <v>1364.9786706399004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'A.1.0_TablaAntigüedad_Sub'!O149</f>
        <v>132</v>
      </c>
      <c r="I149" s="183">
        <f>'A.1.0_TablaAntigüedad_Sub'!AC149</f>
        <v>559.83693000000005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8397.5539500000014</v>
      </c>
      <c r="O149" s="183">
        <f>'A.0_Tablas salariales SC'!$K$178</f>
        <v>29310.976263000004</v>
      </c>
      <c r="P149" s="183">
        <f>(O149+N149)*G149+'A.0_Tablas salariales SC'!$R$192*(100%-G149)</f>
        <v>3605.8081380000003</v>
      </c>
      <c r="Q149" s="492">
        <f>IF(D149=100,'A.0_Tablas salariales SC'!$I$227,IF(D149=150,'A.0_Tablas salariales SC'!$I$228,IF(D149=189,'A.0_Tablas salariales SC'!$I$229,IF(D149=400,'A.0_Tablas salariales SC'!$I$230,IF(D149=450,'A.0_Tablas salariales SC'!$I$231,IF(D149=401,'A.0_Tablas salariales SC'!$I$232,IF(D149=451,'A.0_Tablas salariales SC'!$I$233,'A.0_Tablas salariales SC'!$I$227)))))))</f>
        <v>0.37855000000000005</v>
      </c>
      <c r="R149" s="183">
        <f t="shared" si="15"/>
        <v>1364.9786706399004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'A.1.0_TablaAntigüedad_Sub'!O150</f>
        <v>132</v>
      </c>
      <c r="I150" s="183">
        <f>'A.1.0_TablaAntigüedad_Sub'!AC150</f>
        <v>559.83693000000005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8397.5539500000014</v>
      </c>
      <c r="O150" s="183">
        <f>'A.0_Tablas salariales SC'!$K$178</f>
        <v>29310.976263000004</v>
      </c>
      <c r="P150" s="183">
        <f>(O150+N150)*G150+'A.0_Tablas salariales SC'!$R$192*(100%-G150)</f>
        <v>3605.8081380000003</v>
      </c>
      <c r="Q150" s="492">
        <f>IF(D150=100,'A.0_Tablas salariales SC'!$I$227,IF(D150=150,'A.0_Tablas salariales SC'!$I$228,IF(D150=189,'A.0_Tablas salariales SC'!$I$229,IF(D150=400,'A.0_Tablas salariales SC'!$I$230,IF(D150=450,'A.0_Tablas salariales SC'!$I$231,IF(D150=401,'A.0_Tablas salariales SC'!$I$232,IF(D150=451,'A.0_Tablas salariales SC'!$I$233,'A.0_Tablas salariales SC'!$I$227)))))))</f>
        <v>0.37855000000000005</v>
      </c>
      <c r="R150" s="183">
        <f t="shared" si="15"/>
        <v>1364.9786706399004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'A.1.0_TablaAntigüedad_Sub'!O151</f>
        <v>132</v>
      </c>
      <c r="I151" s="183">
        <f>'A.1.0_TablaAntigüedad_Sub'!AC151</f>
        <v>559.83693000000005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8397.5539500000014</v>
      </c>
      <c r="O151" s="183">
        <f>'A.0_Tablas salariales SC'!$K$178</f>
        <v>29310.976263000004</v>
      </c>
      <c r="P151" s="183">
        <f>(O151+N151)*G151+'A.0_Tablas salariales SC'!$R$192*(100%-G151)</f>
        <v>3605.8081380000003</v>
      </c>
      <c r="Q151" s="492">
        <f>IF(D151=100,'A.0_Tablas salariales SC'!$I$227,IF(D151=150,'A.0_Tablas salariales SC'!$I$228,IF(D151=189,'A.0_Tablas salariales SC'!$I$229,IF(D151=400,'A.0_Tablas salariales SC'!$I$230,IF(D151=450,'A.0_Tablas salariales SC'!$I$231,IF(D151=401,'A.0_Tablas salariales SC'!$I$232,IF(D151=451,'A.0_Tablas salariales SC'!$I$233,'A.0_Tablas salariales SC'!$I$227)))))))</f>
        <v>0.37855000000000005</v>
      </c>
      <c r="R151" s="183">
        <f t="shared" si="10"/>
        <v>1364.9786706399004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0</v>
      </c>
    </row>
    <row r="153" spans="1:20">
      <c r="A153" s="508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2">
        <f>'A.1. Plantilla_Subrogacion'!F153</f>
        <v>0</v>
      </c>
      <c r="H153" s="181">
        <f>'A.1.0_TablaAntigüedad_Sub'!O153</f>
        <v>132</v>
      </c>
      <c r="I153" s="183">
        <f>'A.1.0_TablaAntigüedad_Sub'!AC153</f>
        <v>559.83693000000005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8397.5539500000014</v>
      </c>
      <c r="O153" s="183">
        <f>'A.0_Tablas salariales SC'!$K$181</f>
        <v>30487.143048000009</v>
      </c>
      <c r="P153" s="183">
        <f>(O153+N153)*G153+'A.0_Tablas salariales SC'!$R$192*(100%-G153)</f>
        <v>3605.8081380000003</v>
      </c>
      <c r="Q153" s="184">
        <f>IF(D153=100,'A.0_Tablas salariales SC'!$I$215,IF(D153=150,'A.0_Tablas salariales SC'!$I$216,IF(D153=189,'A.0_Tablas salariales SC'!$I$217,IF(D153=400,'A.0_Tablas salariales SC'!$I$218,IF(D153=450,'A.0_Tablas salariales SC'!$I$219,IF(D153=401,'A.0_Tablas salariales SC'!$I$220,IF(D153=451,'A.0_Tablas salariales SC'!$I$221,'A.0_Tablas salariales SC'!$I$215)))))))</f>
        <v>0.34755000000000003</v>
      </c>
      <c r="R153" s="183">
        <f t="shared" si="10"/>
        <v>1253.1986183619001</v>
      </c>
      <c r="S153" s="183">
        <f t="shared" si="11"/>
        <v>0</v>
      </c>
      <c r="T153" s="179"/>
    </row>
    <row r="154" spans="1:20">
      <c r="A154" s="508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2">
        <f>'A.1. Plantilla_Subrogacion'!F154</f>
        <v>0</v>
      </c>
      <c r="H154" s="181">
        <f>'A.1.0_TablaAntigüedad_Sub'!O154</f>
        <v>132</v>
      </c>
      <c r="I154" s="183">
        <f>'A.1.0_TablaAntigüedad_Sub'!AC154</f>
        <v>559.83693000000005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8397.5539500000014</v>
      </c>
      <c r="O154" s="183">
        <f>'A.0_Tablas salariales SC'!$K$181</f>
        <v>30487.143048000009</v>
      </c>
      <c r="P154" s="183">
        <f>(O154+N154)*G154+'A.0_Tablas salariales SC'!$R$192*(100%-G154)</f>
        <v>3605.8081380000003</v>
      </c>
      <c r="Q154" s="184">
        <f>IF(D154=100,'A.0_Tablas salariales SC'!$I$215,IF(D154=150,'A.0_Tablas salariales SC'!$I$216,IF(D154=189,'A.0_Tablas salariales SC'!$I$217,IF(D154=400,'A.0_Tablas salariales SC'!$I$218,IF(D154=450,'A.0_Tablas salariales SC'!$I$219,IF(D154=401,'A.0_Tablas salariales SC'!$I$220,IF(D154=451,'A.0_Tablas salariales SC'!$I$221,'A.0_Tablas salariales SC'!$I$215)))))))</f>
        <v>0.34755000000000003</v>
      </c>
      <c r="R154" s="183">
        <f t="shared" ref="R154:R161" si="17">Q154*P154</f>
        <v>1253.1986183619001</v>
      </c>
      <c r="S154" s="183">
        <f t="shared" ref="S154:S161" si="18">(R154+P154)*A154</f>
        <v>0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'A.1.0_TablaAntigüedad_Sub'!O155</f>
        <v>132</v>
      </c>
      <c r="I155" s="183">
        <f>'A.1.0_TablaAntigüedad_Sub'!AC155</f>
        <v>559.83693000000005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8397.5539500000014</v>
      </c>
      <c r="O155" s="183">
        <f>'A.0_Tablas salariales SC'!$K$181</f>
        <v>30487.143048000009</v>
      </c>
      <c r="P155" s="183">
        <f>(O155+N155)*G155+'A.0_Tablas salariales SC'!$R$192*(100%-G155)</f>
        <v>3605.8081380000003</v>
      </c>
      <c r="Q155" s="184">
        <f>IF(D155=100,'A.0_Tablas salariales SC'!$I$215,IF(D155=150,'A.0_Tablas salariales SC'!$I$216,IF(D155=189,'A.0_Tablas salariales SC'!$I$217,IF(D155=400,'A.0_Tablas salariales SC'!$I$218,IF(D155=450,'A.0_Tablas salariales SC'!$I$219,IF(D155=401,'A.0_Tablas salariales SC'!$I$220,IF(D155=451,'A.0_Tablas salariales SC'!$I$221,'A.0_Tablas salariales SC'!$I$215)))))))</f>
        <v>0.34755000000000003</v>
      </c>
      <c r="R155" s="183">
        <f t="shared" si="17"/>
        <v>1253.1986183619001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'A.1.0_TablaAntigüedad_Sub'!O156</f>
        <v>132</v>
      </c>
      <c r="I156" s="183">
        <f>'A.1.0_TablaAntigüedad_Sub'!AC156</f>
        <v>559.83693000000005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8397.5539500000014</v>
      </c>
      <c r="O156" s="183">
        <f>'A.0_Tablas salariales SC'!$K$181</f>
        <v>30487.143048000009</v>
      </c>
      <c r="P156" s="183">
        <f>(O156+N156)*G156+'A.0_Tablas salariales SC'!$R$192*(100%-G156)</f>
        <v>3605.8081380000003</v>
      </c>
      <c r="Q156" s="184">
        <f>IF(D156=100,'A.0_Tablas salariales SC'!$I$215,IF(D156=150,'A.0_Tablas salariales SC'!$I$216,IF(D156=189,'A.0_Tablas salariales SC'!$I$217,IF(D156=400,'A.0_Tablas salariales SC'!$I$218,IF(D156=450,'A.0_Tablas salariales SC'!$I$219,IF(D156=401,'A.0_Tablas salariales SC'!$I$220,IF(D156=451,'A.0_Tablas salariales SC'!$I$221,'A.0_Tablas salariales SC'!$I$215)))))))</f>
        <v>0.34755000000000003</v>
      </c>
      <c r="R156" s="183">
        <f t="shared" si="17"/>
        <v>1253.1986183619001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'A.1.0_TablaAntigüedad_Sub'!O157</f>
        <v>132</v>
      </c>
      <c r="I157" s="183">
        <f>'A.1.0_TablaAntigüedad_Sub'!AC157</f>
        <v>559.83693000000005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8397.5539500000014</v>
      </c>
      <c r="O157" s="183">
        <f>'A.0_Tablas salariales SC'!$K$181</f>
        <v>30487.143048000009</v>
      </c>
      <c r="P157" s="183">
        <f>(O157+N157)*G157+'A.0_Tablas salariales SC'!$R$192*(100%-G157)</f>
        <v>3605.8081380000003</v>
      </c>
      <c r="Q157" s="184">
        <f>IF(D157=100,'A.0_Tablas salariales SC'!$I$215,IF(D157=150,'A.0_Tablas salariales SC'!$I$216,IF(D157=189,'A.0_Tablas salariales SC'!$I$217,IF(D157=400,'A.0_Tablas salariales SC'!$I$218,IF(D157=450,'A.0_Tablas salariales SC'!$I$219,IF(D157=401,'A.0_Tablas salariales SC'!$I$220,IF(D157=451,'A.0_Tablas salariales SC'!$I$221,'A.0_Tablas salariales SC'!$I$215)))))))</f>
        <v>0.34755000000000003</v>
      </c>
      <c r="R157" s="183">
        <f t="shared" si="17"/>
        <v>1253.1986183619001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'A.1.0_TablaAntigüedad_Sub'!O158</f>
        <v>132</v>
      </c>
      <c r="I158" s="183">
        <f>'A.1.0_TablaAntigüedad_Sub'!AC158</f>
        <v>559.83693000000005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8397.5539500000014</v>
      </c>
      <c r="O158" s="183">
        <f>'A.0_Tablas salariales SC'!$K$181</f>
        <v>30487.143048000009</v>
      </c>
      <c r="P158" s="183">
        <f>(O158+N158)*G158+'A.0_Tablas salariales SC'!$R$192*(100%-G158)</f>
        <v>3605.8081380000003</v>
      </c>
      <c r="Q158" s="184">
        <f>IF(D158=100,'A.0_Tablas salariales SC'!$I$215,IF(D158=150,'A.0_Tablas salariales SC'!$I$216,IF(D158=189,'A.0_Tablas salariales SC'!$I$217,IF(D158=400,'A.0_Tablas salariales SC'!$I$218,IF(D158=450,'A.0_Tablas salariales SC'!$I$219,IF(D158=401,'A.0_Tablas salariales SC'!$I$220,IF(D158=451,'A.0_Tablas salariales SC'!$I$221,'A.0_Tablas salariales SC'!$I$215)))))))</f>
        <v>0.34755000000000003</v>
      </c>
      <c r="R158" s="183">
        <f t="shared" si="17"/>
        <v>1253.1986183619001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'A.1.0_TablaAntigüedad_Sub'!O159</f>
        <v>132</v>
      </c>
      <c r="I159" s="183">
        <f>'A.1.0_TablaAntigüedad_Sub'!AC159</f>
        <v>559.83693000000005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8397.5539500000014</v>
      </c>
      <c r="O159" s="183">
        <f>'A.0_Tablas salariales SC'!$K$181</f>
        <v>30487.143048000009</v>
      </c>
      <c r="P159" s="183">
        <f>(O159+N159)*G159+'A.0_Tablas salariales SC'!$R$192*(100%-G159)</f>
        <v>3605.8081380000003</v>
      </c>
      <c r="Q159" s="184">
        <f>IF(D159=100,'A.0_Tablas salariales SC'!$I$215,IF(D159=150,'A.0_Tablas salariales SC'!$I$216,IF(D159=189,'A.0_Tablas salariales SC'!$I$217,IF(D159=400,'A.0_Tablas salariales SC'!$I$218,IF(D159=450,'A.0_Tablas salariales SC'!$I$219,IF(D159=401,'A.0_Tablas salariales SC'!$I$220,IF(D159=451,'A.0_Tablas salariales SC'!$I$221,'A.0_Tablas salariales SC'!$I$215)))))))</f>
        <v>0.34755000000000003</v>
      </c>
      <c r="R159" s="183">
        <f t="shared" si="17"/>
        <v>1253.1986183619001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'A.1.0_TablaAntigüedad_Sub'!O160</f>
        <v>132</v>
      </c>
      <c r="I160" s="183">
        <f>'A.1.0_TablaAntigüedad_Sub'!AC160</f>
        <v>559.83693000000005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8397.5539500000014</v>
      </c>
      <c r="O160" s="183">
        <f>'A.0_Tablas salariales SC'!$K$181</f>
        <v>30487.143048000009</v>
      </c>
      <c r="P160" s="183">
        <f>(O160+N160)*G160+'A.0_Tablas salariales SC'!$R$192*(100%-G160)</f>
        <v>3605.8081380000003</v>
      </c>
      <c r="Q160" s="184">
        <f>IF(D160=100,'A.0_Tablas salariales SC'!$I$215,IF(D160=150,'A.0_Tablas salariales SC'!$I$216,IF(D160=189,'A.0_Tablas salariales SC'!$I$217,IF(D160=400,'A.0_Tablas salariales SC'!$I$218,IF(D160=450,'A.0_Tablas salariales SC'!$I$219,IF(D160=401,'A.0_Tablas salariales SC'!$I$220,IF(D160=451,'A.0_Tablas salariales SC'!$I$221,'A.0_Tablas salariales SC'!$I$215)))))))</f>
        <v>0.34755000000000003</v>
      </c>
      <c r="R160" s="183">
        <f t="shared" si="17"/>
        <v>1253.1986183619001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'A.1.0_TablaAntigüedad_Sub'!O161</f>
        <v>132</v>
      </c>
      <c r="I161" s="183">
        <f>'A.1.0_TablaAntigüedad_Sub'!AC161</f>
        <v>559.83693000000005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8397.5539500000014</v>
      </c>
      <c r="O161" s="183">
        <f>'A.0_Tablas salariales SC'!$K$181</f>
        <v>30487.143048000009</v>
      </c>
      <c r="P161" s="183">
        <f>(O161+N161)*G161+'A.0_Tablas salariales SC'!$R$192*(100%-G161)</f>
        <v>3605.8081380000003</v>
      </c>
      <c r="Q161" s="184">
        <f>IF(D161=100,'A.0_Tablas salariales SC'!$I$215,IF(D161=150,'A.0_Tablas salariales SC'!$I$216,IF(D161=189,'A.0_Tablas salariales SC'!$I$217,IF(D161=400,'A.0_Tablas salariales SC'!$I$218,IF(D161=450,'A.0_Tablas salariales SC'!$I$219,IF(D161=401,'A.0_Tablas salariales SC'!$I$220,IF(D161=451,'A.0_Tablas salariales SC'!$I$221,'A.0_Tablas salariales SC'!$I$215)))))))</f>
        <v>0.34755000000000003</v>
      </c>
      <c r="R161" s="183">
        <f t="shared" si="17"/>
        <v>1253.1986183619001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'A.1.0_TablaAntigüedad_Sub'!O162</f>
        <v>132</v>
      </c>
      <c r="I162" s="183">
        <f>'A.1.0_TablaAntigüedad_Sub'!AC162</f>
        <v>559.83693000000005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8397.5539500000014</v>
      </c>
      <c r="O162" s="183">
        <f>'A.0_Tablas salariales SC'!$K$181</f>
        <v>30487.143048000009</v>
      </c>
      <c r="P162" s="183">
        <f>(O162+N162)*G162+'A.0_Tablas salariales SC'!$R$192*(100%-G162)</f>
        <v>3605.8081380000003</v>
      </c>
      <c r="Q162" s="184">
        <f>IF(D162=100,'A.0_Tablas salariales SC'!$I$215,IF(D162=150,'A.0_Tablas salariales SC'!$I$216,IF(D162=189,'A.0_Tablas salariales SC'!$I$217,IF(D162=400,'A.0_Tablas salariales SC'!$I$218,IF(D162=450,'A.0_Tablas salariales SC'!$I$219,IF(D162=401,'A.0_Tablas salariales SC'!$I$220,IF(D162=451,'A.0_Tablas salariales SC'!$I$221,'A.0_Tablas salariales SC'!$I$215)))))))</f>
        <v>0.34755000000000003</v>
      </c>
      <c r="R162" s="183">
        <f t="shared" si="10"/>
        <v>1253.1986183619001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0</v>
      </c>
    </row>
    <row r="164" spans="1:20">
      <c r="A164" s="508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2">
        <f>'A.1. Plantilla_Subrogacion'!F164</f>
        <v>0</v>
      </c>
      <c r="H164" s="181">
        <f>'A.1.0_TablaAntigüedad_Sub'!O164</f>
        <v>132</v>
      </c>
      <c r="I164" s="183">
        <f>'A.1.0_TablaAntigüedad_Sub'!AC164</f>
        <v>766.78669300000001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11501.800395</v>
      </c>
      <c r="O164" s="183">
        <f>'A.0_Tablas salariales SC'!$K$191</f>
        <v>38129.760558000009</v>
      </c>
      <c r="P164" s="183">
        <f>(O164+N164)*G164+'A.0_Tablas salariales SC'!$R$192*(100%-G164)</f>
        <v>3605.8081380000003</v>
      </c>
      <c r="Q164" s="184">
        <f>IF(D164=100,'A.0_Tablas salariales SC'!$I$215,IF(D164=150,'A.0_Tablas salariales SC'!$I$216,IF(D164=189,'A.0_Tablas salariales SC'!$I$217,IF(D164=400,'A.0_Tablas salariales SC'!$I$218,IF(D164=450,'A.0_Tablas salariales SC'!$I$219,IF(D164=401,'A.0_Tablas salariales SC'!$I$220,IF(D164=451,'A.0_Tablas salariales SC'!$I$221,'A.0_Tablas salariales SC'!$I$215)))))))</f>
        <v>0.34755000000000003</v>
      </c>
      <c r="R164" s="183">
        <f t="shared" si="10"/>
        <v>1253.1986183619001</v>
      </c>
      <c r="S164" s="183">
        <f t="shared" si="11"/>
        <v>0</v>
      </c>
      <c r="T164" s="179"/>
    </row>
    <row r="165" spans="1:20">
      <c r="A165" s="508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2">
        <f>'A.1. Plantilla_Subrogacion'!F165</f>
        <v>0</v>
      </c>
      <c r="H165" s="181">
        <f>'A.1.0_TablaAntigüedad_Sub'!O165</f>
        <v>132</v>
      </c>
      <c r="I165" s="183">
        <f>'A.1.0_TablaAntigüedad_Sub'!AC165</f>
        <v>766.78669300000001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11501.800395</v>
      </c>
      <c r="O165" s="183">
        <f>'A.0_Tablas salariales SC'!$K$191</f>
        <v>38129.760558000009</v>
      </c>
      <c r="P165" s="183">
        <f>(O165+N165)*G165+'A.0_Tablas salariales SC'!$R$192*(100%-G165)</f>
        <v>3605.8081380000003</v>
      </c>
      <c r="Q165" s="184">
        <f>IF(D165=100,'A.0_Tablas salariales SC'!$I$215,IF(D165=150,'A.0_Tablas salariales SC'!$I$216,IF(D165=189,'A.0_Tablas salariales SC'!$I$217,IF(D165=400,'A.0_Tablas salariales SC'!$I$218,IF(D165=450,'A.0_Tablas salariales SC'!$I$219,IF(D165=401,'A.0_Tablas salariales SC'!$I$220,IF(D165=451,'A.0_Tablas salariales SC'!$I$221,'A.0_Tablas salariales SC'!$I$215)))))))</f>
        <v>0.34755000000000003</v>
      </c>
      <c r="R165" s="183">
        <f t="shared" ref="R165:R167" si="19">Q165*P165</f>
        <v>1253.1986183619001</v>
      </c>
      <c r="S165" s="183">
        <f t="shared" ref="S165:S167" si="20">(R165+P165)*A165</f>
        <v>0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'A.1.0_TablaAntigüedad_Sub'!O166</f>
        <v>132</v>
      </c>
      <c r="I166" s="183">
        <f>'A.1.0_TablaAntigüedad_Sub'!AC166</f>
        <v>766.78669300000001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11501.800395</v>
      </c>
      <c r="O166" s="183">
        <f>'A.0_Tablas salariales SC'!$K$191</f>
        <v>38129.760558000009</v>
      </c>
      <c r="P166" s="183">
        <f>(O166+N166)*G166+'A.0_Tablas salariales SC'!$R$192*(100%-G166)</f>
        <v>3605.8081380000003</v>
      </c>
      <c r="Q166" s="184">
        <f>IF(D166=100,'A.0_Tablas salariales SC'!$I$215,IF(D166=150,'A.0_Tablas salariales SC'!$I$216,IF(D166=189,'A.0_Tablas salariales SC'!$I$217,IF(D166=400,'A.0_Tablas salariales SC'!$I$218,IF(D166=450,'A.0_Tablas salariales SC'!$I$219,IF(D166=401,'A.0_Tablas salariales SC'!$I$220,IF(D166=451,'A.0_Tablas salariales SC'!$I$221,'A.0_Tablas salariales SC'!$I$215)))))))</f>
        <v>0.34755000000000003</v>
      </c>
      <c r="R166" s="183">
        <f t="shared" si="19"/>
        <v>1253.1986183619001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'A.1.0_TablaAntigüedad_Sub'!O167</f>
        <v>132</v>
      </c>
      <c r="I167" s="183">
        <f>'A.1.0_TablaAntigüedad_Sub'!AC167</f>
        <v>766.78669300000001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11501.800395</v>
      </c>
      <c r="O167" s="183">
        <f>'A.0_Tablas salariales SC'!$K$191</f>
        <v>38129.760558000009</v>
      </c>
      <c r="P167" s="183">
        <f>(O167+N167)*G167+'A.0_Tablas salariales SC'!$R$192*(100%-G167)</f>
        <v>3605.8081380000003</v>
      </c>
      <c r="Q167" s="184">
        <f>IF(D167=100,'A.0_Tablas salariales SC'!$I$215,IF(D167=150,'A.0_Tablas salariales SC'!$I$216,IF(D167=189,'A.0_Tablas salariales SC'!$I$217,IF(D167=400,'A.0_Tablas salariales SC'!$I$218,IF(D167=450,'A.0_Tablas salariales SC'!$I$219,IF(D167=401,'A.0_Tablas salariales SC'!$I$220,IF(D167=451,'A.0_Tablas salariales SC'!$I$221,'A.0_Tablas salariales SC'!$I$215)))))))</f>
        <v>0.34755000000000003</v>
      </c>
      <c r="R167" s="183">
        <f t="shared" si="19"/>
        <v>1253.1986183619001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'A.1.0_TablaAntigüedad_Sub'!O168</f>
        <v>132</v>
      </c>
      <c r="I168" s="183">
        <f>'A.1.0_TablaAntigüedad_Sub'!AC168</f>
        <v>766.78669300000001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11501.800395</v>
      </c>
      <c r="O168" s="183">
        <f>'A.0_Tablas salariales SC'!$K$191</f>
        <v>38129.760558000009</v>
      </c>
      <c r="P168" s="183">
        <f>(O168+N168)*G168+'A.0_Tablas salariales SC'!$R$192*(100%-G168)</f>
        <v>3605.8081380000003</v>
      </c>
      <c r="Q168" s="184">
        <f>IF(D168=100,'A.0_Tablas salariales SC'!$I$215,IF(D168=150,'A.0_Tablas salariales SC'!$I$216,IF(D168=189,'A.0_Tablas salariales SC'!$I$217,IF(D168=400,'A.0_Tablas salariales SC'!$I$218,IF(D168=450,'A.0_Tablas salariales SC'!$I$219,IF(D168=401,'A.0_Tablas salariales SC'!$I$220,IF(D168=451,'A.0_Tablas salariales SC'!$I$221,'A.0_Tablas salariales SC'!$I$215)))))))</f>
        <v>0.34755000000000003</v>
      </c>
      <c r="R168" s="183">
        <f t="shared" si="10"/>
        <v>1253.1986183619001</v>
      </c>
      <c r="S168" s="183">
        <f t="shared" si="11"/>
        <v>0</v>
      </c>
      <c r="T168" s="179"/>
    </row>
    <row r="169" spans="1:20">
      <c r="A169" s="508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2">
        <f>'A.1. Plantilla_Subrogacion'!F169</f>
        <v>0</v>
      </c>
      <c r="H169" s="181">
        <f>'A.1.0_TablaAntigüedad_Sub'!O169</f>
        <v>132</v>
      </c>
      <c r="I169" s="183">
        <f>'A.1.0_TablaAntigüedad_Sub'!AC169</f>
        <v>766.78669300000001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11501.800395</v>
      </c>
      <c r="O169" s="183">
        <f>'A.0_Tablas salariales SC'!$K$192</f>
        <v>43137.73900799999</v>
      </c>
      <c r="P169" s="183">
        <f>(O169+N169)*G169+'A.0_Tablas salariales SC'!$R$192*(100%-G169)</f>
        <v>3605.8081380000003</v>
      </c>
      <c r="Q169" s="184">
        <f>IF(D169=100,'A.0_Tablas salariales SC'!$I$215,IF(D169=150,'A.0_Tablas salariales SC'!$I$216,IF(D169=189,'A.0_Tablas salariales SC'!$I$217,IF(D169=400,'A.0_Tablas salariales SC'!$I$218,IF(D169=450,'A.0_Tablas salariales SC'!$I$219,IF(D169=401,'A.0_Tablas salariales SC'!$I$220,IF(D169=451,'A.0_Tablas salariales SC'!$I$221,'A.0_Tablas salariales SC'!$I$215)))))))</f>
        <v>0.34755000000000003</v>
      </c>
      <c r="R169" s="183">
        <f t="shared" ref="R169:R171" si="21">Q169*P169</f>
        <v>1253.1986183619001</v>
      </c>
      <c r="S169" s="183">
        <f t="shared" ref="S169:S171" si="22">(R169+P169)*A169</f>
        <v>0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'A.1.0_TablaAntigüedad_Sub'!O170</f>
        <v>132</v>
      </c>
      <c r="I170" s="183">
        <f>'A.1.0_TablaAntigüedad_Sub'!AC170</f>
        <v>766.78669300000001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11501.800395</v>
      </c>
      <c r="O170" s="183">
        <f>'A.0_Tablas salariales SC'!$K$192</f>
        <v>43137.73900799999</v>
      </c>
      <c r="P170" s="183">
        <f>(O170+N170)*G170+'A.0_Tablas salariales SC'!$R$192*(100%-G170)</f>
        <v>3605.8081380000003</v>
      </c>
      <c r="Q170" s="184">
        <f>IF(D170=100,'A.0_Tablas salariales SC'!$I$215,IF(D170=150,'A.0_Tablas salariales SC'!$I$216,IF(D170=189,'A.0_Tablas salariales SC'!$I$217,IF(D170=400,'A.0_Tablas salariales SC'!$I$218,IF(D170=450,'A.0_Tablas salariales SC'!$I$219,IF(D170=401,'A.0_Tablas salariales SC'!$I$220,IF(D170=451,'A.0_Tablas salariales SC'!$I$221,'A.0_Tablas salariales SC'!$I$215)))))))</f>
        <v>0.34755000000000003</v>
      </c>
      <c r="R170" s="183">
        <f t="shared" si="21"/>
        <v>1253.1986183619001</v>
      </c>
      <c r="S170" s="183">
        <f t="shared" si="22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'A.1.0_TablaAntigüedad_Sub'!O171</f>
        <v>132</v>
      </c>
      <c r="I171" s="183">
        <f>'A.1.0_TablaAntigüedad_Sub'!AC171</f>
        <v>766.78669300000001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11501.800395</v>
      </c>
      <c r="O171" s="183">
        <f>'A.0_Tablas salariales SC'!$K$192</f>
        <v>43137.73900799999</v>
      </c>
      <c r="P171" s="183">
        <f>(O171+N171)*G171+'A.0_Tablas salariales SC'!$R$192*(100%-G171)</f>
        <v>3605.8081380000003</v>
      </c>
      <c r="Q171" s="184">
        <f>IF(D171=100,'A.0_Tablas salariales SC'!$I$215,IF(D171=150,'A.0_Tablas salariales SC'!$I$216,IF(D171=189,'A.0_Tablas salariales SC'!$I$217,IF(D171=400,'A.0_Tablas salariales SC'!$I$218,IF(D171=450,'A.0_Tablas salariales SC'!$I$219,IF(D171=401,'A.0_Tablas salariales SC'!$I$220,IF(D171=451,'A.0_Tablas salariales SC'!$I$221,'A.0_Tablas salariales SC'!$I$215)))))))</f>
        <v>0.34755000000000003</v>
      </c>
      <c r="R171" s="183">
        <f t="shared" si="21"/>
        <v>1253.1986183619001</v>
      </c>
      <c r="S171" s="183">
        <f t="shared" si="22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'A.1.0_TablaAntigüedad_Sub'!O172</f>
        <v>132</v>
      </c>
      <c r="I172" s="183">
        <f>'A.1.0_TablaAntigüedad_Sub'!AC172</f>
        <v>766.78669300000001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11501.800395</v>
      </c>
      <c r="O172" s="183">
        <f>'A.0_Tablas salariales SC'!$K$192</f>
        <v>43137.73900799999</v>
      </c>
      <c r="P172" s="183">
        <f>(O172+N172)*G172+'A.0_Tablas salariales SC'!$R$192*(100%-G172)</f>
        <v>3605.8081380000003</v>
      </c>
      <c r="Q172" s="184">
        <f>IF(D172=100,'A.0_Tablas salariales SC'!$I$215,IF(D172=150,'A.0_Tablas salariales SC'!$I$216,IF(D172=189,'A.0_Tablas salariales SC'!$I$217,IF(D172=400,'A.0_Tablas salariales SC'!$I$218,IF(D172=450,'A.0_Tablas salariales SC'!$I$219,IF(D172=401,'A.0_Tablas salariales SC'!$I$220,IF(D172=451,'A.0_Tablas salariales SC'!$I$221,'A.0_Tablas salariales SC'!$I$215)))))))</f>
        <v>0.34755000000000003</v>
      </c>
      <c r="R172" s="183">
        <f t="shared" si="10"/>
        <v>1253.1986183619001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0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'A.1.0_TablaAntigüedad_Sub'!O174</f>
        <v>132</v>
      </c>
      <c r="I174" s="183">
        <f>'A.1.0_TablaAntigüedad_Sub'!AC174</f>
        <v>604.17194100000006</v>
      </c>
      <c r="J174" s="183"/>
      <c r="K174" s="183">
        <f>'A.1. Plantilla_Subrogacion'!I174</f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9062.5791150000005</v>
      </c>
      <c r="O174" s="183">
        <f>'A.0_Tablas salariales SC'!K184</f>
        <v>28113.644522999995</v>
      </c>
      <c r="P174" s="183">
        <f>(O174+N174)*G174+'A.0_Tablas salariales SC'!$R$192*(100%-G174)</f>
        <v>3605.8081380000003</v>
      </c>
      <c r="Q174" s="184">
        <f>IF(D174=100,'A.0_Tablas salariales SC'!$I$215,IF(D174=150,'A.0_Tablas salariales SC'!$I$216,IF(D174=189,'A.0_Tablas salariales SC'!$I$217,IF(D174=400,'A.0_Tablas salariales SC'!$I$218,IF(D174=450,'A.0_Tablas salariales SC'!$I$219,IF(D174=401,'A.0_Tablas salariales SC'!$I$220,IF(D174=451,'A.0_Tablas salariales SC'!$I$221,'A.0_Tablas salariales SC'!$I$215)))))))</f>
        <v>0.34755000000000003</v>
      </c>
      <c r="R174" s="183">
        <f t="shared" ref="R174" si="23">Q174*P174</f>
        <v>1253.1986183619001</v>
      </c>
      <c r="S174" s="183">
        <f>(R174+P174)*A174</f>
        <v>0</v>
      </c>
      <c r="T174" s="179"/>
    </row>
    <row r="175" spans="1:20">
      <c r="A175" s="508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2">
        <f>'A.1. Plantilla_Subrogacion'!F175</f>
        <v>0</v>
      </c>
      <c r="H175" s="181">
        <f>'A.1.0_TablaAntigüedad_Sub'!O175</f>
        <v>132</v>
      </c>
      <c r="I175" s="183">
        <f>'A.1.0_TablaAntigüedad_Sub'!AC175</f>
        <v>604.17194100000006</v>
      </c>
      <c r="J175" s="183"/>
      <c r="K175" s="183">
        <f>'A.1. Plantilla_Subrogacion'!I175</f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9062.5791150000005</v>
      </c>
      <c r="O175" s="183">
        <f>'A.0_Tablas salariales SC'!K185</f>
        <v>29208.652457999997</v>
      </c>
      <c r="P175" s="183">
        <f>(O175+N175)*G175+'A.0_Tablas salariales SC'!$R$192*(100%-G175)</f>
        <v>3605.8081380000003</v>
      </c>
      <c r="Q175" s="184">
        <f>IF(D175=100,'A.0_Tablas salariales SC'!$I$215,IF(D175=150,'A.0_Tablas salariales SC'!$I$216,IF(D175=189,'A.0_Tablas salariales SC'!$I$217,IF(D175=400,'A.0_Tablas salariales SC'!$I$218,IF(D175=450,'A.0_Tablas salariales SC'!$I$219,IF(D175=401,'A.0_Tablas salariales SC'!$I$220,IF(D175=451,'A.0_Tablas salariales SC'!$I$221,'A.0_Tablas salariales SC'!$I$215)))))))</f>
        <v>0.34755000000000003</v>
      </c>
      <c r="R175" s="183">
        <f t="shared" si="10"/>
        <v>1253.1986183619001</v>
      </c>
      <c r="S175" s="183">
        <f>(R175+P175)*A175</f>
        <v>0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'A.1.0_TablaAntigüedad_Sub'!O176</f>
        <v>132</v>
      </c>
      <c r="I176" s="183">
        <f>'A.1.0_TablaAntigüedad_Sub'!AC176</f>
        <v>604.17194100000006</v>
      </c>
      <c r="J176" s="183"/>
      <c r="K176" s="183">
        <f>'A.1. Plantilla_Subrogacion'!I176</f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9062.5791150000005</v>
      </c>
      <c r="O176" s="183">
        <f>'A.0_Tablas salariales SC'!K187</f>
        <v>32947.370148000002</v>
      </c>
      <c r="P176" s="183">
        <f>(O176+N176)*G176+'A.0_Tablas salariales SC'!$R$192*(100%-G176)</f>
        <v>3605.8081380000003</v>
      </c>
      <c r="Q176" s="184">
        <f>IF(D176=100,'A.0_Tablas salariales SC'!$I$215,IF(D176=150,'A.0_Tablas salariales SC'!$I$216,IF(D176=189,'A.0_Tablas salariales SC'!$I$217,IF(D176=400,'A.0_Tablas salariales SC'!$I$218,IF(D176=450,'A.0_Tablas salariales SC'!$I$219,IF(D176=401,'A.0_Tablas salariales SC'!$I$220,IF(D176=451,'A.0_Tablas salariales SC'!$I$221,'A.0_Tablas salariales SC'!$I$215)))))))</f>
        <v>0.34755000000000003</v>
      </c>
      <c r="R176" s="183">
        <f t="shared" ref="R176" si="24">Q176*P176</f>
        <v>1253.1986183619001</v>
      </c>
      <c r="S176" s="183">
        <f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0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'A.1.0_TablaAntigüedad_Sub'!O178</f>
        <v>132</v>
      </c>
      <c r="I178" s="183">
        <f>'A.1.0_TablaAntigüedad_Sub'!AC178</f>
        <v>559.83693000000005</v>
      </c>
      <c r="J178" s="183"/>
      <c r="K178" s="183">
        <f>'A.1. Plantilla_Subrogacion'!I178</f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8397.5539500000014</v>
      </c>
      <c r="O178" s="183">
        <f>'A.0_Tablas salariales SC'!K176</f>
        <v>27895.629572999998</v>
      </c>
      <c r="P178" s="183">
        <f>(O178+N178)*G178+'A.0_Tablas salariales SC'!$R$192*(100%-G178)</f>
        <v>3605.8081380000003</v>
      </c>
      <c r="Q178" s="184">
        <f>IF(D178=100,'A.0_Tablas salariales SC'!$I$215,IF(D178=150,'A.0_Tablas salariales SC'!$I$216,IF(D178=189,'A.0_Tablas salariales SC'!$I$217,IF(D178=400,'A.0_Tablas salariales SC'!$I$218,IF(D178=450,'A.0_Tablas salariales SC'!$I$219,IF(D178=401,'A.0_Tablas salariales SC'!$I$220,IF(D178=451,'A.0_Tablas salariales SC'!$I$221,'A.0_Tablas salariales SC'!$I$215)))))))</f>
        <v>0.34755000000000003</v>
      </c>
      <c r="R178" s="183">
        <f t="shared" ref="R178:R179" si="25">Q178*P178</f>
        <v>1253.1986183619001</v>
      </c>
      <c r="S178" s="183">
        <f t="shared" ref="S178:S179" si="26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'A.1.0_TablaAntigüedad_Sub'!O179</f>
        <v>132</v>
      </c>
      <c r="I179" s="183">
        <f>'A.1.0_TablaAntigüedad_Sub'!AC179</f>
        <v>559.83693000000005</v>
      </c>
      <c r="J179" s="183"/>
      <c r="K179" s="183">
        <f>'A.1. Plantilla_Subrogacion'!I179</f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8397.5539500000014</v>
      </c>
      <c r="O179" s="183">
        <f>'A.0_Tablas salariales SC'!K175</f>
        <v>27025.161122999998</v>
      </c>
      <c r="P179" s="183">
        <f>(O179+N179)*G179+'A.0_Tablas salariales SC'!$R$192*(100%-G179)</f>
        <v>3605.8081380000003</v>
      </c>
      <c r="Q179" s="184">
        <f>IF(D179=100,'A.0_Tablas salariales SC'!$I$215,IF(D179=150,'A.0_Tablas salariales SC'!$I$216,IF(D179=189,'A.0_Tablas salariales SC'!$I$217,IF(D179=400,'A.0_Tablas salariales SC'!$I$218,IF(D179=450,'A.0_Tablas salariales SC'!$I$219,IF(D179=401,'A.0_Tablas salariales SC'!$I$220,IF(D179=451,'A.0_Tablas salariales SC'!$I$221,'A.0_Tablas salariales SC'!$I$215)))))))</f>
        <v>0.34755000000000003</v>
      </c>
      <c r="R179" s="183">
        <f t="shared" si="25"/>
        <v>1253.1986183619001</v>
      </c>
      <c r="S179" s="183">
        <f t="shared" si="26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0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70" priority="25" operator="equal">
      <formula>0</formula>
    </cfRule>
  </conditionalFormatting>
  <conditionalFormatting sqref="A139:K139">
    <cfRule type="cellIs" dxfId="69" priority="21" operator="equal">
      <formula>0</formula>
    </cfRule>
  </conditionalFormatting>
  <conditionalFormatting sqref="G5:K12 G14:K85 G87:K113 G115:K138 G140:K151 G153:K162 G164:K172">
    <cfRule type="cellIs" dxfId="68" priority="12" operator="equal">
      <formula>0</formula>
    </cfRule>
  </conditionalFormatting>
  <conditionalFormatting sqref="G174:K176">
    <cfRule type="cellIs" dxfId="67" priority="11" operator="equal">
      <formula>0</formula>
    </cfRule>
  </conditionalFormatting>
  <conditionalFormatting sqref="G178:S179">
    <cfRule type="cellIs" dxfId="66" priority="3" operator="equal">
      <formula>0</formula>
    </cfRule>
  </conditionalFormatting>
  <conditionalFormatting sqref="L5:S176">
    <cfRule type="cellIs" dxfId="65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52F1-DCED-40AF-9FDE-9256E4535E10}">
  <sheetPr>
    <tabColor theme="4" tint="-0.249977111117893"/>
  </sheetPr>
  <dimension ref="A1:K31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16" sqref="I16"/>
    </sheetView>
  </sheetViews>
  <sheetFormatPr baseColWidth="10" defaultColWidth="11.44140625" defaultRowHeight="14.4"/>
  <cols>
    <col min="1" max="1" width="4.6640625" style="47" customWidth="1"/>
    <col min="2" max="2" width="29.6640625" style="47" customWidth="1"/>
    <col min="3" max="3" width="3.5546875" style="47" bestFit="1" customWidth="1"/>
    <col min="4" max="5" width="5.109375" style="47" customWidth="1"/>
    <col min="6" max="7" width="6.109375" style="47" customWidth="1"/>
    <col min="8" max="9" width="11.44140625" style="47" customWidth="1"/>
    <col min="10" max="10" width="11" style="47" customWidth="1"/>
    <col min="11" max="11" width="13.88671875" style="47" customWidth="1"/>
    <col min="12" max="16384" width="11.44140625" style="48"/>
  </cols>
  <sheetData>
    <row r="1" spans="1:11" ht="37.799999999999997" customHeight="1">
      <c r="A1" s="673" t="s">
        <v>1000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</row>
    <row r="2" spans="1:11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180</v>
      </c>
      <c r="F3" s="241" t="s">
        <v>181</v>
      </c>
      <c r="G3" s="241" t="s">
        <v>998</v>
      </c>
      <c r="H3" s="241" t="s">
        <v>1008</v>
      </c>
      <c r="I3" s="241" t="s">
        <v>999</v>
      </c>
      <c r="J3" s="241" t="s">
        <v>1103</v>
      </c>
      <c r="K3" s="246" t="s">
        <v>1104</v>
      </c>
    </row>
    <row r="4" spans="1:11" ht="19.5" customHeight="1">
      <c r="A4" s="169"/>
      <c r="B4" s="93"/>
      <c r="C4" s="675"/>
      <c r="D4" s="675"/>
      <c r="E4" s="675"/>
      <c r="F4" s="675"/>
      <c r="G4" s="675"/>
      <c r="H4" s="675"/>
      <c r="I4" s="675"/>
      <c r="J4" s="675"/>
      <c r="K4" s="93"/>
    </row>
    <row r="5" spans="1:11">
      <c r="A5" s="176">
        <v>0</v>
      </c>
      <c r="B5" s="52" t="s">
        <v>184</v>
      </c>
      <c r="C5" s="51"/>
      <c r="D5" s="51"/>
      <c r="E5" s="51"/>
      <c r="F5" s="182">
        <v>1</v>
      </c>
      <c r="G5" s="182"/>
      <c r="H5" s="523">
        <f>'Caracteristicas Contrato'!$E$4</f>
        <v>46023</v>
      </c>
      <c r="I5" s="51"/>
      <c r="J5" s="519"/>
      <c r="K5" s="519"/>
    </row>
    <row r="6" spans="1:11">
      <c r="A6" s="174"/>
      <c r="B6" s="420"/>
      <c r="C6" s="174"/>
      <c r="D6" s="174"/>
      <c r="E6" s="174"/>
      <c r="F6" s="174"/>
      <c r="G6" s="174"/>
      <c r="H6" s="174"/>
      <c r="I6" s="174"/>
      <c r="J6" s="177"/>
      <c r="K6" s="177"/>
    </row>
    <row r="7" spans="1:11">
      <c r="A7" s="176">
        <v>0</v>
      </c>
      <c r="B7" s="52" t="s">
        <v>185</v>
      </c>
      <c r="C7" s="51"/>
      <c r="D7" s="51"/>
      <c r="E7" s="51"/>
      <c r="F7" s="182">
        <v>1</v>
      </c>
      <c r="G7" s="182"/>
      <c r="H7" s="523">
        <f>'Caracteristicas Contrato'!$E$4</f>
        <v>46023</v>
      </c>
      <c r="I7" s="51"/>
      <c r="J7" s="519"/>
      <c r="K7" s="519"/>
    </row>
    <row r="8" spans="1:11">
      <c r="A8" s="174"/>
      <c r="B8" s="420"/>
      <c r="C8" s="174"/>
      <c r="D8" s="174"/>
      <c r="E8" s="174"/>
      <c r="F8" s="174"/>
      <c r="G8" s="174"/>
      <c r="H8" s="174"/>
      <c r="I8" s="174"/>
      <c r="J8" s="177"/>
      <c r="K8" s="177"/>
    </row>
    <row r="9" spans="1:11">
      <c r="A9" s="176">
        <v>0</v>
      </c>
      <c r="B9" s="52" t="s">
        <v>187</v>
      </c>
      <c r="C9" s="51"/>
      <c r="D9" s="51"/>
      <c r="E9" s="51"/>
      <c r="F9" s="182">
        <v>1</v>
      </c>
      <c r="G9" s="182"/>
      <c r="H9" s="523">
        <f>'Caracteristicas Contrato'!$E$4</f>
        <v>46023</v>
      </c>
      <c r="I9" s="51"/>
      <c r="J9" s="519"/>
      <c r="K9" s="519"/>
    </row>
    <row r="10" spans="1:11">
      <c r="A10" s="174"/>
      <c r="B10" s="420"/>
      <c r="C10" s="174"/>
      <c r="D10" s="174"/>
      <c r="E10" s="174"/>
      <c r="F10" s="174"/>
      <c r="G10" s="174"/>
      <c r="H10" s="174"/>
      <c r="I10" s="174"/>
      <c r="J10" s="177"/>
      <c r="K10" s="177"/>
    </row>
    <row r="11" spans="1:11">
      <c r="A11" s="176">
        <v>0</v>
      </c>
      <c r="B11" s="52" t="s">
        <v>188</v>
      </c>
      <c r="C11" s="51"/>
      <c r="D11" s="51"/>
      <c r="E11" s="51"/>
      <c r="F11" s="182">
        <v>1</v>
      </c>
      <c r="G11" s="182"/>
      <c r="H11" s="523">
        <f>'Caracteristicas Contrato'!$E$4</f>
        <v>46023</v>
      </c>
      <c r="I11" s="51"/>
      <c r="J11" s="519"/>
      <c r="K11" s="519"/>
    </row>
    <row r="12" spans="1:11">
      <c r="A12" s="176">
        <v>0</v>
      </c>
      <c r="B12" s="52" t="s">
        <v>189</v>
      </c>
      <c r="C12" s="51"/>
      <c r="D12" s="51"/>
      <c r="E12" s="51"/>
      <c r="F12" s="182">
        <v>1</v>
      </c>
      <c r="G12" s="182"/>
      <c r="H12" s="523">
        <f>'Caracteristicas Contrato'!$E$4</f>
        <v>46023</v>
      </c>
      <c r="I12" s="51"/>
      <c r="J12" s="519"/>
      <c r="K12" s="519"/>
    </row>
    <row r="13" spans="1:11">
      <c r="A13" s="174"/>
      <c r="B13" s="420"/>
      <c r="C13" s="174"/>
      <c r="D13" s="174"/>
      <c r="E13" s="174"/>
      <c r="F13" s="174"/>
      <c r="G13" s="174"/>
      <c r="H13" s="174"/>
      <c r="I13" s="174"/>
      <c r="J13" s="177"/>
      <c r="K13" s="177"/>
    </row>
    <row r="14" spans="1:11">
      <c r="A14" s="176">
        <v>0</v>
      </c>
      <c r="B14" s="52" t="s">
        <v>190</v>
      </c>
      <c r="C14" s="51"/>
      <c r="D14" s="51"/>
      <c r="E14" s="51"/>
      <c r="F14" s="182">
        <v>1</v>
      </c>
      <c r="G14" s="182"/>
      <c r="H14" s="523">
        <f>'Caracteristicas Contrato'!$E$4</f>
        <v>46023</v>
      </c>
      <c r="I14" s="51"/>
      <c r="J14" s="519"/>
      <c r="K14" s="519"/>
    </row>
    <row r="15" spans="1:11">
      <c r="A15" s="176">
        <v>0</v>
      </c>
      <c r="B15" s="52" t="s">
        <v>1010</v>
      </c>
      <c r="C15" s="51"/>
      <c r="D15" s="51"/>
      <c r="E15" s="51"/>
      <c r="F15" s="182">
        <v>1</v>
      </c>
      <c r="G15" s="182"/>
      <c r="H15" s="523">
        <f>'Caracteristicas Contrato'!$E$4</f>
        <v>46023</v>
      </c>
      <c r="I15" s="51"/>
      <c r="J15" s="519"/>
      <c r="K15" s="519"/>
    </row>
    <row r="16" spans="1:11">
      <c r="A16" s="174"/>
      <c r="B16" s="420"/>
      <c r="C16" s="174"/>
      <c r="D16" s="174"/>
      <c r="E16" s="174"/>
      <c r="F16" s="174"/>
      <c r="G16" s="174"/>
      <c r="H16" s="174"/>
      <c r="I16" s="174"/>
      <c r="J16" s="177"/>
      <c r="K16" s="177"/>
    </row>
    <row r="17" spans="1:11">
      <c r="A17" s="176">
        <v>0</v>
      </c>
      <c r="B17" s="52" t="s">
        <v>1018</v>
      </c>
      <c r="C17" s="51"/>
      <c r="D17" s="51"/>
      <c r="E17" s="51"/>
      <c r="F17" s="182">
        <v>1</v>
      </c>
      <c r="G17" s="182"/>
      <c r="H17" s="523">
        <f>'Caracteristicas Contrato'!$E$4</f>
        <v>46023</v>
      </c>
      <c r="I17" s="51"/>
      <c r="J17" s="519"/>
      <c r="K17" s="519"/>
    </row>
    <row r="18" spans="1:11">
      <c r="A18" s="176">
        <v>0</v>
      </c>
      <c r="B18" s="52" t="s">
        <v>1012</v>
      </c>
      <c r="C18" s="51"/>
      <c r="D18" s="51"/>
      <c r="E18" s="51"/>
      <c r="F18" s="182">
        <v>1</v>
      </c>
      <c r="G18" s="182"/>
      <c r="H18" s="523">
        <f>'Caracteristicas Contrato'!$E$4</f>
        <v>46023</v>
      </c>
      <c r="I18" s="51"/>
      <c r="J18" s="519"/>
      <c r="K18" s="519"/>
    </row>
    <row r="19" spans="1:11">
      <c r="A19" s="176">
        <v>0</v>
      </c>
      <c r="B19" s="52" t="s">
        <v>1011</v>
      </c>
      <c r="C19" s="51"/>
      <c r="D19" s="51"/>
      <c r="E19" s="51"/>
      <c r="F19" s="182">
        <v>1</v>
      </c>
      <c r="G19" s="182"/>
      <c r="H19" s="523">
        <f>'Caracteristicas Contrato'!$E$4</f>
        <v>46023</v>
      </c>
      <c r="I19" s="51"/>
      <c r="J19" s="519"/>
      <c r="K19" s="519"/>
    </row>
    <row r="20" spans="1:11">
      <c r="A20" s="176">
        <v>0</v>
      </c>
      <c r="B20" s="52" t="s">
        <v>191</v>
      </c>
      <c r="C20" s="51"/>
      <c r="D20" s="51"/>
      <c r="E20" s="51"/>
      <c r="F20" s="182">
        <v>1</v>
      </c>
      <c r="G20" s="182"/>
      <c r="H20" s="523">
        <f>'Caracteristicas Contrato'!$E$4</f>
        <v>46023</v>
      </c>
      <c r="I20" s="51"/>
      <c r="J20" s="519"/>
      <c r="K20" s="519"/>
    </row>
    <row r="21" spans="1:11">
      <c r="A21" s="176">
        <v>0</v>
      </c>
      <c r="B21" s="52" t="s">
        <v>192</v>
      </c>
      <c r="C21" s="51"/>
      <c r="D21" s="51"/>
      <c r="E21" s="51"/>
      <c r="F21" s="182">
        <v>1</v>
      </c>
      <c r="G21" s="182"/>
      <c r="H21" s="523">
        <f>'Caracteristicas Contrato'!$E$4</f>
        <v>46023</v>
      </c>
      <c r="I21" s="51"/>
      <c r="J21" s="519"/>
      <c r="K21" s="519"/>
    </row>
    <row r="22" spans="1:11">
      <c r="A22" s="174"/>
      <c r="B22" s="420"/>
      <c r="C22" s="174"/>
      <c r="D22" s="174"/>
      <c r="E22" s="174"/>
      <c r="F22" s="174"/>
      <c r="G22" s="174"/>
      <c r="H22" s="174"/>
      <c r="I22" s="174"/>
      <c r="J22" s="177"/>
      <c r="K22" s="177"/>
    </row>
    <row r="23" spans="1:11">
      <c r="A23" s="176">
        <v>0</v>
      </c>
      <c r="B23" s="52" t="s">
        <v>1013</v>
      </c>
      <c r="C23" s="51"/>
      <c r="D23" s="51"/>
      <c r="E23" s="51"/>
      <c r="F23" s="182">
        <v>1</v>
      </c>
      <c r="G23" s="182"/>
      <c r="H23" s="523">
        <f>'Caracteristicas Contrato'!$E$4</f>
        <v>46023</v>
      </c>
      <c r="I23" s="51"/>
      <c r="J23" s="519"/>
      <c r="K23" s="519"/>
    </row>
    <row r="24" spans="1:11">
      <c r="A24" s="176">
        <v>0</v>
      </c>
      <c r="B24" s="151" t="s">
        <v>1014</v>
      </c>
      <c r="F24" s="182">
        <v>1</v>
      </c>
      <c r="G24" s="182"/>
      <c r="H24" s="523">
        <f>'Caracteristicas Contrato'!$E$4</f>
        <v>46023</v>
      </c>
      <c r="J24" s="520"/>
      <c r="K24" s="520"/>
    </row>
    <row r="25" spans="1:11">
      <c r="A25" s="176">
        <v>0</v>
      </c>
      <c r="B25" s="151" t="s">
        <v>1015</v>
      </c>
      <c r="F25" s="182">
        <v>1</v>
      </c>
      <c r="G25" s="182"/>
      <c r="H25" s="523">
        <f>'Caracteristicas Contrato'!$E$4</f>
        <v>46023</v>
      </c>
      <c r="J25" s="520"/>
      <c r="K25" s="520"/>
    </row>
    <row r="26" spans="1:11">
      <c r="A26" s="176">
        <v>0</v>
      </c>
      <c r="B26" s="151" t="s">
        <v>1016</v>
      </c>
      <c r="F26" s="182">
        <v>1</v>
      </c>
      <c r="G26" s="182"/>
      <c r="H26" s="523">
        <f>'Caracteristicas Contrato'!$E$4</f>
        <v>46023</v>
      </c>
      <c r="J26" s="520"/>
      <c r="K26" s="520"/>
    </row>
    <row r="27" spans="1:11">
      <c r="A27" s="176">
        <v>0</v>
      </c>
      <c r="B27" s="151" t="s">
        <v>1017</v>
      </c>
      <c r="F27" s="182">
        <v>1</v>
      </c>
      <c r="G27" s="182"/>
      <c r="H27" s="523">
        <f>'Caracteristicas Contrato'!$E$4</f>
        <v>46023</v>
      </c>
      <c r="J27" s="520"/>
      <c r="K27" s="520"/>
    </row>
    <row r="28" spans="1:11">
      <c r="A28" s="174"/>
      <c r="B28" s="174"/>
      <c r="C28" s="174"/>
      <c r="D28" s="174"/>
      <c r="E28" s="174"/>
      <c r="F28" s="174"/>
      <c r="G28" s="174"/>
      <c r="H28" s="174"/>
      <c r="I28" s="174"/>
      <c r="J28" s="177"/>
      <c r="K28" s="177"/>
    </row>
    <row r="29" spans="1:11">
      <c r="A29" s="176">
        <v>0</v>
      </c>
      <c r="B29" s="151" t="s">
        <v>1019</v>
      </c>
      <c r="F29" s="182">
        <v>1</v>
      </c>
      <c r="G29" s="182"/>
      <c r="H29" s="523">
        <f>'Caracteristicas Contrato'!$E$4</f>
        <v>46023</v>
      </c>
      <c r="J29" s="520"/>
      <c r="K29" s="520"/>
    </row>
    <row r="30" spans="1:11">
      <c r="A30" s="176">
        <v>0</v>
      </c>
      <c r="B30" s="151" t="s">
        <v>1020</v>
      </c>
      <c r="F30" s="182">
        <v>1</v>
      </c>
      <c r="G30" s="182"/>
      <c r="H30" s="523">
        <f>'Caracteristicas Contrato'!$E$4</f>
        <v>46023</v>
      </c>
      <c r="J30" s="520"/>
      <c r="K30" s="520"/>
    </row>
    <row r="31" spans="1:11">
      <c r="A31" s="174"/>
      <c r="B31" s="174"/>
      <c r="C31" s="174"/>
      <c r="D31" s="174"/>
      <c r="E31" s="174"/>
      <c r="F31" s="174"/>
      <c r="G31" s="174"/>
      <c r="H31" s="174"/>
      <c r="I31" s="174"/>
      <c r="J31" s="177"/>
      <c r="K31" s="177"/>
    </row>
  </sheetData>
  <mergeCells count="2">
    <mergeCell ref="C4:J4"/>
    <mergeCell ref="A1:K1"/>
  </mergeCells>
  <conditionalFormatting sqref="F5:G27 I5:K27 F29:G30 I29:K30">
    <cfRule type="cellIs" dxfId="64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1F66-A667-40FA-8ABF-FD3F77A0555E}">
  <sheetPr>
    <tabColor theme="4" tint="0.59999389629810485"/>
  </sheetPr>
  <dimension ref="A1:AC35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Y18" sqref="Y18:Y28"/>
    </sheetView>
  </sheetViews>
  <sheetFormatPr baseColWidth="10" defaultColWidth="11.44140625" defaultRowHeight="14.4"/>
  <cols>
    <col min="1" max="1" width="4.88671875" style="47" customWidth="1"/>
    <col min="2" max="2" width="25.6640625" style="151" customWidth="1"/>
    <col min="3" max="3" width="4.6640625" style="47" customWidth="1"/>
    <col min="4" max="4" width="5.109375" style="47" customWidth="1"/>
    <col min="5" max="5" width="11.44140625" style="47" customWidth="1"/>
    <col min="6" max="6" width="14.88671875" style="47" customWidth="1"/>
    <col min="7" max="7" width="6.44140625" style="48" bestFit="1" customWidth="1"/>
    <col min="8" max="8" width="7.21875" style="48" customWidth="1"/>
    <col min="9" max="22" width="9.44140625" style="48" customWidth="1"/>
    <col min="23" max="23" width="11.44140625" style="48" customWidth="1"/>
    <col min="24" max="29" width="9.44140625" style="48" customWidth="1"/>
    <col min="30" max="16384" width="11.44140625" style="48"/>
  </cols>
  <sheetData>
    <row r="1" spans="1:29" ht="24" customHeight="1">
      <c r="A1" s="674" t="s">
        <v>196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  <c r="X1" s="674"/>
      <c r="Y1" s="674"/>
      <c r="Z1" s="674"/>
      <c r="AA1" s="674"/>
      <c r="AB1" s="674"/>
      <c r="AC1" s="674"/>
    </row>
    <row r="2" spans="1:29" s="50" customFormat="1" ht="3.75" customHeight="1">
      <c r="A2" s="49"/>
      <c r="B2" s="422"/>
      <c r="C2" s="168"/>
      <c r="D2" s="168"/>
      <c r="E2" s="168"/>
      <c r="F2" s="168"/>
    </row>
    <row r="3" spans="1:29" ht="90" customHeight="1">
      <c r="A3" s="240"/>
      <c r="B3" s="423" t="s">
        <v>125</v>
      </c>
      <c r="C3" s="245" t="s">
        <v>177</v>
      </c>
      <c r="D3" s="245" t="s">
        <v>178</v>
      </c>
      <c r="E3" s="241" t="s">
        <v>179</v>
      </c>
      <c r="F3" s="246" t="s">
        <v>197</v>
      </c>
      <c r="G3" s="246" t="s">
        <v>198</v>
      </c>
      <c r="H3" s="246" t="s">
        <v>911</v>
      </c>
      <c r="I3" s="408" t="s">
        <v>912</v>
      </c>
      <c r="J3" s="408" t="s">
        <v>912</v>
      </c>
      <c r="K3" s="408" t="s">
        <v>912</v>
      </c>
      <c r="L3" s="408" t="s">
        <v>912</v>
      </c>
      <c r="M3" s="408" t="s">
        <v>912</v>
      </c>
      <c r="N3" s="408" t="s">
        <v>912</v>
      </c>
      <c r="O3" s="408" t="s">
        <v>912</v>
      </c>
      <c r="P3" s="411" t="s">
        <v>913</v>
      </c>
      <c r="Q3" s="411" t="s">
        <v>913</v>
      </c>
      <c r="R3" s="411" t="s">
        <v>913</v>
      </c>
      <c r="S3" s="411" t="s">
        <v>913</v>
      </c>
      <c r="T3" s="411" t="s">
        <v>913</v>
      </c>
      <c r="U3" s="411" t="s">
        <v>913</v>
      </c>
      <c r="V3" s="411" t="s">
        <v>913</v>
      </c>
      <c r="W3" s="414" t="s">
        <v>914</v>
      </c>
      <c r="X3" s="414" t="s">
        <v>914</v>
      </c>
      <c r="Y3" s="414" t="s">
        <v>914</v>
      </c>
      <c r="Z3" s="414" t="s">
        <v>914</v>
      </c>
      <c r="AA3" s="414" t="s">
        <v>914</v>
      </c>
      <c r="AB3" s="414" t="s">
        <v>914</v>
      </c>
      <c r="AC3" s="414" t="s">
        <v>914</v>
      </c>
    </row>
    <row r="4" spans="1:29" s="406" customFormat="1" ht="25.2" customHeight="1">
      <c r="A4" s="403"/>
      <c r="B4" s="424"/>
      <c r="C4" s="405"/>
      <c r="D4" s="405"/>
      <c r="E4" s="405"/>
      <c r="F4" s="404"/>
      <c r="G4" s="407">
        <f>'A. Resumen Costes Personal Año'!D14</f>
        <v>2026</v>
      </c>
      <c r="H4" s="407">
        <f>'A. Resumen Costes Personal Año'!D15</f>
        <v>2032</v>
      </c>
      <c r="I4" s="409">
        <v>2026</v>
      </c>
      <c r="J4" s="409">
        <v>2027</v>
      </c>
      <c r="K4" s="409">
        <v>2028</v>
      </c>
      <c r="L4" s="409">
        <v>2029</v>
      </c>
      <c r="M4" s="409">
        <v>2030</v>
      </c>
      <c r="N4" s="409">
        <v>2031</v>
      </c>
      <c r="O4" s="409">
        <v>2032</v>
      </c>
      <c r="P4" s="412">
        <v>2026</v>
      </c>
      <c r="Q4" s="412">
        <v>2027</v>
      </c>
      <c r="R4" s="412">
        <v>2028</v>
      </c>
      <c r="S4" s="412">
        <v>2029</v>
      </c>
      <c r="T4" s="412">
        <v>2030</v>
      </c>
      <c r="U4" s="412">
        <v>2031</v>
      </c>
      <c r="V4" s="412">
        <v>2032</v>
      </c>
      <c r="W4" s="415">
        <v>2026</v>
      </c>
      <c r="X4" s="415">
        <v>2027</v>
      </c>
      <c r="Y4" s="415">
        <v>2028</v>
      </c>
      <c r="Z4" s="415">
        <v>2029</v>
      </c>
      <c r="AA4" s="415">
        <v>2030</v>
      </c>
      <c r="AB4" s="415">
        <v>2031</v>
      </c>
      <c r="AC4" s="415">
        <v>2032</v>
      </c>
    </row>
    <row r="5" spans="1:29" ht="19.5" customHeight="1">
      <c r="A5" s="169"/>
      <c r="B5" s="425"/>
      <c r="C5" s="675" t="s">
        <v>183</v>
      </c>
      <c r="D5" s="675"/>
      <c r="E5" s="675"/>
      <c r="F5" s="93"/>
      <c r="G5" s="170"/>
      <c r="H5" s="170"/>
      <c r="I5" s="410">
        <f>(IF(AND(I4&gt;=$G$4,I4&lt;=$H$4),1,0))</f>
        <v>1</v>
      </c>
      <c r="J5" s="410">
        <f t="shared" ref="J5:O5" si="0">(IF(AND(J4&gt;=$G$4,J4&lt;=$H$4),1,0))</f>
        <v>1</v>
      </c>
      <c r="K5" s="410">
        <f>(IF(AND(K4&gt;=$G$4,K4&lt;=$H$4),1,0))</f>
        <v>1</v>
      </c>
      <c r="L5" s="410">
        <f t="shared" si="0"/>
        <v>1</v>
      </c>
      <c r="M5" s="410">
        <f t="shared" si="0"/>
        <v>1</v>
      </c>
      <c r="N5" s="410">
        <f t="shared" si="0"/>
        <v>1</v>
      </c>
      <c r="O5" s="410">
        <f t="shared" si="0"/>
        <v>1</v>
      </c>
      <c r="P5" s="413">
        <f>I5</f>
        <v>1</v>
      </c>
      <c r="Q5" s="413">
        <f t="shared" ref="Q5:V5" si="1">J5</f>
        <v>1</v>
      </c>
      <c r="R5" s="413">
        <f t="shared" si="1"/>
        <v>1</v>
      </c>
      <c r="S5" s="413">
        <f t="shared" si="1"/>
        <v>1</v>
      </c>
      <c r="T5" s="413">
        <f t="shared" si="1"/>
        <v>1</v>
      </c>
      <c r="U5" s="413">
        <f t="shared" si="1"/>
        <v>1</v>
      </c>
      <c r="V5" s="413">
        <f t="shared" si="1"/>
        <v>1</v>
      </c>
      <c r="W5" s="413">
        <f>P5</f>
        <v>1</v>
      </c>
      <c r="X5" s="413">
        <f t="shared" ref="X5:AC5" si="2">Q5</f>
        <v>1</v>
      </c>
      <c r="Y5" s="413">
        <f t="shared" si="2"/>
        <v>1</v>
      </c>
      <c r="Z5" s="413">
        <f t="shared" si="2"/>
        <v>1</v>
      </c>
      <c r="AA5" s="413">
        <f t="shared" si="2"/>
        <v>1</v>
      </c>
      <c r="AB5" s="413">
        <f t="shared" si="2"/>
        <v>1</v>
      </c>
      <c r="AC5" s="413">
        <f t="shared" si="2"/>
        <v>1</v>
      </c>
    </row>
    <row r="6" spans="1:29">
      <c r="A6" s="47">
        <f>'A.2.Plantilla_NuevaContratacion'!A5</f>
        <v>0</v>
      </c>
      <c r="B6" s="52" t="str">
        <f>'A.2.Plantilla_NuevaContratacion'!B5</f>
        <v xml:space="preserve"> PEÓN  </v>
      </c>
      <c r="C6" s="51">
        <f>'A.2.Plantilla_NuevaContratacion'!C5</f>
        <v>0</v>
      </c>
      <c r="D6" s="51">
        <f>'A.2.Plantilla_NuevaContratacion'!D5</f>
        <v>0</v>
      </c>
      <c r="E6" s="171">
        <f>'A.2.Plantilla_NuevaContratacion'!H5</f>
        <v>46023</v>
      </c>
      <c r="F6" s="172">
        <f>YEAR(E6)</f>
        <v>2026</v>
      </c>
      <c r="G6" s="173">
        <f>G$4</f>
        <v>2026</v>
      </c>
      <c r="H6" s="173">
        <f>H$4</f>
        <v>2032</v>
      </c>
      <c r="I6" s="173">
        <f>($I$4-F6)*$I$5</f>
        <v>0</v>
      </c>
      <c r="J6" s="173">
        <f>($J$4-F6)*$J$5</f>
        <v>1</v>
      </c>
      <c r="K6" s="173">
        <f>($K$4-F6)*$K$5</f>
        <v>2</v>
      </c>
      <c r="L6" s="173">
        <f>($L$4-F6)*$L$5</f>
        <v>3</v>
      </c>
      <c r="M6" s="173">
        <f>($M$4-F6)*$M$5</f>
        <v>4</v>
      </c>
      <c r="N6" s="173">
        <f>($N$4-F6)*$N$5</f>
        <v>5</v>
      </c>
      <c r="O6" s="173">
        <f>($O$4-F6)*$O$5</f>
        <v>6</v>
      </c>
      <c r="P6" s="173">
        <f>IF(I6&gt;=28,28,IF(I6&gt;=26,26,(IF(I6&gt;=24,24,IF(I6&gt;=22,22,IF(I6&gt;=20,20,IF(I6&gt;=18,18,IF(I6&gt;=14,14,(IF(I6&gt;=10,10,(IF(I6&gt;=6,6,(IF(I6&gt;=2,2,0))))))))))))))</f>
        <v>0</v>
      </c>
      <c r="Q6" s="173">
        <f t="shared" ref="Q6:V8" si="3">IF(J6&gt;=28,28,IF(J6&gt;=26,26,(IF(J6&gt;=24,24,IF(J6&gt;=22,22,IF(J6&gt;=20,20,IF(J6&gt;=18,18,IF(J6&gt;=14,14,(IF(J6&gt;=10,10,(IF(J6&gt;=6,6,(IF(J6&gt;=2,2,0))))))))))))))</f>
        <v>0</v>
      </c>
      <c r="R6" s="173">
        <f t="shared" si="3"/>
        <v>2</v>
      </c>
      <c r="S6" s="173">
        <f t="shared" si="3"/>
        <v>2</v>
      </c>
      <c r="T6" s="173">
        <f t="shared" si="3"/>
        <v>2</v>
      </c>
      <c r="U6" s="173">
        <f t="shared" si="3"/>
        <v>2</v>
      </c>
      <c r="V6" s="173">
        <f t="shared" si="3"/>
        <v>6</v>
      </c>
      <c r="W6" s="175">
        <f>IF(P6=2,'A.0_Tablas salariales SC'!$P$9,(IF(P6=6,'A.0_Tablas salariales SC'!$P$10,IF(P6=10,'A.0_Tablas salariales SC'!$P$11,IF(P6=14,'A.0_Tablas salariales SC'!$P$12,IF(P6=18,'A.0_Tablas salariales SC'!$P$13,IF(P6=20,'A.0_Tablas salariales SC'!$P$14,IF(P6=22,'A.0_Tablas salariales SC'!$P$15,IF(P6=24,'A.0_Tablas salariales SC'!$P$16,IF(P6=26,'A.0_Tablas salariales SC'!$P$17,IF(P6=28,'A.0_Tablas salariales SC'!$P$18,0)))))))))))</f>
        <v>0</v>
      </c>
      <c r="X6" s="175">
        <f>IF(Q6=2,'A.0_Tablas salariales SC'!$P$36,(IF(Q6=6,'A.0_Tablas salariales SC'!$P$37,IF(Q6=10,'A.0_Tablas salariales SC'!$P$38,IF(Q6=14,'A.0_Tablas salariales SC'!$P$39,IF(Q6=18,'A.0_Tablas salariales SC'!$P$40,IF(Q6=20,'A.0_Tablas salariales SC'!$P$41,IF(Q6=22,'A.0_Tablas salariales SC'!$P$42,IF(Q6=24,'A.0_Tablas salariales SC'!$P$43,IF(Q6=26,'A.0_Tablas salariales SC'!$P$44,IF(Q6=28,'A.0_Tablas salariales SC'!$P$45,0)))))))))))</f>
        <v>0</v>
      </c>
      <c r="Y6" s="175">
        <f>IF(R6=2,'A.0_Tablas salariales SC'!$P$63,(IF(R6=6,'A.0_Tablas salariales SC'!$P$64,IF(R6=10,'A.0_Tablas salariales SC'!$P$65,IF(R6=14,'A.0_Tablas salariales SC'!$P$66,IF(R6=18,'A.0_Tablas salariales SC'!$P$67,IF(R6=20,'A.0_Tablas salariales SC'!$P$68,IF(R6=22,'A.0_Tablas salariales SC'!$P$69,IF(R6=24,'A.0_Tablas salariales SC'!$P$70,IF(R6=26,'A.0_Tablas salariales SC'!$P$71,IF(R6=28,'A.0_Tablas salariales SC'!$P$72,0)))))))))))</f>
        <v>28.91</v>
      </c>
      <c r="Z6" s="175">
        <f>IF(S6=2,'A.0_Tablas salariales SC'!$P$90,(IF(S6=6,'A.0_Tablas salariales SC'!$P$91,IF(S6=10,'A.0_Tablas salariales SC'!$P$92,IF(S6=14,'A.0_Tablas salariales SC'!$P$93,IF(S6=18,'A.0_Tablas salariales SC'!$P$94,IF(S6=20,'A.0_Tablas salariales SC'!$P$95,IF(S6=22,'A.0_Tablas salariales SC'!$P$96,IF(S6=24,'A.0_Tablas salariales SC'!$P$97,IF(S6=26,'A.0_Tablas salariales SC'!$P$98,IF(S6=28,'A.0_Tablas salariales SC'!$P$99,0)))))))))))</f>
        <v>30.22</v>
      </c>
      <c r="AA6" s="175">
        <f>IF(T6=2,'A.0_Tablas salariales SC'!$P$117,(IF(T6=6,'A.0_Tablas salariales SC'!$P$118,IF(T6=10,'A.0_Tablas salariales SC'!$P$119,IF(T6=14,'A.0_Tablas salariales SC'!$P$120,IF(T6=18,'A.0_Tablas salariales SC'!$P$121,IF(T6=20,'A.0_Tablas salariales SC'!$P$122,IF(T6=22,'A.0_Tablas salariales SC'!$P$123,IF(T6=24,'A.0_Tablas salariales SC'!$P$124,IF(T6=26,'A.0_Tablas salariales SC'!$P$125,IF(T6=28,'A.0_Tablas salariales SC'!$P$126,0)))))))))))</f>
        <v>31.73</v>
      </c>
      <c r="AB6" s="175">
        <f>IF(U6=2,'A.0_Tablas salariales SC'!$P$145,(IF(U6=6,'A.0_Tablas salariales SC'!$P$146,IF(U6=10,'A.0_Tablas salariales SC'!$P$147,IF(U6=14,'A.0_Tablas salariales SC'!$P$148,IF(U6=18,'A.0_Tablas salariales SC'!$P$149,IF(U6=20,'A.0_Tablas salariales SC'!$P$150,IF(U6=22,'A.0_Tablas salariales SC'!$P$151,IF(U6=24,'A.0_Tablas salariales SC'!$P$152,IF(U6=26,'A.0_Tablas salariales SC'!$P$153,IF(U6=28,'A.0_Tablas salariales SC'!$P$154,0)))))))))))</f>
        <v>32.681899999999999</v>
      </c>
      <c r="AC6" s="175">
        <f>IF(V6=2,'A.0_Tablas salariales SC'!$P$173,(IF(V6=6,'A.0_Tablas salariales SC'!$P$174,IF(V6=10,'A.0_Tablas salariales SC'!$P$175,IF(V6=14,'A.0_Tablas salariales SC'!$P$176,IF(V6=18,'A.0_Tablas salariales SC'!$P$177,IF(V6=20,'A.0_Tablas salariales SC'!$P$178,IF(V6=22,'A.0_Tablas salariales SC'!$P$179,IF(V6=24,'A.0_Tablas salariales SC'!$P$180,IF(V6=26,'A.0_Tablas salariales SC'!$P$181,IF(V6=28,'A.0_Tablas salariales SC'!$P$182,0)))))))))))</f>
        <v>93.295546000000002</v>
      </c>
    </row>
    <row r="7" spans="1:29">
      <c r="A7" s="174"/>
      <c r="B7" s="420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</row>
    <row r="8" spans="1:29">
      <c r="A8" s="47">
        <f>'A.2.Plantilla_NuevaContratacion'!A7</f>
        <v>0</v>
      </c>
      <c r="B8" s="52" t="str">
        <f>'A.2.Plantilla_NuevaContratacion'!B7</f>
        <v xml:space="preserve"> AUXILIAR JARD.  </v>
      </c>
      <c r="C8" s="51">
        <f>'A.2.Plantilla_NuevaContratacion'!C7</f>
        <v>0</v>
      </c>
      <c r="D8" s="51">
        <f>'A.2.Plantilla_NuevaContratacion'!D7</f>
        <v>0</v>
      </c>
      <c r="E8" s="171">
        <f>'A.2.Plantilla_NuevaContratacion'!H7</f>
        <v>46023</v>
      </c>
      <c r="F8" s="172">
        <f t="shared" ref="F8:F31" si="4">YEAR(E8)</f>
        <v>2026</v>
      </c>
      <c r="G8" s="173">
        <f t="shared" ref="G8:H31" si="5">G$4</f>
        <v>2026</v>
      </c>
      <c r="H8" s="173">
        <f t="shared" si="5"/>
        <v>2032</v>
      </c>
      <c r="I8" s="173">
        <f t="shared" ref="I8" si="6">($I$4-F8)*$I$5</f>
        <v>0</v>
      </c>
      <c r="J8" s="173">
        <f t="shared" ref="J8" si="7">($J$4-F8)*$J$5</f>
        <v>1</v>
      </c>
      <c r="K8" s="173">
        <f t="shared" ref="K8" si="8">($K$4-F8)*$K$5</f>
        <v>2</v>
      </c>
      <c r="L8" s="173">
        <f t="shared" ref="L8" si="9">($L$4-F8)*$L$5</f>
        <v>3</v>
      </c>
      <c r="M8" s="173">
        <f t="shared" ref="M8" si="10">($M$4-F8)*$M$5</f>
        <v>4</v>
      </c>
      <c r="N8" s="173">
        <f t="shared" ref="N8" si="11">($N$4-F8)*$N$5</f>
        <v>5</v>
      </c>
      <c r="O8" s="173">
        <f t="shared" ref="O8" si="12">($O$4-F8)*$O$5</f>
        <v>6</v>
      </c>
      <c r="P8" s="173">
        <f t="shared" ref="P8" si="13">IF(I8&gt;=28,28,IF(I8&gt;=26,26,(IF(I8&gt;=24,24,IF(I8&gt;=22,22,IF(I8&gt;=20,20,IF(I8&gt;=18,18,IF(I8&gt;=14,14,(IF(I8&gt;=10,10,(IF(I8&gt;=6,6,(IF(I8&gt;=2,2,0))))))))))))))</f>
        <v>0</v>
      </c>
      <c r="Q8" s="173">
        <f t="shared" si="3"/>
        <v>0</v>
      </c>
      <c r="R8" s="173">
        <f t="shared" si="3"/>
        <v>2</v>
      </c>
      <c r="S8" s="173">
        <f t="shared" si="3"/>
        <v>2</v>
      </c>
      <c r="T8" s="173">
        <f t="shared" si="3"/>
        <v>2</v>
      </c>
      <c r="U8" s="173">
        <f t="shared" si="3"/>
        <v>2</v>
      </c>
      <c r="V8" s="173">
        <f t="shared" si="3"/>
        <v>6</v>
      </c>
      <c r="W8" s="175">
        <f>IF(P8=2,'A.0_Tablas salariales SC'!$P$9,(IF(P8=6,'A.0_Tablas salariales SC'!$P$10,IF(P8=10,'A.0_Tablas salariales SC'!$P$11,IF(P8=14,'A.0_Tablas salariales SC'!$P$12,IF(P8=18,'A.0_Tablas salariales SC'!$P$13,IF(P8=20,'A.0_Tablas salariales SC'!$P$14,IF(P8=22,'A.0_Tablas salariales SC'!$P$15,IF(P8=24,'A.0_Tablas salariales SC'!$P$16,IF(P8=26,'A.0_Tablas salariales SC'!$P$17,IF(P8=28,'A.0_Tablas salariales SC'!$P$18,0)))))))))))</f>
        <v>0</v>
      </c>
      <c r="X8" s="175">
        <f>IF(Q8=2,'A.0_Tablas salariales SC'!$P$36,(IF(Q8=6,'A.0_Tablas salariales SC'!$P$37,IF(Q8=10,'A.0_Tablas salariales SC'!$P$38,IF(Q8=14,'A.0_Tablas salariales SC'!$P$39,IF(Q8=18,'A.0_Tablas salariales SC'!$P$40,IF(Q8=20,'A.0_Tablas salariales SC'!$P$41,IF(Q8=22,'A.0_Tablas salariales SC'!$P$42,IF(Q8=24,'A.0_Tablas salariales SC'!$P$43,IF(Q8=26,'A.0_Tablas salariales SC'!$P$44,IF(Q8=28,'A.0_Tablas salariales SC'!$P$45,0)))))))))))</f>
        <v>0</v>
      </c>
      <c r="Y8" s="175">
        <f>IF(R8=2,'A.0_Tablas salariales SC'!$P$63,(IF(R8=6,'A.0_Tablas salariales SC'!$P$64,IF(R8=10,'A.0_Tablas salariales SC'!$P$65,IF(R8=14,'A.0_Tablas salariales SC'!$P$66,IF(R8=18,'A.0_Tablas salariales SC'!$P$67,IF(R8=20,'A.0_Tablas salariales SC'!$P$68,IF(R8=22,'A.0_Tablas salariales SC'!$P$69,IF(R8=24,'A.0_Tablas salariales SC'!$P$70,IF(R8=26,'A.0_Tablas salariales SC'!$P$71,IF(R8=28,'A.0_Tablas salariales SC'!$P$72,0)))))))))))</f>
        <v>28.91</v>
      </c>
      <c r="Z8" s="175">
        <f>IF(S8=2,'A.0_Tablas salariales SC'!$P$90,(IF(S8=6,'A.0_Tablas salariales SC'!$P$91,IF(S8=10,'A.0_Tablas salariales SC'!$P$92,IF(S8=14,'A.0_Tablas salariales SC'!$P$93,IF(S8=18,'A.0_Tablas salariales SC'!$P$94,IF(S8=20,'A.0_Tablas salariales SC'!$P$95,IF(S8=22,'A.0_Tablas salariales SC'!$P$96,IF(S8=24,'A.0_Tablas salariales SC'!$P$97,IF(S8=26,'A.0_Tablas salariales SC'!$P$98,IF(S8=28,'A.0_Tablas salariales SC'!$P$99,0)))))))))))</f>
        <v>30.22</v>
      </c>
      <c r="AA8" s="175">
        <f>IF(T8=2,'A.0_Tablas salariales SC'!$P$117,(IF(T8=6,'A.0_Tablas salariales SC'!$P$118,IF(T8=10,'A.0_Tablas salariales SC'!$P$119,IF(T8=14,'A.0_Tablas salariales SC'!$P$120,IF(T8=18,'A.0_Tablas salariales SC'!$P$121,IF(T8=20,'A.0_Tablas salariales SC'!$P$122,IF(T8=22,'A.0_Tablas salariales SC'!$P$123,IF(T8=24,'A.0_Tablas salariales SC'!$P$124,IF(T8=26,'A.0_Tablas salariales SC'!$P$125,IF(T8=28,'A.0_Tablas salariales SC'!$P$126,0)))))))))))</f>
        <v>31.73</v>
      </c>
      <c r="AB8" s="175">
        <f>IF(U8=2,'A.0_Tablas salariales SC'!$P$145,(IF(U8=6,'A.0_Tablas salariales SC'!$P$146,IF(U8=10,'A.0_Tablas salariales SC'!$P$147,IF(U8=14,'A.0_Tablas salariales SC'!$P$148,IF(U8=18,'A.0_Tablas salariales SC'!$P$149,IF(U8=20,'A.0_Tablas salariales SC'!$P$150,IF(U8=22,'A.0_Tablas salariales SC'!$P$151,IF(U8=24,'A.0_Tablas salariales SC'!$P$152,IF(U8=26,'A.0_Tablas salariales SC'!$P$153,IF(U8=28,'A.0_Tablas salariales SC'!$P$154,0)))))))))))</f>
        <v>32.681899999999999</v>
      </c>
      <c r="AC8" s="175">
        <f>IF(V8=2,'A.0_Tablas salariales SC'!$P$173,(IF(V8=6,'A.0_Tablas salariales SC'!$P$174,IF(V8=10,'A.0_Tablas salariales SC'!$P$175,IF(V8=14,'A.0_Tablas salariales SC'!$P$176,IF(V8=18,'A.0_Tablas salariales SC'!$P$177,IF(V8=20,'A.0_Tablas salariales SC'!$P$178,IF(V8=22,'A.0_Tablas salariales SC'!$P$179,IF(V8=24,'A.0_Tablas salariales SC'!$P$180,IF(V8=26,'A.0_Tablas salariales SC'!$P$181,IF(V8=28,'A.0_Tablas salariales SC'!$P$182,0)))))))))))</f>
        <v>93.295546000000002</v>
      </c>
    </row>
    <row r="9" spans="1:29">
      <c r="A9" s="174"/>
      <c r="B9" s="420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>
      <c r="A10" s="47">
        <f>'A.2.Plantilla_NuevaContratacion'!A9</f>
        <v>0</v>
      </c>
      <c r="B10" s="52" t="str">
        <f>'A.2.Plantilla_NuevaContratacion'!B9</f>
        <v xml:space="preserve"> JARDINERO/A</v>
      </c>
      <c r="C10" s="51">
        <f>'A.2.Plantilla_NuevaContratacion'!C9</f>
        <v>0</v>
      </c>
      <c r="D10" s="51">
        <f>'A.2.Plantilla_NuevaContratacion'!D9</f>
        <v>0</v>
      </c>
      <c r="E10" s="171">
        <f>'A.2.Plantilla_NuevaContratacion'!H9</f>
        <v>46023</v>
      </c>
      <c r="F10" s="172">
        <f t="shared" si="4"/>
        <v>2026</v>
      </c>
      <c r="G10" s="173">
        <f t="shared" si="5"/>
        <v>2026</v>
      </c>
      <c r="H10" s="173">
        <f t="shared" si="5"/>
        <v>2032</v>
      </c>
      <c r="I10" s="173">
        <f t="shared" ref="I10:I31" si="14">($I$4-F10)*$I$5</f>
        <v>0</v>
      </c>
      <c r="J10" s="173">
        <f t="shared" ref="J10:J31" si="15">($J$4-F10)*$J$5</f>
        <v>1</v>
      </c>
      <c r="K10" s="173">
        <f t="shared" ref="K10:K31" si="16">($K$4-F10)*$K$5</f>
        <v>2</v>
      </c>
      <c r="L10" s="173">
        <f t="shared" ref="L10:L31" si="17">($L$4-F10)*$L$5</f>
        <v>3</v>
      </c>
      <c r="M10" s="173">
        <f t="shared" ref="M10:M31" si="18">($M$4-F10)*$M$5</f>
        <v>4</v>
      </c>
      <c r="N10" s="173">
        <f t="shared" ref="N10:N31" si="19">($N$4-F10)*$N$5</f>
        <v>5</v>
      </c>
      <c r="O10" s="173">
        <f t="shared" ref="O10:O31" si="20">($O$4-F10)*$O$5</f>
        <v>6</v>
      </c>
      <c r="P10" s="173">
        <f t="shared" ref="P10:V31" si="21">IF(I10&gt;=28,28,IF(I10&gt;=26,26,(IF(I10&gt;=24,24,IF(I10&gt;=22,22,IF(I10&gt;=20,20,IF(I10&gt;=18,18,IF(I10&gt;=14,14,(IF(I10&gt;=10,10,(IF(I10&gt;=6,6,(IF(I10&gt;=2,2,0))))))))))))))</f>
        <v>0</v>
      </c>
      <c r="Q10" s="173">
        <f t="shared" si="21"/>
        <v>0</v>
      </c>
      <c r="R10" s="173">
        <f t="shared" si="21"/>
        <v>2</v>
      </c>
      <c r="S10" s="173">
        <f t="shared" si="21"/>
        <v>2</v>
      </c>
      <c r="T10" s="173">
        <f t="shared" si="21"/>
        <v>2</v>
      </c>
      <c r="U10" s="173">
        <f t="shared" si="21"/>
        <v>2</v>
      </c>
      <c r="V10" s="173">
        <f t="shared" si="21"/>
        <v>6</v>
      </c>
      <c r="W10" s="175">
        <f>IF(P10=2,'A.0_Tablas salariales SC'!$P$9,(IF(P10=6,'A.0_Tablas salariales SC'!$P$10,IF(P10=10,'A.0_Tablas salariales SC'!$P$11,IF(P10=14,'A.0_Tablas salariales SC'!$P$12,IF(P10=18,'A.0_Tablas salariales SC'!$P$13,IF(P10=20,'A.0_Tablas salariales SC'!$P$14,IF(P10=22,'A.0_Tablas salariales SC'!$P$15,IF(P10=24,'A.0_Tablas salariales SC'!$P$16,IF(P10=26,'A.0_Tablas salariales SC'!$P$17,IF(P10=28,'A.0_Tablas salariales SC'!$P$18,0)))))))))))</f>
        <v>0</v>
      </c>
      <c r="X10" s="175">
        <f>IF(Q10=2,'A.0_Tablas salariales SC'!$P$36,(IF(Q10=6,'A.0_Tablas salariales SC'!$P$37,IF(Q10=10,'A.0_Tablas salariales SC'!$P$38,IF(Q10=14,'A.0_Tablas salariales SC'!$P$39,IF(Q10=18,'A.0_Tablas salariales SC'!$P$40,IF(Q10=20,'A.0_Tablas salariales SC'!$P$41,IF(Q10=22,'A.0_Tablas salariales SC'!$P$42,IF(Q10=24,'A.0_Tablas salariales SC'!$P$43,IF(Q10=26,'A.0_Tablas salariales SC'!$P$44,IF(Q10=28,'A.0_Tablas salariales SC'!$P$45,0)))))))))))</f>
        <v>0</v>
      </c>
      <c r="Y10" s="175">
        <f>IF(R10=2,'A.0_Tablas salariales SC'!$P$63,(IF(R10=6,'A.0_Tablas salariales SC'!$P$64,IF(R10=10,'A.0_Tablas salariales SC'!$P$65,IF(R10=14,'A.0_Tablas salariales SC'!$P$66,IF(R10=18,'A.0_Tablas salariales SC'!$P$67,IF(R10=20,'A.0_Tablas salariales SC'!$P$68,IF(R10=22,'A.0_Tablas salariales SC'!$P$69,IF(R10=24,'A.0_Tablas salariales SC'!$P$70,IF(R10=26,'A.0_Tablas salariales SC'!$P$71,IF(R10=28,'A.0_Tablas salariales SC'!$P$72,0)))))))))))</f>
        <v>28.91</v>
      </c>
      <c r="Z10" s="175">
        <f>IF(S10=2,'A.0_Tablas salariales SC'!$P$90,(IF(S10=6,'A.0_Tablas salariales SC'!$P$91,IF(S10=10,'A.0_Tablas salariales SC'!$P$92,IF(S10=14,'A.0_Tablas salariales SC'!$P$93,IF(S10=18,'A.0_Tablas salariales SC'!$P$94,IF(S10=20,'A.0_Tablas salariales SC'!$P$95,IF(S10=22,'A.0_Tablas salariales SC'!$P$96,IF(S10=24,'A.0_Tablas salariales SC'!$P$97,IF(S10=26,'A.0_Tablas salariales SC'!$P$98,IF(S10=28,'A.0_Tablas salariales SC'!$P$99,0)))))))))))</f>
        <v>30.22</v>
      </c>
      <c r="AA10" s="175">
        <f>IF(T10=2,'A.0_Tablas salariales SC'!$P$117,(IF(T10=6,'A.0_Tablas salariales SC'!$P$118,IF(T10=10,'A.0_Tablas salariales SC'!$P$119,IF(T10=14,'A.0_Tablas salariales SC'!$P$120,IF(T10=18,'A.0_Tablas salariales SC'!$P$121,IF(T10=20,'A.0_Tablas salariales SC'!$P$122,IF(T10=22,'A.0_Tablas salariales SC'!$P$123,IF(T10=24,'A.0_Tablas salariales SC'!$P$124,IF(T10=26,'A.0_Tablas salariales SC'!$P$125,IF(T10=28,'A.0_Tablas salariales SC'!$P$126,0)))))))))))</f>
        <v>31.73</v>
      </c>
      <c r="AB10" s="175">
        <f>IF(U10=2,'A.0_Tablas salariales SC'!$P$145,(IF(U10=6,'A.0_Tablas salariales SC'!$P$146,IF(U10=10,'A.0_Tablas salariales SC'!$P$147,IF(U10=14,'A.0_Tablas salariales SC'!$P$148,IF(U10=18,'A.0_Tablas salariales SC'!$P$149,IF(U10=20,'A.0_Tablas salariales SC'!$P$150,IF(U10=22,'A.0_Tablas salariales SC'!$P$151,IF(U10=24,'A.0_Tablas salariales SC'!$P$152,IF(U10=26,'A.0_Tablas salariales SC'!$P$153,IF(U10=28,'A.0_Tablas salariales SC'!$P$154,0)))))))))))</f>
        <v>32.681899999999999</v>
      </c>
      <c r="AC10" s="175">
        <f>IF(V10=2,'A.0_Tablas salariales SC'!$P$173,(IF(V10=6,'A.0_Tablas salariales SC'!$P$174,IF(V10=10,'A.0_Tablas salariales SC'!$P$175,IF(V10=14,'A.0_Tablas salariales SC'!$P$176,IF(V10=18,'A.0_Tablas salariales SC'!$P$177,IF(V10=20,'A.0_Tablas salariales SC'!$P$178,IF(V10=22,'A.0_Tablas salariales SC'!$P$179,IF(V10=24,'A.0_Tablas salariales SC'!$P$180,IF(V10=26,'A.0_Tablas salariales SC'!$P$181,IF(V10=28,'A.0_Tablas salariales SC'!$P$182,0)))))))))))</f>
        <v>93.295546000000002</v>
      </c>
    </row>
    <row r="11" spans="1:29">
      <c r="A11" s="174"/>
      <c r="B11" s="420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</row>
    <row r="12" spans="1:29">
      <c r="A12" s="47">
        <f>'A.2.Plantilla_NuevaContratacion'!A11</f>
        <v>0</v>
      </c>
      <c r="B12" s="52" t="str">
        <f>'A.2.Plantilla_NuevaContratacion'!B11</f>
        <v xml:space="preserve"> OFICIAL JARD.  </v>
      </c>
      <c r="C12" s="51">
        <f>'A.2.Plantilla_NuevaContratacion'!C11</f>
        <v>0</v>
      </c>
      <c r="D12" s="51">
        <f>'A.2.Plantilla_NuevaContratacion'!D11</f>
        <v>0</v>
      </c>
      <c r="E12" s="171">
        <f>'A.2.Plantilla_NuevaContratacion'!H11</f>
        <v>46023</v>
      </c>
      <c r="F12" s="172">
        <f t="shared" si="4"/>
        <v>2026</v>
      </c>
      <c r="G12" s="173">
        <f t="shared" si="5"/>
        <v>2026</v>
      </c>
      <c r="H12" s="173">
        <f t="shared" si="5"/>
        <v>2032</v>
      </c>
      <c r="I12" s="173">
        <f t="shared" si="14"/>
        <v>0</v>
      </c>
      <c r="J12" s="173">
        <f t="shared" si="15"/>
        <v>1</v>
      </c>
      <c r="K12" s="173">
        <f t="shared" si="16"/>
        <v>2</v>
      </c>
      <c r="L12" s="173">
        <f t="shared" si="17"/>
        <v>3</v>
      </c>
      <c r="M12" s="173">
        <f t="shared" si="18"/>
        <v>4</v>
      </c>
      <c r="N12" s="173">
        <f t="shared" si="19"/>
        <v>5</v>
      </c>
      <c r="O12" s="173">
        <f t="shared" si="20"/>
        <v>6</v>
      </c>
      <c r="P12" s="173">
        <f t="shared" si="21"/>
        <v>0</v>
      </c>
      <c r="Q12" s="173">
        <f t="shared" si="21"/>
        <v>0</v>
      </c>
      <c r="R12" s="173">
        <f t="shared" si="21"/>
        <v>2</v>
      </c>
      <c r="S12" s="173">
        <f t="shared" si="21"/>
        <v>2</v>
      </c>
      <c r="T12" s="173">
        <f t="shared" si="21"/>
        <v>2</v>
      </c>
      <c r="U12" s="173">
        <f t="shared" si="21"/>
        <v>2</v>
      </c>
      <c r="V12" s="173">
        <f t="shared" si="21"/>
        <v>6</v>
      </c>
      <c r="W12" s="175">
        <f>IF(P12=2,'A.0_Tablas salariales SC'!$P$9,(IF(P12=6,'A.0_Tablas salariales SC'!$P$10,IF(P12=10,'A.0_Tablas salariales SC'!$P$11,IF(P12=14,'A.0_Tablas salariales SC'!$P$12,IF(P12=18,'A.0_Tablas salariales SC'!$P$13,IF(P12=20,'A.0_Tablas salariales SC'!$P$14,IF(P12=22,'A.0_Tablas salariales SC'!$P$15,IF(P12=24,'A.0_Tablas salariales SC'!$P$16,IF(P12=26,'A.0_Tablas salariales SC'!$P$17,IF(P12=28,'A.0_Tablas salariales SC'!$P$18,0)))))))))))</f>
        <v>0</v>
      </c>
      <c r="X12" s="175">
        <f>IF(Q12=2,'A.0_Tablas salariales SC'!$P$36,(IF(Q12=6,'A.0_Tablas salariales SC'!$P$37,IF(Q12=10,'A.0_Tablas salariales SC'!$P$38,IF(Q12=14,'A.0_Tablas salariales SC'!$P$39,IF(Q12=18,'A.0_Tablas salariales SC'!$P$40,IF(Q12=20,'A.0_Tablas salariales SC'!$P$41,IF(Q12=22,'A.0_Tablas salariales SC'!$P$42,IF(Q12=24,'A.0_Tablas salariales SC'!$P$43,IF(Q12=26,'A.0_Tablas salariales SC'!$P$44,IF(Q12=28,'A.0_Tablas salariales SC'!$P$45,0)))))))))))</f>
        <v>0</v>
      </c>
      <c r="Y12" s="175">
        <f>IF(R12=2,'A.0_Tablas salariales SC'!$P$63,(IF(R12=6,'A.0_Tablas salariales SC'!$P$64,IF(R12=10,'A.0_Tablas salariales SC'!$P$65,IF(R12=14,'A.0_Tablas salariales SC'!$P$66,IF(R12=18,'A.0_Tablas salariales SC'!$P$67,IF(R12=20,'A.0_Tablas salariales SC'!$P$68,IF(R12=22,'A.0_Tablas salariales SC'!$P$69,IF(R12=24,'A.0_Tablas salariales SC'!$P$70,IF(R12=26,'A.0_Tablas salariales SC'!$P$71,IF(R12=28,'A.0_Tablas salariales SC'!$P$72,0)))))))))))</f>
        <v>28.91</v>
      </c>
      <c r="Z12" s="175">
        <f>IF(S12=2,'A.0_Tablas salariales SC'!$P$90,(IF(S12=6,'A.0_Tablas salariales SC'!$P$91,IF(S12=10,'A.0_Tablas salariales SC'!$P$92,IF(S12=14,'A.0_Tablas salariales SC'!$P$93,IF(S12=18,'A.0_Tablas salariales SC'!$P$94,IF(S12=20,'A.0_Tablas salariales SC'!$P$95,IF(S12=22,'A.0_Tablas salariales SC'!$P$96,IF(S12=24,'A.0_Tablas salariales SC'!$P$97,IF(S12=26,'A.0_Tablas salariales SC'!$P$98,IF(S12=28,'A.0_Tablas salariales SC'!$P$99,0)))))))))))</f>
        <v>30.22</v>
      </c>
      <c r="AA12" s="175">
        <f>IF(T12=2,'A.0_Tablas salariales SC'!$P$117,(IF(T12=6,'A.0_Tablas salariales SC'!$P$118,IF(T12=10,'A.0_Tablas salariales SC'!$P$119,IF(T12=14,'A.0_Tablas salariales SC'!$P$120,IF(T12=18,'A.0_Tablas salariales SC'!$P$121,IF(T12=20,'A.0_Tablas salariales SC'!$P$122,IF(T12=22,'A.0_Tablas salariales SC'!$P$123,IF(T12=24,'A.0_Tablas salariales SC'!$P$124,IF(T12=26,'A.0_Tablas salariales SC'!$P$125,IF(T12=28,'A.0_Tablas salariales SC'!$P$126,0)))))))))))</f>
        <v>31.73</v>
      </c>
      <c r="AB12" s="175">
        <f>IF(U12=2,'A.0_Tablas salariales SC'!$P$145,(IF(U12=6,'A.0_Tablas salariales SC'!$P$146,IF(U12=10,'A.0_Tablas salariales SC'!$P$147,IF(U12=14,'A.0_Tablas salariales SC'!$P$148,IF(U12=18,'A.0_Tablas salariales SC'!$P$149,IF(U12=20,'A.0_Tablas salariales SC'!$P$150,IF(U12=22,'A.0_Tablas salariales SC'!$P$151,IF(U12=24,'A.0_Tablas salariales SC'!$P$152,IF(U12=26,'A.0_Tablas salariales SC'!$P$153,IF(U12=28,'A.0_Tablas salariales SC'!$P$154,0)))))))))))</f>
        <v>32.681899999999999</v>
      </c>
      <c r="AC12" s="175">
        <f>IF(V12=2,'A.0_Tablas salariales SC'!$P$173,(IF(V12=6,'A.0_Tablas salariales SC'!$P$174,IF(V12=10,'A.0_Tablas salariales SC'!$P$175,IF(V12=14,'A.0_Tablas salariales SC'!$P$176,IF(V12=18,'A.0_Tablas salariales SC'!$P$177,IF(V12=20,'A.0_Tablas salariales SC'!$P$178,IF(V12=22,'A.0_Tablas salariales SC'!$P$179,IF(V12=24,'A.0_Tablas salariales SC'!$P$180,IF(V12=26,'A.0_Tablas salariales SC'!$P$181,IF(V12=28,'A.0_Tablas salariales SC'!$P$182,0)))))))))))</f>
        <v>93.295546000000002</v>
      </c>
    </row>
    <row r="13" spans="1:29">
      <c r="A13" s="47">
        <f>'A.2.Plantilla_NuevaContratacion'!A12</f>
        <v>0</v>
      </c>
      <c r="B13" s="52" t="str">
        <f>'A.2.Plantilla_NuevaContratacion'!B12</f>
        <v xml:space="preserve"> OFICIAL COND.  </v>
      </c>
      <c r="C13" s="51">
        <f>'A.2.Plantilla_NuevaContratacion'!C12</f>
        <v>0</v>
      </c>
      <c r="D13" s="51">
        <f>'A.2.Plantilla_NuevaContratacion'!D12</f>
        <v>0</v>
      </c>
      <c r="E13" s="171">
        <f>'A.2.Plantilla_NuevaContratacion'!H12</f>
        <v>46023</v>
      </c>
      <c r="F13" s="172">
        <f t="shared" si="4"/>
        <v>2026</v>
      </c>
      <c r="G13" s="173">
        <f t="shared" si="5"/>
        <v>2026</v>
      </c>
      <c r="H13" s="173">
        <f t="shared" si="5"/>
        <v>2032</v>
      </c>
      <c r="I13" s="173">
        <f t="shared" si="14"/>
        <v>0</v>
      </c>
      <c r="J13" s="173">
        <f t="shared" si="15"/>
        <v>1</v>
      </c>
      <c r="K13" s="173">
        <f t="shared" si="16"/>
        <v>2</v>
      </c>
      <c r="L13" s="173">
        <f t="shared" si="17"/>
        <v>3</v>
      </c>
      <c r="M13" s="173">
        <f t="shared" si="18"/>
        <v>4</v>
      </c>
      <c r="N13" s="173">
        <f t="shared" si="19"/>
        <v>5</v>
      </c>
      <c r="O13" s="173">
        <f t="shared" si="20"/>
        <v>6</v>
      </c>
      <c r="P13" s="173">
        <f t="shared" si="21"/>
        <v>0</v>
      </c>
      <c r="Q13" s="173">
        <f t="shared" si="21"/>
        <v>0</v>
      </c>
      <c r="R13" s="173">
        <f t="shared" si="21"/>
        <v>2</v>
      </c>
      <c r="S13" s="173">
        <f t="shared" si="21"/>
        <v>2</v>
      </c>
      <c r="T13" s="173">
        <f t="shared" si="21"/>
        <v>2</v>
      </c>
      <c r="U13" s="173">
        <f t="shared" si="21"/>
        <v>2</v>
      </c>
      <c r="V13" s="173">
        <f t="shared" si="21"/>
        <v>6</v>
      </c>
      <c r="W13" s="175">
        <f>IF(P13=2,'A.0_Tablas salariales SC'!$P$9,(IF(P13=6,'A.0_Tablas salariales SC'!$P$10,IF(P13=10,'A.0_Tablas salariales SC'!$P$11,IF(P13=14,'A.0_Tablas salariales SC'!$P$12,IF(P13=18,'A.0_Tablas salariales SC'!$P$13,IF(P13=20,'A.0_Tablas salariales SC'!$P$14,IF(P13=22,'A.0_Tablas salariales SC'!$P$15,IF(P13=24,'A.0_Tablas salariales SC'!$P$16,IF(P13=26,'A.0_Tablas salariales SC'!$P$17,IF(P13=28,'A.0_Tablas salariales SC'!$P$18,0)))))))))))</f>
        <v>0</v>
      </c>
      <c r="X13" s="175">
        <f>IF(Q13=2,'A.0_Tablas salariales SC'!$P$36,(IF(Q13=6,'A.0_Tablas salariales SC'!$P$37,IF(Q13=10,'A.0_Tablas salariales SC'!$P$38,IF(Q13=14,'A.0_Tablas salariales SC'!$P$39,IF(Q13=18,'A.0_Tablas salariales SC'!$P$40,IF(Q13=20,'A.0_Tablas salariales SC'!$P$41,IF(Q13=22,'A.0_Tablas salariales SC'!$P$42,IF(Q13=24,'A.0_Tablas salariales SC'!$P$43,IF(Q13=26,'A.0_Tablas salariales SC'!$P$44,IF(Q13=28,'A.0_Tablas salariales SC'!$P$45,0)))))))))))</f>
        <v>0</v>
      </c>
      <c r="Y13" s="175">
        <f>IF(R13=2,'A.0_Tablas salariales SC'!$P$63,(IF(R13=6,'A.0_Tablas salariales SC'!$P$64,IF(R13=10,'A.0_Tablas salariales SC'!$P$65,IF(R13=14,'A.0_Tablas salariales SC'!$P$66,IF(R13=18,'A.0_Tablas salariales SC'!$P$67,IF(R13=20,'A.0_Tablas salariales SC'!$P$68,IF(R13=22,'A.0_Tablas salariales SC'!$P$69,IF(R13=24,'A.0_Tablas salariales SC'!$P$70,IF(R13=26,'A.0_Tablas salariales SC'!$P$71,IF(R13=28,'A.0_Tablas salariales SC'!$P$72,0)))))))))))</f>
        <v>28.91</v>
      </c>
      <c r="Z13" s="175">
        <f>IF(S13=2,'A.0_Tablas salariales SC'!$P$90,(IF(S13=6,'A.0_Tablas salariales SC'!$P$91,IF(S13=10,'A.0_Tablas salariales SC'!$P$92,IF(S13=14,'A.0_Tablas salariales SC'!$P$93,IF(S13=18,'A.0_Tablas salariales SC'!$P$94,IF(S13=20,'A.0_Tablas salariales SC'!$P$95,IF(S13=22,'A.0_Tablas salariales SC'!$P$96,IF(S13=24,'A.0_Tablas salariales SC'!$P$97,IF(S13=26,'A.0_Tablas salariales SC'!$P$98,IF(S13=28,'A.0_Tablas salariales SC'!$P$99,0)))))))))))</f>
        <v>30.22</v>
      </c>
      <c r="AA13" s="175">
        <f>IF(T13=2,'A.0_Tablas salariales SC'!$P$117,(IF(T13=6,'A.0_Tablas salariales SC'!$P$118,IF(T13=10,'A.0_Tablas salariales SC'!$P$119,IF(T13=14,'A.0_Tablas salariales SC'!$P$120,IF(T13=18,'A.0_Tablas salariales SC'!$P$121,IF(T13=20,'A.0_Tablas salariales SC'!$P$122,IF(T13=22,'A.0_Tablas salariales SC'!$P$123,IF(T13=24,'A.0_Tablas salariales SC'!$P$124,IF(T13=26,'A.0_Tablas salariales SC'!$P$125,IF(T13=28,'A.0_Tablas salariales SC'!$P$126,0)))))))))))</f>
        <v>31.73</v>
      </c>
      <c r="AB13" s="175">
        <f>IF(U13=2,'A.0_Tablas salariales SC'!$P$145,(IF(U13=6,'A.0_Tablas salariales SC'!$P$146,IF(U13=10,'A.0_Tablas salariales SC'!$P$147,IF(U13=14,'A.0_Tablas salariales SC'!$P$148,IF(U13=18,'A.0_Tablas salariales SC'!$P$149,IF(U13=20,'A.0_Tablas salariales SC'!$P$150,IF(U13=22,'A.0_Tablas salariales SC'!$P$151,IF(U13=24,'A.0_Tablas salariales SC'!$P$152,IF(U13=26,'A.0_Tablas salariales SC'!$P$153,IF(U13=28,'A.0_Tablas salariales SC'!$P$154,0)))))))))))</f>
        <v>32.681899999999999</v>
      </c>
      <c r="AC13" s="175">
        <f>IF(V13=2,'A.0_Tablas salariales SC'!$P$173,(IF(V13=6,'A.0_Tablas salariales SC'!$P$174,IF(V13=10,'A.0_Tablas salariales SC'!$P$175,IF(V13=14,'A.0_Tablas salariales SC'!$P$176,IF(V13=18,'A.0_Tablas salariales SC'!$P$177,IF(V13=20,'A.0_Tablas salariales SC'!$P$178,IF(V13=22,'A.0_Tablas salariales SC'!$P$179,IF(V13=24,'A.0_Tablas salariales SC'!$P$180,IF(V13=26,'A.0_Tablas salariales SC'!$P$181,IF(V13=28,'A.0_Tablas salariales SC'!$P$182,0)))))))))))</f>
        <v>93.295546000000002</v>
      </c>
    </row>
    <row r="14" spans="1:29">
      <c r="A14" s="174"/>
      <c r="B14" s="420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</row>
    <row r="15" spans="1:29">
      <c r="A15" s="47">
        <f>'A.2.Plantilla_NuevaContratacion'!A14</f>
        <v>0</v>
      </c>
      <c r="B15" s="52" t="str">
        <f>'A.2.Plantilla_NuevaContratacion'!B14</f>
        <v xml:space="preserve"> ENCARGADO/A</v>
      </c>
      <c r="C15" s="51">
        <f>'A.2.Plantilla_NuevaContratacion'!C14</f>
        <v>0</v>
      </c>
      <c r="D15" s="51">
        <f>'A.2.Plantilla_NuevaContratacion'!D14</f>
        <v>0</v>
      </c>
      <c r="E15" s="171">
        <f>'A.2.Plantilla_NuevaContratacion'!H14</f>
        <v>46023</v>
      </c>
      <c r="F15" s="172">
        <f t="shared" si="4"/>
        <v>2026</v>
      </c>
      <c r="G15" s="173">
        <f t="shared" si="5"/>
        <v>2026</v>
      </c>
      <c r="H15" s="173">
        <f t="shared" si="5"/>
        <v>2032</v>
      </c>
      <c r="I15" s="173">
        <f t="shared" si="14"/>
        <v>0</v>
      </c>
      <c r="J15" s="173">
        <f t="shared" si="15"/>
        <v>1</v>
      </c>
      <c r="K15" s="173">
        <f t="shared" si="16"/>
        <v>2</v>
      </c>
      <c r="L15" s="173">
        <f t="shared" si="17"/>
        <v>3</v>
      </c>
      <c r="M15" s="173">
        <f t="shared" si="18"/>
        <v>4</v>
      </c>
      <c r="N15" s="173">
        <f t="shared" si="19"/>
        <v>5</v>
      </c>
      <c r="O15" s="173">
        <f t="shared" si="20"/>
        <v>6</v>
      </c>
      <c r="P15" s="173">
        <f t="shared" si="21"/>
        <v>0</v>
      </c>
      <c r="Q15" s="173">
        <f t="shared" si="21"/>
        <v>0</v>
      </c>
      <c r="R15" s="173">
        <f t="shared" si="21"/>
        <v>2</v>
      </c>
      <c r="S15" s="173">
        <f t="shared" si="21"/>
        <v>2</v>
      </c>
      <c r="T15" s="173">
        <f t="shared" si="21"/>
        <v>2</v>
      </c>
      <c r="U15" s="173">
        <f t="shared" si="21"/>
        <v>2</v>
      </c>
      <c r="V15" s="173">
        <f t="shared" si="21"/>
        <v>6</v>
      </c>
      <c r="W15" s="175">
        <f>IF(P15=2,'A.0_Tablas salariales SC'!$P$9,(IF(P15=6,'A.0_Tablas salariales SC'!$P$10,IF(P15=10,'A.0_Tablas salariales SC'!$P$11,IF(P15=14,'A.0_Tablas salariales SC'!$P$12,IF(P15=18,'A.0_Tablas salariales SC'!$P$13,IF(P15=20,'A.0_Tablas salariales SC'!$P$14,IF(P15=22,'A.0_Tablas salariales SC'!$P$15,IF(P15=24,'A.0_Tablas salariales SC'!$P$16,IF(P15=26,'A.0_Tablas salariales SC'!$P$17,IF(P15=28,'A.0_Tablas salariales SC'!$P$18,0)))))))))))</f>
        <v>0</v>
      </c>
      <c r="X15" s="175">
        <f>IF(Q15=2,'A.0_Tablas salariales SC'!$P$36,(IF(Q15=6,'A.0_Tablas salariales SC'!$P$37,IF(Q15=10,'A.0_Tablas salariales SC'!$P$38,IF(Q15=14,'A.0_Tablas salariales SC'!$P$39,IF(Q15=18,'A.0_Tablas salariales SC'!$P$40,IF(Q15=20,'A.0_Tablas salariales SC'!$P$41,IF(Q15=22,'A.0_Tablas salariales SC'!$P$42,IF(Q15=24,'A.0_Tablas salariales SC'!$P$43,IF(Q15=26,'A.0_Tablas salariales SC'!$P$44,IF(Q15=28,'A.0_Tablas salariales SC'!$P$45,0)))))))))))</f>
        <v>0</v>
      </c>
      <c r="Y15" s="175">
        <f>IF(R15=2,'A.0_Tablas salariales SC'!$P$63,(IF(R15=6,'A.0_Tablas salariales SC'!$P$64,IF(R15=10,'A.0_Tablas salariales SC'!$P$65,IF(R15=14,'A.0_Tablas salariales SC'!$P$66,IF(R15=18,'A.0_Tablas salariales SC'!$P$67,IF(R15=20,'A.0_Tablas salariales SC'!$P$68,IF(R15=22,'A.0_Tablas salariales SC'!$P$69,IF(R15=24,'A.0_Tablas salariales SC'!$P$70,IF(R15=26,'A.0_Tablas salariales SC'!$P$71,IF(R15=28,'A.0_Tablas salariales SC'!$P$72,0)))))))))))</f>
        <v>28.91</v>
      </c>
      <c r="Z15" s="175">
        <f>IF(S15=2,'A.0_Tablas salariales SC'!$P$90,(IF(S15=6,'A.0_Tablas salariales SC'!$P$91,IF(S15=10,'A.0_Tablas salariales SC'!$P$92,IF(S15=14,'A.0_Tablas salariales SC'!$P$93,IF(S15=18,'A.0_Tablas salariales SC'!$P$94,IF(S15=20,'A.0_Tablas salariales SC'!$P$95,IF(S15=22,'A.0_Tablas salariales SC'!$P$96,IF(S15=24,'A.0_Tablas salariales SC'!$P$97,IF(S15=26,'A.0_Tablas salariales SC'!$P$98,IF(S15=28,'A.0_Tablas salariales SC'!$P$99,0)))))))))))</f>
        <v>30.22</v>
      </c>
      <c r="AA15" s="175">
        <f>IF(T15=2,'A.0_Tablas salariales SC'!$P$117,(IF(T15=6,'A.0_Tablas salariales SC'!$P$118,IF(T15=10,'A.0_Tablas salariales SC'!$P$119,IF(T15=14,'A.0_Tablas salariales SC'!$P$120,IF(T15=18,'A.0_Tablas salariales SC'!$P$121,IF(T15=20,'A.0_Tablas salariales SC'!$P$122,IF(T15=22,'A.0_Tablas salariales SC'!$P$123,IF(T15=24,'A.0_Tablas salariales SC'!$P$124,IF(T15=26,'A.0_Tablas salariales SC'!$P$125,IF(T15=28,'A.0_Tablas salariales SC'!$P$126,0)))))))))))</f>
        <v>31.73</v>
      </c>
      <c r="AB15" s="175">
        <f>IF(U15=2,'A.0_Tablas salariales SC'!$P$145,(IF(U15=6,'A.0_Tablas salariales SC'!$P$146,IF(U15=10,'A.0_Tablas salariales SC'!$P$147,IF(U15=14,'A.0_Tablas salariales SC'!$P$148,IF(U15=18,'A.0_Tablas salariales SC'!$P$149,IF(U15=20,'A.0_Tablas salariales SC'!$P$150,IF(U15=22,'A.0_Tablas salariales SC'!$P$151,IF(U15=24,'A.0_Tablas salariales SC'!$P$152,IF(U15=26,'A.0_Tablas salariales SC'!$P$153,IF(U15=28,'A.0_Tablas salariales SC'!$P$154,0)))))))))))</f>
        <v>32.681899999999999</v>
      </c>
      <c r="AC15" s="175">
        <f>IF(V15=2,'A.0_Tablas salariales SC'!$P$173,(IF(V15=6,'A.0_Tablas salariales SC'!$P$174,IF(V15=10,'A.0_Tablas salariales SC'!$P$175,IF(V15=14,'A.0_Tablas salariales SC'!$P$176,IF(V15=18,'A.0_Tablas salariales SC'!$P$177,IF(V15=20,'A.0_Tablas salariales SC'!$P$178,IF(V15=22,'A.0_Tablas salariales SC'!$P$179,IF(V15=24,'A.0_Tablas salariales SC'!$P$180,IF(V15=26,'A.0_Tablas salariales SC'!$P$181,IF(V15=28,'A.0_Tablas salariales SC'!$P$182,0)))))))))))</f>
        <v>93.295546000000002</v>
      </c>
    </row>
    <row r="16" spans="1:29">
      <c r="A16" s="47">
        <f>'A.2.Plantilla_NuevaContratacion'!A15</f>
        <v>0</v>
      </c>
      <c r="B16" s="52" t="str">
        <f>'A.2.Plantilla_NuevaContratacion'!B15</f>
        <v xml:space="preserve"> MAESTRO/A</v>
      </c>
      <c r="C16" s="51">
        <f>'A.2.Plantilla_NuevaContratacion'!C15</f>
        <v>0</v>
      </c>
      <c r="D16" s="51">
        <f>'A.2.Plantilla_NuevaContratacion'!D15</f>
        <v>0</v>
      </c>
      <c r="E16" s="171">
        <f>'A.2.Plantilla_NuevaContratacion'!H15</f>
        <v>46023</v>
      </c>
      <c r="F16" s="172">
        <f t="shared" si="4"/>
        <v>2026</v>
      </c>
      <c r="G16" s="173">
        <f t="shared" si="5"/>
        <v>2026</v>
      </c>
      <c r="H16" s="173">
        <f t="shared" si="5"/>
        <v>2032</v>
      </c>
      <c r="I16" s="173">
        <f t="shared" si="14"/>
        <v>0</v>
      </c>
      <c r="J16" s="173">
        <f t="shared" si="15"/>
        <v>1</v>
      </c>
      <c r="K16" s="173">
        <f t="shared" si="16"/>
        <v>2</v>
      </c>
      <c r="L16" s="173">
        <f t="shared" si="17"/>
        <v>3</v>
      </c>
      <c r="M16" s="173">
        <f t="shared" si="18"/>
        <v>4</v>
      </c>
      <c r="N16" s="173">
        <f t="shared" si="19"/>
        <v>5</v>
      </c>
      <c r="O16" s="173">
        <f t="shared" si="20"/>
        <v>6</v>
      </c>
      <c r="P16" s="173">
        <f t="shared" si="21"/>
        <v>0</v>
      </c>
      <c r="Q16" s="173">
        <f t="shared" si="21"/>
        <v>0</v>
      </c>
      <c r="R16" s="173">
        <f t="shared" si="21"/>
        <v>2</v>
      </c>
      <c r="S16" s="173">
        <f t="shared" si="21"/>
        <v>2</v>
      </c>
      <c r="T16" s="173">
        <f t="shared" si="21"/>
        <v>2</v>
      </c>
      <c r="U16" s="173">
        <f t="shared" si="21"/>
        <v>2</v>
      </c>
      <c r="V16" s="173">
        <f t="shared" si="21"/>
        <v>6</v>
      </c>
      <c r="W16" s="175">
        <f>IF(P16=2,'A.0_Tablas salariales SC'!$P$9,(IF(P16=6,'A.0_Tablas salariales SC'!$P$10,IF(P16=10,'A.0_Tablas salariales SC'!$P$11,IF(P16=14,'A.0_Tablas salariales SC'!$P$12,IF(P16=18,'A.0_Tablas salariales SC'!$P$13,IF(P16=20,'A.0_Tablas salariales SC'!$P$14,IF(P16=22,'A.0_Tablas salariales SC'!$P$15,IF(P16=24,'A.0_Tablas salariales SC'!$P$16,IF(P16=26,'A.0_Tablas salariales SC'!$P$17,IF(P16=28,'A.0_Tablas salariales SC'!$P$18,0)))))))))))</f>
        <v>0</v>
      </c>
      <c r="X16" s="175">
        <f>IF(Q16=2,'A.0_Tablas salariales SC'!$P$36,(IF(Q16=6,'A.0_Tablas salariales SC'!$P$37,IF(Q16=10,'A.0_Tablas salariales SC'!$P$38,IF(Q16=14,'A.0_Tablas salariales SC'!$P$39,IF(Q16=18,'A.0_Tablas salariales SC'!$P$40,IF(Q16=20,'A.0_Tablas salariales SC'!$P$41,IF(Q16=22,'A.0_Tablas salariales SC'!$P$42,IF(Q16=24,'A.0_Tablas salariales SC'!$P$43,IF(Q16=26,'A.0_Tablas salariales SC'!$P$44,IF(Q16=28,'A.0_Tablas salariales SC'!$P$45,0)))))))))))</f>
        <v>0</v>
      </c>
      <c r="Y16" s="175">
        <f>IF(R16=2,'A.0_Tablas salariales SC'!$P$63,(IF(R16=6,'A.0_Tablas salariales SC'!$P$64,IF(R16=10,'A.0_Tablas salariales SC'!$P$65,IF(R16=14,'A.0_Tablas salariales SC'!$P$66,IF(R16=18,'A.0_Tablas salariales SC'!$P$67,IF(R16=20,'A.0_Tablas salariales SC'!$P$68,IF(R16=22,'A.0_Tablas salariales SC'!$P$69,IF(R16=24,'A.0_Tablas salariales SC'!$P$70,IF(R16=26,'A.0_Tablas salariales SC'!$P$71,IF(R16=28,'A.0_Tablas salariales SC'!$P$72,0)))))))))))</f>
        <v>28.91</v>
      </c>
      <c r="Z16" s="175">
        <f>IF(S16=2,'A.0_Tablas salariales SC'!$P$90,(IF(S16=6,'A.0_Tablas salariales SC'!$P$91,IF(S16=10,'A.0_Tablas salariales SC'!$P$92,IF(S16=14,'A.0_Tablas salariales SC'!$P$93,IF(S16=18,'A.0_Tablas salariales SC'!$P$94,IF(S16=20,'A.0_Tablas salariales SC'!$P$95,IF(S16=22,'A.0_Tablas salariales SC'!$P$96,IF(S16=24,'A.0_Tablas salariales SC'!$P$97,IF(S16=26,'A.0_Tablas salariales SC'!$P$98,IF(S16=28,'A.0_Tablas salariales SC'!$P$99,0)))))))))))</f>
        <v>30.22</v>
      </c>
      <c r="AA16" s="175">
        <f>IF(T16=2,'A.0_Tablas salariales SC'!$P$117,(IF(T16=6,'A.0_Tablas salariales SC'!$P$118,IF(T16=10,'A.0_Tablas salariales SC'!$P$119,IF(T16=14,'A.0_Tablas salariales SC'!$P$120,IF(T16=18,'A.0_Tablas salariales SC'!$P$121,IF(T16=20,'A.0_Tablas salariales SC'!$P$122,IF(T16=22,'A.0_Tablas salariales SC'!$P$123,IF(T16=24,'A.0_Tablas salariales SC'!$P$124,IF(T16=26,'A.0_Tablas salariales SC'!$P$125,IF(T16=28,'A.0_Tablas salariales SC'!$P$126,0)))))))))))</f>
        <v>31.73</v>
      </c>
      <c r="AB16" s="175">
        <f>IF(U16=2,'A.0_Tablas salariales SC'!$P$145,(IF(U16=6,'A.0_Tablas salariales SC'!$P$146,IF(U16=10,'A.0_Tablas salariales SC'!$P$147,IF(U16=14,'A.0_Tablas salariales SC'!$P$148,IF(U16=18,'A.0_Tablas salariales SC'!$P$149,IF(U16=20,'A.0_Tablas salariales SC'!$P$150,IF(U16=22,'A.0_Tablas salariales SC'!$P$151,IF(U16=24,'A.0_Tablas salariales SC'!$P$152,IF(U16=26,'A.0_Tablas salariales SC'!$P$153,IF(U16=28,'A.0_Tablas salariales SC'!$P$154,0)))))))))))</f>
        <v>32.681899999999999</v>
      </c>
      <c r="AC16" s="175">
        <f>IF(V16=2,'A.0_Tablas salariales SC'!$P$173,(IF(V16=6,'A.0_Tablas salariales SC'!$P$174,IF(V16=10,'A.0_Tablas salariales SC'!$P$175,IF(V16=14,'A.0_Tablas salariales SC'!$P$176,IF(V16=18,'A.0_Tablas salariales SC'!$P$177,IF(V16=20,'A.0_Tablas salariales SC'!$P$178,IF(V16=22,'A.0_Tablas salariales SC'!$P$179,IF(V16=24,'A.0_Tablas salariales SC'!$P$180,IF(V16=26,'A.0_Tablas salariales SC'!$P$181,IF(V16=28,'A.0_Tablas salariales SC'!$P$182,0)))))))))))</f>
        <v>93.295546000000002</v>
      </c>
    </row>
    <row r="17" spans="1:29">
      <c r="A17" s="174"/>
      <c r="B17" s="420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</row>
    <row r="18" spans="1:29">
      <c r="A18" s="47">
        <f>'A.2.Plantilla_NuevaContratacion'!A17</f>
        <v>0</v>
      </c>
      <c r="B18" s="52" t="str">
        <f>'A.2.Plantilla_NuevaContratacion'!B17</f>
        <v>DELINEANTE</v>
      </c>
      <c r="C18" s="51">
        <f>'A.2.Plantilla_NuevaContratacion'!C17</f>
        <v>0</v>
      </c>
      <c r="D18" s="51">
        <f>'A.2.Plantilla_NuevaContratacion'!D17</f>
        <v>0</v>
      </c>
      <c r="E18" s="171">
        <f>'A.2.Plantilla_NuevaContratacion'!H17</f>
        <v>46023</v>
      </c>
      <c r="F18" s="172">
        <f t="shared" si="4"/>
        <v>2026</v>
      </c>
      <c r="G18" s="173">
        <f t="shared" si="5"/>
        <v>2026</v>
      </c>
      <c r="H18" s="173">
        <f t="shared" si="5"/>
        <v>2032</v>
      </c>
      <c r="I18" s="173">
        <f t="shared" si="14"/>
        <v>0</v>
      </c>
      <c r="J18" s="173">
        <f t="shared" si="15"/>
        <v>1</v>
      </c>
      <c r="K18" s="173">
        <f t="shared" si="16"/>
        <v>2</v>
      </c>
      <c r="L18" s="173">
        <f t="shared" si="17"/>
        <v>3</v>
      </c>
      <c r="M18" s="173">
        <f t="shared" si="18"/>
        <v>4</v>
      </c>
      <c r="N18" s="173">
        <f t="shared" si="19"/>
        <v>5</v>
      </c>
      <c r="O18" s="173">
        <f t="shared" si="20"/>
        <v>6</v>
      </c>
      <c r="P18" s="173">
        <f t="shared" si="21"/>
        <v>0</v>
      </c>
      <c r="Q18" s="173">
        <f t="shared" si="21"/>
        <v>0</v>
      </c>
      <c r="R18" s="173">
        <f t="shared" si="21"/>
        <v>2</v>
      </c>
      <c r="S18" s="173">
        <f t="shared" si="21"/>
        <v>2</v>
      </c>
      <c r="T18" s="173">
        <f t="shared" si="21"/>
        <v>2</v>
      </c>
      <c r="U18" s="173">
        <f t="shared" si="21"/>
        <v>2</v>
      </c>
      <c r="V18" s="173">
        <f t="shared" si="21"/>
        <v>6</v>
      </c>
      <c r="W18" s="175">
        <f>IF(P18=2,'A.0_Tablas salariales SC'!$P$9,(IF(P18=6,'A.0_Tablas salariales SC'!$P$10,IF(P18=10,'A.0_Tablas salariales SC'!$P$11,IF(P18=14,'A.0_Tablas salariales SC'!$P$12,IF(P18=18,'A.0_Tablas salariales SC'!$P$13,IF(P18=20,'A.0_Tablas salariales SC'!$P$14,IF(P18=22,'A.0_Tablas salariales SC'!$P$15,IF(P18=24,'A.0_Tablas salariales SC'!$P$16,IF(P18=26,'A.0_Tablas salariales SC'!$P$17,IF(P18=28,'A.0_Tablas salariales SC'!$P$18,0)))))))))))</f>
        <v>0</v>
      </c>
      <c r="X18" s="175">
        <f>IF(Q18=2,'A.0_Tablas salariales SC'!$P$36,(IF(Q18=6,'A.0_Tablas salariales SC'!$P$37,IF(Q18=10,'A.0_Tablas salariales SC'!$P$38,IF(Q18=14,'A.0_Tablas salariales SC'!$P$39,IF(Q18=18,'A.0_Tablas salariales SC'!$P$40,IF(Q18=20,'A.0_Tablas salariales SC'!$P$41,IF(Q18=22,'A.0_Tablas salariales SC'!$P$42,IF(Q18=24,'A.0_Tablas salariales SC'!$P$43,IF(Q18=26,'A.0_Tablas salariales SC'!$P$44,IF(Q18=28,'A.0_Tablas salariales SC'!$P$45,0)))))))))))</f>
        <v>0</v>
      </c>
      <c r="Y18" s="175">
        <f>IF(R18=2,'A.0_Tablas salariales SC'!$R$63,(IF(R18=6,'A.0_Tablas salariales SC'!$R$64,IF(R18=10,'A.0_Tablas salariales SC'!$R$65,IF(R18=14,'A.0_Tablas salariales SC'!$R$66,IF(R18=18,'A.0_Tablas salariales SC'!$R$67,IF(R18=20,'A.0_Tablas salariales SC'!$R$68,IF(R18=22,'A.0_Tablas salariales SC'!$R$69,IF(R18=24,'A.0_Tablas salariales SC'!$R$70,IF(R18=26,'A.0_Tablas salariales SC'!$R$71,IF(R18=28,'A.0_Tablas salariales SC'!$R$72,0)))))))))))</f>
        <v>39.909999999999997</v>
      </c>
      <c r="Z18" s="175">
        <f>IF(S18=2,'A.0_Tablas salariales SC'!$R$90,(IF(S18=6,'A.0_Tablas salariales SC'!$R$91,IF(S18=10,'A.0_Tablas salariales SC'!$R$92,IF(S18=14,'A.0_Tablas salariales SC'!$R$93,IF(S18=18,'A.0_Tablas salariales SC'!$R$94,IF(S18=20,'A.0_Tablas salariales SC'!$R$95,IF(S18=22,'A.0_Tablas salariales SC'!$R$96,IF(S18=24,'A.0_Tablas salariales SC'!$R$97,IF(S18=26,'A.0_Tablas salariales SC'!$R$98,IF(S18=28,'A.0_Tablas salariales SC'!$R$99,0)))))))))))</f>
        <v>41.71</v>
      </c>
      <c r="AA18" s="175">
        <f>IF(T18=2,'A.0_Tablas salariales SC'!$R$117,(IF(T18=6,'A.0_Tablas salariales SC'!$R$118,IF(T18=10,'A.0_Tablas salariales SC'!$R$119,IF(T18=14,'A.0_Tablas salariales SC'!$R$120,IF(T18=18,'A.0_Tablas salariales SC'!$R$121,IF(T18=20,'A.0_Tablas salariales SC'!$R$122,IF(T18=22,'A.0_Tablas salariales SC'!$R$123,IF(T18=24,'A.0_Tablas salariales SC'!$R$124,IF(T18=26,'A.0_Tablas salariales SC'!$R$125,IF(T18=28,'A.0_Tablas salariales SC'!$R$126,0)))))))))))</f>
        <v>43.79</v>
      </c>
      <c r="AB18" s="175">
        <f>IF(U18=2,'A.0_Tablas salariales SC'!$R$145,(IF(U18=6,'A.0_Tablas salariales SC'!$R$146,IF(U18=10,'A.0_Tablas salariales SC'!$R$147,IF(U18=14,'A.0_Tablas salariales SC'!$R$148,IF(U18=18,'A.0_Tablas salariales SC'!$R$149,IF(U18=20,'A.0_Tablas salariales SC'!$R$150,IF(U18=22,'A.0_Tablas salariales SC'!$R$151,IF(U18=24,'A.0_Tablas salariales SC'!$R$152,IF(U18=26,'A.0_Tablas salariales SC'!$R$153,IF(U18=28,'A.0_Tablas salariales SC'!$R$154,0)))))))))))</f>
        <v>45.103700000000003</v>
      </c>
      <c r="AC18" s="175">
        <f>IF(V18=2,'A.0_Tablas salariales SC'!$R$173,(IF(V18=6,'A.0_Tablas salariales SC'!$R$174,IF(V18=10,'A.0_Tablas salariales SC'!$R$175,IF(V18=14,'A.0_Tablas salariales SC'!$R$176,IF(V18=18,'A.0_Tablas salariales SC'!$R$177,IF(V18=20,'A.0_Tablas salariales SC'!$R$178,IF(V18=22,'A.0_Tablas salariales SC'!$R$179,IF(V18=24,'A.0_Tablas salariales SC'!$R$180,IF(V18=26,'A.0_Tablas salariales SC'!$R$181,IF(V18=28,'A.0_Tablas salariales SC'!$R$182,0)))))))))))</f>
        <v>127.796014</v>
      </c>
    </row>
    <row r="19" spans="1:29">
      <c r="A19" s="47">
        <f>'A.2.Plantilla_NuevaContratacion'!A18</f>
        <v>0</v>
      </c>
      <c r="B19" s="52" t="str">
        <f>'A.2.Plantilla_NuevaContratacion'!B18</f>
        <v xml:space="preserve"> TÉCNICO/A NO TITULADO/A</v>
      </c>
      <c r="C19" s="51">
        <f>'A.2.Plantilla_NuevaContratacion'!C18</f>
        <v>0</v>
      </c>
      <c r="D19" s="51">
        <f>'A.2.Plantilla_NuevaContratacion'!D18</f>
        <v>0</v>
      </c>
      <c r="E19" s="171">
        <f>'A.2.Plantilla_NuevaContratacion'!H18</f>
        <v>46023</v>
      </c>
      <c r="F19" s="172">
        <f t="shared" si="4"/>
        <v>2026</v>
      </c>
      <c r="G19" s="173">
        <f t="shared" si="5"/>
        <v>2026</v>
      </c>
      <c r="H19" s="173">
        <f t="shared" si="5"/>
        <v>2032</v>
      </c>
      <c r="I19" s="173">
        <f t="shared" si="14"/>
        <v>0</v>
      </c>
      <c r="J19" s="173">
        <f t="shared" si="15"/>
        <v>1</v>
      </c>
      <c r="K19" s="173">
        <f t="shared" si="16"/>
        <v>2</v>
      </c>
      <c r="L19" s="173">
        <f t="shared" si="17"/>
        <v>3</v>
      </c>
      <c r="M19" s="173">
        <f t="shared" si="18"/>
        <v>4</v>
      </c>
      <c r="N19" s="173">
        <f t="shared" si="19"/>
        <v>5</v>
      </c>
      <c r="O19" s="173">
        <f t="shared" si="20"/>
        <v>6</v>
      </c>
      <c r="P19" s="173">
        <f t="shared" si="21"/>
        <v>0</v>
      </c>
      <c r="Q19" s="173">
        <f t="shared" si="21"/>
        <v>0</v>
      </c>
      <c r="R19" s="173">
        <f t="shared" si="21"/>
        <v>2</v>
      </c>
      <c r="S19" s="173">
        <f t="shared" si="21"/>
        <v>2</v>
      </c>
      <c r="T19" s="173">
        <f t="shared" si="21"/>
        <v>2</v>
      </c>
      <c r="U19" s="173">
        <f t="shared" si="21"/>
        <v>2</v>
      </c>
      <c r="V19" s="173">
        <f t="shared" si="21"/>
        <v>6</v>
      </c>
      <c r="W19" s="175">
        <f>IF(P19=2,'A.0_Tablas salariales SC'!$P$9,(IF(P19=6,'A.0_Tablas salariales SC'!$P$10,IF(P19=10,'A.0_Tablas salariales SC'!$P$11,IF(P19=14,'A.0_Tablas salariales SC'!$P$12,IF(P19=18,'A.0_Tablas salariales SC'!$P$13,IF(P19=20,'A.0_Tablas salariales SC'!$P$14,IF(P19=22,'A.0_Tablas salariales SC'!$P$15,IF(P19=24,'A.0_Tablas salariales SC'!$P$16,IF(P19=26,'A.0_Tablas salariales SC'!$P$17,IF(P19=28,'A.0_Tablas salariales SC'!$P$18,0)))))))))))</f>
        <v>0</v>
      </c>
      <c r="X19" s="175">
        <f>IF(Q19=2,'A.0_Tablas salariales SC'!$P$36,(IF(Q19=6,'A.0_Tablas salariales SC'!$P$37,IF(Q19=10,'A.0_Tablas salariales SC'!$P$38,IF(Q19=14,'A.0_Tablas salariales SC'!$P$39,IF(Q19=18,'A.0_Tablas salariales SC'!$P$40,IF(Q19=20,'A.0_Tablas salariales SC'!$P$41,IF(Q19=22,'A.0_Tablas salariales SC'!$P$42,IF(Q19=24,'A.0_Tablas salariales SC'!$P$43,IF(Q19=26,'A.0_Tablas salariales SC'!$P$44,IF(Q19=28,'A.0_Tablas salariales SC'!$P$45,0)))))))))))</f>
        <v>0</v>
      </c>
      <c r="Y19" s="175">
        <f>IF(R19=2,'A.0_Tablas salariales SC'!$R$63,(IF(R19=6,'A.0_Tablas salariales SC'!$R$64,IF(R19=10,'A.0_Tablas salariales SC'!$R$65,IF(R19=14,'A.0_Tablas salariales SC'!$R$66,IF(R19=18,'A.0_Tablas salariales SC'!$R$67,IF(R19=20,'A.0_Tablas salariales SC'!$R$68,IF(R19=22,'A.0_Tablas salariales SC'!$R$69,IF(R19=24,'A.0_Tablas salariales SC'!$R$70,IF(R19=26,'A.0_Tablas salariales SC'!$R$71,IF(R19=28,'A.0_Tablas salariales SC'!$R$72,0)))))))))))</f>
        <v>39.909999999999997</v>
      </c>
      <c r="Z19" s="175">
        <f>IF(S19=2,'A.0_Tablas salariales SC'!$R$90,(IF(S19=6,'A.0_Tablas salariales SC'!$R$91,IF(S19=10,'A.0_Tablas salariales SC'!$R$92,IF(S19=14,'A.0_Tablas salariales SC'!$R$93,IF(S19=18,'A.0_Tablas salariales SC'!$R$94,IF(S19=20,'A.0_Tablas salariales SC'!$R$95,IF(S19=22,'A.0_Tablas salariales SC'!$R$96,IF(S19=24,'A.0_Tablas salariales SC'!$R$97,IF(S19=26,'A.0_Tablas salariales SC'!$R$98,IF(S19=28,'A.0_Tablas salariales SC'!$R$99,0)))))))))))</f>
        <v>41.71</v>
      </c>
      <c r="AA19" s="175">
        <f>IF(T19=2,'A.0_Tablas salariales SC'!$R$117,(IF(T19=6,'A.0_Tablas salariales SC'!$R$118,IF(T19=10,'A.0_Tablas salariales SC'!$R$119,IF(T19=14,'A.0_Tablas salariales SC'!$R$120,IF(T19=18,'A.0_Tablas salariales SC'!$R$121,IF(T19=20,'A.0_Tablas salariales SC'!$R$122,IF(T19=22,'A.0_Tablas salariales SC'!$R$123,IF(T19=24,'A.0_Tablas salariales SC'!$R$124,IF(T19=26,'A.0_Tablas salariales SC'!$R$125,IF(T19=28,'A.0_Tablas salariales SC'!$R$126,0)))))))))))</f>
        <v>43.79</v>
      </c>
      <c r="AB19" s="175">
        <f>IF(U19=2,'A.0_Tablas salariales SC'!$R$145,(IF(U19=6,'A.0_Tablas salariales SC'!$R$146,IF(U19=10,'A.0_Tablas salariales SC'!$R$147,IF(U19=14,'A.0_Tablas salariales SC'!$R$148,IF(U19=18,'A.0_Tablas salariales SC'!$R$149,IF(U19=20,'A.0_Tablas salariales SC'!$R$150,IF(U19=22,'A.0_Tablas salariales SC'!$R$151,IF(U19=24,'A.0_Tablas salariales SC'!$R$152,IF(U19=26,'A.0_Tablas salariales SC'!$R$153,IF(U19=28,'A.0_Tablas salariales SC'!$R$154,0)))))))))))</f>
        <v>45.103700000000003</v>
      </c>
      <c r="AC19" s="175">
        <f>IF(V19=2,'A.0_Tablas salariales SC'!$R$173,(IF(V19=6,'A.0_Tablas salariales SC'!$R$174,IF(V19=10,'A.0_Tablas salariales SC'!$R$175,IF(V19=14,'A.0_Tablas salariales SC'!$R$176,IF(V19=18,'A.0_Tablas salariales SC'!$R$177,IF(V19=20,'A.0_Tablas salariales SC'!$R$178,IF(V19=22,'A.0_Tablas salariales SC'!$R$179,IF(V19=24,'A.0_Tablas salariales SC'!$R$180,IF(V19=26,'A.0_Tablas salariales SC'!$R$181,IF(V19=28,'A.0_Tablas salariales SC'!$R$182,0)))))))))))</f>
        <v>127.796014</v>
      </c>
    </row>
    <row r="20" spans="1:29">
      <c r="A20" s="47">
        <f>'A.2.Plantilla_NuevaContratacion'!A19</f>
        <v>0</v>
      </c>
      <c r="B20" s="52" t="str">
        <f>'A.2.Plantilla_NuevaContratacion'!B19</f>
        <v xml:space="preserve"> TÉCNICO/A TITULADO/A</v>
      </c>
      <c r="C20" s="51">
        <f>'A.2.Plantilla_NuevaContratacion'!C19</f>
        <v>0</v>
      </c>
      <c r="D20" s="51">
        <f>'A.2.Plantilla_NuevaContratacion'!D19</f>
        <v>0</v>
      </c>
      <c r="E20" s="171">
        <f>'A.2.Plantilla_NuevaContratacion'!H19</f>
        <v>46023</v>
      </c>
      <c r="F20" s="172">
        <f t="shared" si="4"/>
        <v>2026</v>
      </c>
      <c r="G20" s="173">
        <f t="shared" si="5"/>
        <v>2026</v>
      </c>
      <c r="H20" s="173">
        <f t="shared" si="5"/>
        <v>2032</v>
      </c>
      <c r="I20" s="173">
        <f t="shared" ref="I20:I22" si="22">($I$4-F20)*$I$5</f>
        <v>0</v>
      </c>
      <c r="J20" s="173">
        <f t="shared" ref="J20:J22" si="23">($J$4-F20)*$J$5</f>
        <v>1</v>
      </c>
      <c r="K20" s="173">
        <f t="shared" ref="K20:K22" si="24">($K$4-F20)*$K$5</f>
        <v>2</v>
      </c>
      <c r="L20" s="173">
        <f t="shared" ref="L20:L22" si="25">($L$4-F20)*$L$5</f>
        <v>3</v>
      </c>
      <c r="M20" s="173">
        <f t="shared" ref="M20:M22" si="26">($M$4-F20)*$M$5</f>
        <v>4</v>
      </c>
      <c r="N20" s="173">
        <f t="shared" ref="N20:N22" si="27">($N$4-F20)*$N$5</f>
        <v>5</v>
      </c>
      <c r="O20" s="173">
        <f t="shared" ref="O20:O22" si="28">($O$4-F20)*$O$5</f>
        <v>6</v>
      </c>
      <c r="P20" s="173">
        <f t="shared" ref="P20:P22" si="29">IF(I20&gt;=28,28,IF(I20&gt;=26,26,(IF(I20&gt;=24,24,IF(I20&gt;=22,22,IF(I20&gt;=20,20,IF(I20&gt;=18,18,IF(I20&gt;=14,14,(IF(I20&gt;=10,10,(IF(I20&gt;=6,6,(IF(I20&gt;=2,2,0))))))))))))))</f>
        <v>0</v>
      </c>
      <c r="Q20" s="173">
        <f t="shared" ref="Q20:Q22" si="30">IF(J20&gt;=28,28,IF(J20&gt;=26,26,(IF(J20&gt;=24,24,IF(J20&gt;=22,22,IF(J20&gt;=20,20,IF(J20&gt;=18,18,IF(J20&gt;=14,14,(IF(J20&gt;=10,10,(IF(J20&gt;=6,6,(IF(J20&gt;=2,2,0))))))))))))))</f>
        <v>0</v>
      </c>
      <c r="R20" s="173">
        <f t="shared" ref="R20:R22" si="31">IF(K20&gt;=28,28,IF(K20&gt;=26,26,(IF(K20&gt;=24,24,IF(K20&gt;=22,22,IF(K20&gt;=20,20,IF(K20&gt;=18,18,IF(K20&gt;=14,14,(IF(K20&gt;=10,10,(IF(K20&gt;=6,6,(IF(K20&gt;=2,2,0))))))))))))))</f>
        <v>2</v>
      </c>
      <c r="S20" s="173">
        <f t="shared" ref="S20:S22" si="32">IF(L20&gt;=28,28,IF(L20&gt;=26,26,(IF(L20&gt;=24,24,IF(L20&gt;=22,22,IF(L20&gt;=20,20,IF(L20&gt;=18,18,IF(L20&gt;=14,14,(IF(L20&gt;=10,10,(IF(L20&gt;=6,6,(IF(L20&gt;=2,2,0))))))))))))))</f>
        <v>2</v>
      </c>
      <c r="T20" s="173">
        <f t="shared" ref="T20:T22" si="33">IF(M20&gt;=28,28,IF(M20&gt;=26,26,(IF(M20&gt;=24,24,IF(M20&gt;=22,22,IF(M20&gt;=20,20,IF(M20&gt;=18,18,IF(M20&gt;=14,14,(IF(M20&gt;=10,10,(IF(M20&gt;=6,6,(IF(M20&gt;=2,2,0))))))))))))))</f>
        <v>2</v>
      </c>
      <c r="U20" s="173">
        <f t="shared" ref="U20:U22" si="34">IF(N20&gt;=28,28,IF(N20&gt;=26,26,(IF(N20&gt;=24,24,IF(N20&gt;=22,22,IF(N20&gt;=20,20,IF(N20&gt;=18,18,IF(N20&gt;=14,14,(IF(N20&gt;=10,10,(IF(N20&gt;=6,6,(IF(N20&gt;=2,2,0))))))))))))))</f>
        <v>2</v>
      </c>
      <c r="V20" s="173">
        <f t="shared" ref="V20:V22" si="35">IF(O20&gt;=28,28,IF(O20&gt;=26,26,(IF(O20&gt;=24,24,IF(O20&gt;=22,22,IF(O20&gt;=20,20,IF(O20&gt;=18,18,IF(O20&gt;=14,14,(IF(O20&gt;=10,10,(IF(O20&gt;=6,6,(IF(O20&gt;=2,2,0))))))))))))))</f>
        <v>6</v>
      </c>
      <c r="W20" s="175">
        <f>IF(P20=2,'A.0_Tablas salariales SC'!$P$9,(IF(P20=6,'A.0_Tablas salariales SC'!$P$10,IF(P20=10,'A.0_Tablas salariales SC'!$P$11,IF(P20=14,'A.0_Tablas salariales SC'!$P$12,IF(P20=18,'A.0_Tablas salariales SC'!$P$13,IF(P20=20,'A.0_Tablas salariales SC'!$P$14,IF(P20=22,'A.0_Tablas salariales SC'!$P$15,IF(P20=24,'A.0_Tablas salariales SC'!$P$16,IF(P20=26,'A.0_Tablas salariales SC'!$P$17,IF(P20=28,'A.0_Tablas salariales SC'!$P$18,0)))))))))))</f>
        <v>0</v>
      </c>
      <c r="X20" s="175">
        <f>IF(Q20=2,'A.0_Tablas salariales SC'!$P$36,(IF(Q20=6,'A.0_Tablas salariales SC'!$P$37,IF(Q20=10,'A.0_Tablas salariales SC'!$P$38,IF(Q20=14,'A.0_Tablas salariales SC'!$P$39,IF(Q20=18,'A.0_Tablas salariales SC'!$P$40,IF(Q20=20,'A.0_Tablas salariales SC'!$P$41,IF(Q20=22,'A.0_Tablas salariales SC'!$P$42,IF(Q20=24,'A.0_Tablas salariales SC'!$P$43,IF(Q20=26,'A.0_Tablas salariales SC'!$P$44,IF(Q20=28,'A.0_Tablas salariales SC'!$P$45,0)))))))))))</f>
        <v>0</v>
      </c>
      <c r="Y20" s="175">
        <f>IF(R20=2,'A.0_Tablas salariales SC'!$R$63,(IF(R20=6,'A.0_Tablas salariales SC'!$R$64,IF(R20=10,'A.0_Tablas salariales SC'!$R$65,IF(R20=14,'A.0_Tablas salariales SC'!$R$66,IF(R20=18,'A.0_Tablas salariales SC'!$R$67,IF(R20=20,'A.0_Tablas salariales SC'!$R$68,IF(R20=22,'A.0_Tablas salariales SC'!$R$69,IF(R20=24,'A.0_Tablas salariales SC'!$R$70,IF(R20=26,'A.0_Tablas salariales SC'!$R$71,IF(R20=28,'A.0_Tablas salariales SC'!$R$72,0)))))))))))</f>
        <v>39.909999999999997</v>
      </c>
      <c r="Z20" s="175">
        <f>IF(S20=2,'A.0_Tablas salariales SC'!$R$90,(IF(S20=6,'A.0_Tablas salariales SC'!$R$91,IF(S20=10,'A.0_Tablas salariales SC'!$R$92,IF(S20=14,'A.0_Tablas salariales SC'!$R$93,IF(S20=18,'A.0_Tablas salariales SC'!$R$94,IF(S20=20,'A.0_Tablas salariales SC'!$R$95,IF(S20=22,'A.0_Tablas salariales SC'!$R$96,IF(S20=24,'A.0_Tablas salariales SC'!$R$97,IF(S20=26,'A.0_Tablas salariales SC'!$R$98,IF(S20=28,'A.0_Tablas salariales SC'!$R$99,0)))))))))))</f>
        <v>41.71</v>
      </c>
      <c r="AA20" s="175">
        <f>IF(T20=2,'A.0_Tablas salariales SC'!$R$117,(IF(T20=6,'A.0_Tablas salariales SC'!$R$118,IF(T20=10,'A.0_Tablas salariales SC'!$R$119,IF(T20=14,'A.0_Tablas salariales SC'!$R$120,IF(T20=18,'A.0_Tablas salariales SC'!$R$121,IF(T20=20,'A.0_Tablas salariales SC'!$R$122,IF(T20=22,'A.0_Tablas salariales SC'!$R$123,IF(T20=24,'A.0_Tablas salariales SC'!$R$124,IF(T20=26,'A.0_Tablas salariales SC'!$R$125,IF(T20=28,'A.0_Tablas salariales SC'!$R$126,0)))))))))))</f>
        <v>43.79</v>
      </c>
      <c r="AB20" s="175">
        <f>IF(U20=2,'A.0_Tablas salariales SC'!$R$145,(IF(U20=6,'A.0_Tablas salariales SC'!$R$146,IF(U20=10,'A.0_Tablas salariales SC'!$R$147,IF(U20=14,'A.0_Tablas salariales SC'!$R$148,IF(U20=18,'A.0_Tablas salariales SC'!$R$149,IF(U20=20,'A.0_Tablas salariales SC'!$R$150,IF(U20=22,'A.0_Tablas salariales SC'!$R$151,IF(U20=24,'A.0_Tablas salariales SC'!$R$152,IF(U20=26,'A.0_Tablas salariales SC'!$R$153,IF(U20=28,'A.0_Tablas salariales SC'!$R$154,0)))))))))))</f>
        <v>45.103700000000003</v>
      </c>
      <c r="AC20" s="175">
        <f>IF(V20=2,'A.0_Tablas salariales SC'!$R$173,(IF(V20=6,'A.0_Tablas salariales SC'!$R$174,IF(V20=10,'A.0_Tablas salariales SC'!$R$175,IF(V20=14,'A.0_Tablas salariales SC'!$R$176,IF(V20=18,'A.0_Tablas salariales SC'!$R$177,IF(V20=20,'A.0_Tablas salariales SC'!$R$178,IF(V20=22,'A.0_Tablas salariales SC'!$R$179,IF(V20=24,'A.0_Tablas salariales SC'!$R$180,IF(V20=26,'A.0_Tablas salariales SC'!$R$181,IF(V20=28,'A.0_Tablas salariales SC'!$R$182,0)))))))))))</f>
        <v>127.796014</v>
      </c>
    </row>
    <row r="21" spans="1:29">
      <c r="A21" s="47">
        <f>'A.2.Plantilla_NuevaContratacion'!A20</f>
        <v>0</v>
      </c>
      <c r="B21" s="52" t="str">
        <f>'A.2.Plantilla_NuevaContratacion'!B20</f>
        <v xml:space="preserve"> TÉCNICO/A DIPLOMADO/A  </v>
      </c>
      <c r="C21" s="51">
        <f>'A.2.Plantilla_NuevaContratacion'!C20</f>
        <v>0</v>
      </c>
      <c r="D21" s="51">
        <f>'A.2.Plantilla_NuevaContratacion'!D20</f>
        <v>0</v>
      </c>
      <c r="E21" s="171">
        <f>'A.2.Plantilla_NuevaContratacion'!H20</f>
        <v>46023</v>
      </c>
      <c r="F21" s="172">
        <f t="shared" si="4"/>
        <v>2026</v>
      </c>
      <c r="G21" s="173">
        <f t="shared" si="5"/>
        <v>2026</v>
      </c>
      <c r="H21" s="173">
        <f t="shared" si="5"/>
        <v>2032</v>
      </c>
      <c r="I21" s="173">
        <f t="shared" si="22"/>
        <v>0</v>
      </c>
      <c r="J21" s="173">
        <f t="shared" si="23"/>
        <v>1</v>
      </c>
      <c r="K21" s="173">
        <f t="shared" si="24"/>
        <v>2</v>
      </c>
      <c r="L21" s="173">
        <f t="shared" si="25"/>
        <v>3</v>
      </c>
      <c r="M21" s="173">
        <f t="shared" si="26"/>
        <v>4</v>
      </c>
      <c r="N21" s="173">
        <f t="shared" si="27"/>
        <v>5</v>
      </c>
      <c r="O21" s="173">
        <f t="shared" si="28"/>
        <v>6</v>
      </c>
      <c r="P21" s="173">
        <f t="shared" si="29"/>
        <v>0</v>
      </c>
      <c r="Q21" s="173">
        <f t="shared" si="30"/>
        <v>0</v>
      </c>
      <c r="R21" s="173">
        <f t="shared" si="31"/>
        <v>2</v>
      </c>
      <c r="S21" s="173">
        <f t="shared" si="32"/>
        <v>2</v>
      </c>
      <c r="T21" s="173">
        <f t="shared" si="33"/>
        <v>2</v>
      </c>
      <c r="U21" s="173">
        <f t="shared" si="34"/>
        <v>2</v>
      </c>
      <c r="V21" s="173">
        <f t="shared" si="35"/>
        <v>6</v>
      </c>
      <c r="W21" s="175">
        <f>IF(P21=2,'A.0_Tablas salariales SC'!$P$9,(IF(P21=6,'A.0_Tablas salariales SC'!$P$10,IF(P21=10,'A.0_Tablas salariales SC'!$P$11,IF(P21=14,'A.0_Tablas salariales SC'!$P$12,IF(P21=18,'A.0_Tablas salariales SC'!$P$13,IF(P21=20,'A.0_Tablas salariales SC'!$P$14,IF(P21=22,'A.0_Tablas salariales SC'!$P$15,IF(P21=24,'A.0_Tablas salariales SC'!$P$16,IF(P21=26,'A.0_Tablas salariales SC'!$P$17,IF(P21=28,'A.0_Tablas salariales SC'!$P$18,0)))))))))))</f>
        <v>0</v>
      </c>
      <c r="X21" s="175">
        <f>IF(Q21=2,'A.0_Tablas salariales SC'!$P$36,(IF(Q21=6,'A.0_Tablas salariales SC'!$P$37,IF(Q21=10,'A.0_Tablas salariales SC'!$P$38,IF(Q21=14,'A.0_Tablas salariales SC'!$P$39,IF(Q21=18,'A.0_Tablas salariales SC'!$P$40,IF(Q21=20,'A.0_Tablas salariales SC'!$P$41,IF(Q21=22,'A.0_Tablas salariales SC'!$P$42,IF(Q21=24,'A.0_Tablas salariales SC'!$P$43,IF(Q21=26,'A.0_Tablas salariales SC'!$P$44,IF(Q21=28,'A.0_Tablas salariales SC'!$P$45,0)))))))))))</f>
        <v>0</v>
      </c>
      <c r="Y21" s="175">
        <f>IF(R21=2,'A.0_Tablas salariales SC'!$R$63,(IF(R21=6,'A.0_Tablas salariales SC'!$R$64,IF(R21=10,'A.0_Tablas salariales SC'!$R$65,IF(R21=14,'A.0_Tablas salariales SC'!$R$66,IF(R21=18,'A.0_Tablas salariales SC'!$R$67,IF(R21=20,'A.0_Tablas salariales SC'!$R$68,IF(R21=22,'A.0_Tablas salariales SC'!$R$69,IF(R21=24,'A.0_Tablas salariales SC'!$R$70,IF(R21=26,'A.0_Tablas salariales SC'!$R$71,IF(R21=28,'A.0_Tablas salariales SC'!$R$72,0)))))))))))</f>
        <v>39.909999999999997</v>
      </c>
      <c r="Z21" s="175">
        <f>IF(S21=2,'A.0_Tablas salariales SC'!$R$90,(IF(S21=6,'A.0_Tablas salariales SC'!$R$91,IF(S21=10,'A.0_Tablas salariales SC'!$R$92,IF(S21=14,'A.0_Tablas salariales SC'!$R$93,IF(S21=18,'A.0_Tablas salariales SC'!$R$94,IF(S21=20,'A.0_Tablas salariales SC'!$R$95,IF(S21=22,'A.0_Tablas salariales SC'!$R$96,IF(S21=24,'A.0_Tablas salariales SC'!$R$97,IF(S21=26,'A.0_Tablas salariales SC'!$R$98,IF(S21=28,'A.0_Tablas salariales SC'!$R$99,0)))))))))))</f>
        <v>41.71</v>
      </c>
      <c r="AA21" s="175">
        <f>IF(T21=2,'A.0_Tablas salariales SC'!$R$117,(IF(T21=6,'A.0_Tablas salariales SC'!$R$118,IF(T21=10,'A.0_Tablas salariales SC'!$R$119,IF(T21=14,'A.0_Tablas salariales SC'!$R$120,IF(T21=18,'A.0_Tablas salariales SC'!$R$121,IF(T21=20,'A.0_Tablas salariales SC'!$R$122,IF(T21=22,'A.0_Tablas salariales SC'!$R$123,IF(T21=24,'A.0_Tablas salariales SC'!$R$124,IF(T21=26,'A.0_Tablas salariales SC'!$R$125,IF(T21=28,'A.0_Tablas salariales SC'!$R$126,0)))))))))))</f>
        <v>43.79</v>
      </c>
      <c r="AB21" s="175">
        <f>IF(U21=2,'A.0_Tablas salariales SC'!$R$145,(IF(U21=6,'A.0_Tablas salariales SC'!$R$146,IF(U21=10,'A.0_Tablas salariales SC'!$R$147,IF(U21=14,'A.0_Tablas salariales SC'!$R$148,IF(U21=18,'A.0_Tablas salariales SC'!$R$149,IF(U21=20,'A.0_Tablas salariales SC'!$R$150,IF(U21=22,'A.0_Tablas salariales SC'!$R$151,IF(U21=24,'A.0_Tablas salariales SC'!$R$152,IF(U21=26,'A.0_Tablas salariales SC'!$R$153,IF(U21=28,'A.0_Tablas salariales SC'!$R$154,0)))))))))))</f>
        <v>45.103700000000003</v>
      </c>
      <c r="AC21" s="175">
        <f>IF(V21=2,'A.0_Tablas salariales SC'!$R$173,(IF(V21=6,'A.0_Tablas salariales SC'!$R$174,IF(V21=10,'A.0_Tablas salariales SC'!$R$175,IF(V21=14,'A.0_Tablas salariales SC'!$R$176,IF(V21=18,'A.0_Tablas salariales SC'!$R$177,IF(V21=20,'A.0_Tablas salariales SC'!$R$178,IF(V21=22,'A.0_Tablas salariales SC'!$R$179,IF(V21=24,'A.0_Tablas salariales SC'!$R$180,IF(V21=26,'A.0_Tablas salariales SC'!$R$181,IF(V21=28,'A.0_Tablas salariales SC'!$R$182,0)))))))))))</f>
        <v>127.796014</v>
      </c>
    </row>
    <row r="22" spans="1:29">
      <c r="A22" s="47">
        <f>'A.2.Plantilla_NuevaContratacion'!A21</f>
        <v>0</v>
      </c>
      <c r="B22" s="52" t="str">
        <f>'A.2.Plantilla_NuevaContratacion'!B21</f>
        <v xml:space="preserve"> TÉCNICO/A LICENCIADO/A  </v>
      </c>
      <c r="C22" s="51">
        <f>'A.2.Plantilla_NuevaContratacion'!C21</f>
        <v>0</v>
      </c>
      <c r="D22" s="51">
        <f>'A.2.Plantilla_NuevaContratacion'!D21</f>
        <v>0</v>
      </c>
      <c r="E22" s="171">
        <f>'A.2.Plantilla_NuevaContratacion'!H21</f>
        <v>46023</v>
      </c>
      <c r="F22" s="172">
        <f t="shared" si="4"/>
        <v>2026</v>
      </c>
      <c r="G22" s="173">
        <f t="shared" si="5"/>
        <v>2026</v>
      </c>
      <c r="H22" s="173">
        <f t="shared" si="5"/>
        <v>2032</v>
      </c>
      <c r="I22" s="173">
        <f t="shared" si="22"/>
        <v>0</v>
      </c>
      <c r="J22" s="173">
        <f t="shared" si="23"/>
        <v>1</v>
      </c>
      <c r="K22" s="173">
        <f t="shared" si="24"/>
        <v>2</v>
      </c>
      <c r="L22" s="173">
        <f t="shared" si="25"/>
        <v>3</v>
      </c>
      <c r="M22" s="173">
        <f t="shared" si="26"/>
        <v>4</v>
      </c>
      <c r="N22" s="173">
        <f t="shared" si="27"/>
        <v>5</v>
      </c>
      <c r="O22" s="173">
        <f t="shared" si="28"/>
        <v>6</v>
      </c>
      <c r="P22" s="173">
        <f t="shared" si="29"/>
        <v>0</v>
      </c>
      <c r="Q22" s="173">
        <f t="shared" si="30"/>
        <v>0</v>
      </c>
      <c r="R22" s="173">
        <f t="shared" si="31"/>
        <v>2</v>
      </c>
      <c r="S22" s="173">
        <f t="shared" si="32"/>
        <v>2</v>
      </c>
      <c r="T22" s="173">
        <f t="shared" si="33"/>
        <v>2</v>
      </c>
      <c r="U22" s="173">
        <f t="shared" si="34"/>
        <v>2</v>
      </c>
      <c r="V22" s="173">
        <f t="shared" si="35"/>
        <v>6</v>
      </c>
      <c r="W22" s="175">
        <f>IF(P22=2,'A.0_Tablas salariales SC'!$P$9,(IF(P22=6,'A.0_Tablas salariales SC'!$P$10,IF(P22=10,'A.0_Tablas salariales SC'!$P$11,IF(P22=14,'A.0_Tablas salariales SC'!$P$12,IF(P22=18,'A.0_Tablas salariales SC'!$P$13,IF(P22=20,'A.0_Tablas salariales SC'!$P$14,IF(P22=22,'A.0_Tablas salariales SC'!$P$15,IF(P22=24,'A.0_Tablas salariales SC'!$P$16,IF(P22=26,'A.0_Tablas salariales SC'!$P$17,IF(P22=28,'A.0_Tablas salariales SC'!$P$18,0)))))))))))</f>
        <v>0</v>
      </c>
      <c r="X22" s="175">
        <f>IF(Q22=2,'A.0_Tablas salariales SC'!$P$36,(IF(Q22=6,'A.0_Tablas salariales SC'!$P$37,IF(Q22=10,'A.0_Tablas salariales SC'!$P$38,IF(Q22=14,'A.0_Tablas salariales SC'!$P$39,IF(Q22=18,'A.0_Tablas salariales SC'!$P$40,IF(Q22=20,'A.0_Tablas salariales SC'!$P$41,IF(Q22=22,'A.0_Tablas salariales SC'!$P$42,IF(Q22=24,'A.0_Tablas salariales SC'!$P$43,IF(Q22=26,'A.0_Tablas salariales SC'!$P$44,IF(Q22=28,'A.0_Tablas salariales SC'!$P$45,0)))))))))))</f>
        <v>0</v>
      </c>
      <c r="Y22" s="175">
        <f>IF(R22=2,'A.0_Tablas salariales SC'!$R$63,(IF(R22=6,'A.0_Tablas salariales SC'!$R$64,IF(R22=10,'A.0_Tablas salariales SC'!$R$65,IF(R22=14,'A.0_Tablas salariales SC'!$R$66,IF(R22=18,'A.0_Tablas salariales SC'!$R$67,IF(R22=20,'A.0_Tablas salariales SC'!$R$68,IF(R22=22,'A.0_Tablas salariales SC'!$R$69,IF(R22=24,'A.0_Tablas salariales SC'!$R$70,IF(R22=26,'A.0_Tablas salariales SC'!$R$71,IF(R22=28,'A.0_Tablas salariales SC'!$R$72,0)))))))))))</f>
        <v>39.909999999999997</v>
      </c>
      <c r="Z22" s="175">
        <f>IF(S22=2,'A.0_Tablas salariales SC'!$R$90,(IF(S22=6,'A.0_Tablas salariales SC'!$R$91,IF(S22=10,'A.0_Tablas salariales SC'!$R$92,IF(S22=14,'A.0_Tablas salariales SC'!$R$93,IF(S22=18,'A.0_Tablas salariales SC'!$R$94,IF(S22=20,'A.0_Tablas salariales SC'!$R$95,IF(S22=22,'A.0_Tablas salariales SC'!$R$96,IF(S22=24,'A.0_Tablas salariales SC'!$R$97,IF(S22=26,'A.0_Tablas salariales SC'!$R$98,IF(S22=28,'A.0_Tablas salariales SC'!$R$99,0)))))))))))</f>
        <v>41.71</v>
      </c>
      <c r="AA22" s="175">
        <f>IF(T22=2,'A.0_Tablas salariales SC'!$R$117,(IF(T22=6,'A.0_Tablas salariales SC'!$R$118,IF(T22=10,'A.0_Tablas salariales SC'!$R$119,IF(T22=14,'A.0_Tablas salariales SC'!$R$120,IF(T22=18,'A.0_Tablas salariales SC'!$R$121,IF(T22=20,'A.0_Tablas salariales SC'!$R$122,IF(T22=22,'A.0_Tablas salariales SC'!$R$123,IF(T22=24,'A.0_Tablas salariales SC'!$R$124,IF(T22=26,'A.0_Tablas salariales SC'!$R$125,IF(T22=28,'A.0_Tablas salariales SC'!$R$126,0)))))))))))</f>
        <v>43.79</v>
      </c>
      <c r="AB22" s="175">
        <f>IF(U22=2,'A.0_Tablas salariales SC'!$R$145,(IF(U22=6,'A.0_Tablas salariales SC'!$R$146,IF(U22=10,'A.0_Tablas salariales SC'!$R$147,IF(U22=14,'A.0_Tablas salariales SC'!$R$148,IF(U22=18,'A.0_Tablas salariales SC'!$R$149,IF(U22=20,'A.0_Tablas salariales SC'!$R$150,IF(U22=22,'A.0_Tablas salariales SC'!$R$151,IF(U22=24,'A.0_Tablas salariales SC'!$R$152,IF(U22=26,'A.0_Tablas salariales SC'!$R$153,IF(U22=28,'A.0_Tablas salariales SC'!$R$154,0)))))))))))</f>
        <v>45.103700000000003</v>
      </c>
      <c r="AC22" s="175">
        <f>IF(V22=2,'A.0_Tablas salariales SC'!$R$173,(IF(V22=6,'A.0_Tablas salariales SC'!$R$174,IF(V22=10,'A.0_Tablas salariales SC'!$R$175,IF(V22=14,'A.0_Tablas salariales SC'!$R$176,IF(V22=18,'A.0_Tablas salariales SC'!$R$177,IF(V22=20,'A.0_Tablas salariales SC'!$R$178,IF(V22=22,'A.0_Tablas salariales SC'!$R$179,IF(V22=24,'A.0_Tablas salariales SC'!$R$180,IF(V22=26,'A.0_Tablas salariales SC'!$R$181,IF(V22=28,'A.0_Tablas salariales SC'!$R$182,0)))))))))))</f>
        <v>127.796014</v>
      </c>
    </row>
    <row r="23" spans="1:29">
      <c r="A23" s="174"/>
      <c r="B23" s="420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</row>
    <row r="24" spans="1:29">
      <c r="A24" s="47">
        <f>'A.2.Plantilla_NuevaContratacion'!A23</f>
        <v>0</v>
      </c>
      <c r="B24" s="52" t="str">
        <f>'A.2.Plantilla_NuevaContratacion'!B23</f>
        <v xml:space="preserve">APRENDIZ ADMINISTRATIVO/A  </v>
      </c>
      <c r="C24" s="51">
        <f>'A.2.Plantilla_NuevaContratacion'!C23</f>
        <v>0</v>
      </c>
      <c r="D24" s="51">
        <f>'A.2.Plantilla_NuevaContratacion'!D23</f>
        <v>0</v>
      </c>
      <c r="E24" s="171">
        <f>'A.2.Plantilla_NuevaContratacion'!H23</f>
        <v>46023</v>
      </c>
      <c r="F24" s="172">
        <f t="shared" si="4"/>
        <v>2026</v>
      </c>
      <c r="G24" s="173">
        <f t="shared" si="5"/>
        <v>2026</v>
      </c>
      <c r="H24" s="173">
        <f t="shared" si="5"/>
        <v>2032</v>
      </c>
      <c r="I24" s="173">
        <f t="shared" si="14"/>
        <v>0</v>
      </c>
      <c r="J24" s="173">
        <f t="shared" si="15"/>
        <v>1</v>
      </c>
      <c r="K24" s="173">
        <f t="shared" si="16"/>
        <v>2</v>
      </c>
      <c r="L24" s="173">
        <f t="shared" si="17"/>
        <v>3</v>
      </c>
      <c r="M24" s="173">
        <f t="shared" si="18"/>
        <v>4</v>
      </c>
      <c r="N24" s="173">
        <f t="shared" si="19"/>
        <v>5</v>
      </c>
      <c r="O24" s="173">
        <f t="shared" si="20"/>
        <v>6</v>
      </c>
      <c r="P24" s="173">
        <f t="shared" si="21"/>
        <v>0</v>
      </c>
      <c r="Q24" s="173">
        <f t="shared" si="21"/>
        <v>0</v>
      </c>
      <c r="R24" s="173">
        <f t="shared" si="21"/>
        <v>2</v>
      </c>
      <c r="S24" s="173">
        <f t="shared" si="21"/>
        <v>2</v>
      </c>
      <c r="T24" s="173">
        <f t="shared" si="21"/>
        <v>2</v>
      </c>
      <c r="U24" s="173">
        <f t="shared" si="21"/>
        <v>2</v>
      </c>
      <c r="V24" s="173">
        <f t="shared" si="21"/>
        <v>6</v>
      </c>
      <c r="W24" s="175">
        <f>IF(P24=2,'A.0_Tablas salariales SC'!$P$9,(IF(P24=6,'A.0_Tablas salariales SC'!$P$10,IF(P24=10,'A.0_Tablas salariales SC'!$P$11,IF(P24=14,'A.0_Tablas salariales SC'!$P$12,IF(P24=18,'A.0_Tablas salariales SC'!$P$13,IF(P24=20,'A.0_Tablas salariales SC'!$P$14,IF(P24=22,'A.0_Tablas salariales SC'!$P$15,IF(P24=24,'A.0_Tablas salariales SC'!$P$16,IF(P24=26,'A.0_Tablas salariales SC'!$P$17,IF(P24=28,'A.0_Tablas salariales SC'!$P$18,0)))))))))))</f>
        <v>0</v>
      </c>
      <c r="X24" s="175">
        <f>IF(Q24=2,'A.0_Tablas salariales SC'!$P$36,(IF(Q24=6,'A.0_Tablas salariales SC'!$P$37,IF(Q24=10,'A.0_Tablas salariales SC'!$P$38,IF(Q24=14,'A.0_Tablas salariales SC'!$P$39,IF(Q24=18,'A.0_Tablas salariales SC'!$P$40,IF(Q24=20,'A.0_Tablas salariales SC'!$P$41,IF(Q24=22,'A.0_Tablas salariales SC'!$P$42,IF(Q24=24,'A.0_Tablas salariales SC'!$P$43,IF(Q24=26,'A.0_Tablas salariales SC'!$P$44,IF(Q24=28,'A.0_Tablas salariales SC'!$P$45,0)))))))))))</f>
        <v>0</v>
      </c>
      <c r="Y24" s="175">
        <f>IF(R24=2,'A.0_Tablas salariales SC'!$Q$63,(IF(R24=6,'A.0_Tablas salariales SC'!$Q$64,IF(R24=10,'A.0_Tablas salariales SC'!$Q$65,IF(R24=14,'A.0_Tablas salariales SC'!$Q$66,IF(R24=18,'A.0_Tablas salariales SC'!$Q$67,IF(R24=20,'A.0_Tablas salariales SC'!$Q$68,IF(R24=22,'A.0_Tablas salariales SC'!$Q$69,IF(R24=24,'A.0_Tablas salariales SC'!$Q$70,IF(R24=26,'A.0_Tablas salariales SC'!$Q$71,IF(R24=28,'A.0_Tablas salariales SC'!$Q$72,0)))))))))))</f>
        <v>31.31</v>
      </c>
      <c r="Z24" s="175">
        <f>IF(S24=2,'A.0_Tablas salariales SC'!$Q$90,(IF(S24=6,'A.0_Tablas salariales SC'!$Q$91,IF(S24=10,'A.0_Tablas salariales SC'!$Q$92,IF(S24=14,'A.0_Tablas salariales SC'!$Q$93,IF(S24=18,'A.0_Tablas salariales SC'!$Q$94,IF(S24=20,'A.0_Tablas salariales SC'!$Q$95,IF(S24=22,'A.0_Tablas salariales SC'!$Q$96,IF(S24=24,'A.0_Tablas salariales SC'!$Q$97,IF(S24=26,'A.0_Tablas salariales SC'!$Q$98,IF(S24=28,'A.0_Tablas salariales SC'!$Q$99,0)))))))))))</f>
        <v>32.72</v>
      </c>
      <c r="AA24" s="175">
        <f>IF(T24=2,'A.0_Tablas salariales SC'!$Q$117,(IF(T24=6,'A.0_Tablas salariales SC'!$Q$118,IF(T24=10,'A.0_Tablas salariales SC'!$Q$119,IF(T24=14,'A.0_Tablas salariales SC'!$Q$120,IF(T24=18,'A.0_Tablas salariales SC'!$Q$121,IF(T24=20,'A.0_Tablas salariales SC'!$Q$122,IF(T24=22,'A.0_Tablas salariales SC'!$Q$123,IF(T24=24,'A.0_Tablas salariales SC'!$Q$124,IF(T24=26,'A.0_Tablas salariales SC'!$Q$125,IF(T24=28,'A.0_Tablas salariales SC'!$Q$126,0)))))))))))</f>
        <v>34.36</v>
      </c>
      <c r="AB24" s="175">
        <f>IF(U24=2,'A.0_Tablas salariales SC'!$Q$145,(IF(U24=6,'A.0_Tablas salariales SC'!$Q$146,IF(U24=10,'A.0_Tablas salariales SC'!$Q$147,IF(U24=14,'A.0_Tablas salariales SC'!$Q$148,IF(U24=18,'A.0_Tablas salariales SC'!$Q$149,IF(U24=20,'A.0_Tablas salariales SC'!$Q$150,IF(U24=22,'A.0_Tablas salariales SC'!$Q$151,IF(U24=24,'A.0_Tablas salariales SC'!$Q$152,IF(U24=26,'A.0_Tablas salariales SC'!$Q$153,IF(U24=28,'A.0_Tablas salariales SC'!$Q$154,0)))))))))))</f>
        <v>35.390799999999999</v>
      </c>
      <c r="AC24" s="175">
        <f>IF(V24=2,'A.0_Tablas salariales SC'!$Q$173,(IF(V24=6,'A.0_Tablas salariales SC'!$Q$174,IF(V24=10,'A.0_Tablas salariales SC'!$Q$175,IF(V24=14,'A.0_Tablas salariales SC'!$Q$176,IF(V24=18,'A.0_Tablas salariales SC'!$Q$177,IF(V24=20,'A.0_Tablas salariales SC'!$Q$178,IF(V24=22,'A.0_Tablas salariales SC'!$Q$179,IF(V24=24,'A.0_Tablas salariales SC'!$Q$180,IF(V24=26,'A.0_Tablas salariales SC'!$Q$181,IF(V24=28,'A.0_Tablas salariales SC'!$Q$182,0)))))))))))</f>
        <v>100.75367300000001</v>
      </c>
    </row>
    <row r="25" spans="1:29">
      <c r="A25" s="47">
        <f>'A.2.Plantilla_NuevaContratacion'!A24</f>
        <v>0</v>
      </c>
      <c r="B25" s="52" t="str">
        <f>'A.2.Plantilla_NuevaContratacion'!B24</f>
        <v xml:space="preserve">AUXILIAR ADMINISTRATIVO/A  </v>
      </c>
      <c r="C25" s="51">
        <f>'A.2.Plantilla_NuevaContratacion'!C24</f>
        <v>0</v>
      </c>
      <c r="D25" s="51">
        <f>'A.2.Plantilla_NuevaContratacion'!D24</f>
        <v>0</v>
      </c>
      <c r="E25" s="171">
        <f>'A.2.Plantilla_NuevaContratacion'!H24</f>
        <v>46023</v>
      </c>
      <c r="F25" s="172">
        <f t="shared" si="4"/>
        <v>2026</v>
      </c>
      <c r="G25" s="173">
        <f t="shared" si="5"/>
        <v>2026</v>
      </c>
      <c r="H25" s="173">
        <f t="shared" si="5"/>
        <v>2032</v>
      </c>
      <c r="I25" s="173">
        <f t="shared" ref="I25:I28" si="36">($I$4-F25)*$I$5</f>
        <v>0</v>
      </c>
      <c r="J25" s="173">
        <f t="shared" ref="J25:J28" si="37">($J$4-F25)*$J$5</f>
        <v>1</v>
      </c>
      <c r="K25" s="173">
        <f t="shared" ref="K25:K28" si="38">($K$4-F25)*$K$5</f>
        <v>2</v>
      </c>
      <c r="L25" s="173">
        <f t="shared" ref="L25:L28" si="39">($L$4-F25)*$L$5</f>
        <v>3</v>
      </c>
      <c r="M25" s="173">
        <f t="shared" ref="M25:M28" si="40">($M$4-F25)*$M$5</f>
        <v>4</v>
      </c>
      <c r="N25" s="173">
        <f t="shared" ref="N25:N28" si="41">($N$4-F25)*$N$5</f>
        <v>5</v>
      </c>
      <c r="O25" s="173">
        <f t="shared" ref="O25:O28" si="42">($O$4-F25)*$O$5</f>
        <v>6</v>
      </c>
      <c r="P25" s="173">
        <f t="shared" ref="P25:P28" si="43">IF(I25&gt;=28,28,IF(I25&gt;=26,26,(IF(I25&gt;=24,24,IF(I25&gt;=22,22,IF(I25&gt;=20,20,IF(I25&gt;=18,18,IF(I25&gt;=14,14,(IF(I25&gt;=10,10,(IF(I25&gt;=6,6,(IF(I25&gt;=2,2,0))))))))))))))</f>
        <v>0</v>
      </c>
      <c r="Q25" s="173">
        <f t="shared" ref="Q25:Q28" si="44">IF(J25&gt;=28,28,IF(J25&gt;=26,26,(IF(J25&gt;=24,24,IF(J25&gt;=22,22,IF(J25&gt;=20,20,IF(J25&gt;=18,18,IF(J25&gt;=14,14,(IF(J25&gt;=10,10,(IF(J25&gt;=6,6,(IF(J25&gt;=2,2,0))))))))))))))</f>
        <v>0</v>
      </c>
      <c r="R25" s="173">
        <f t="shared" ref="R25:R28" si="45">IF(K25&gt;=28,28,IF(K25&gt;=26,26,(IF(K25&gt;=24,24,IF(K25&gt;=22,22,IF(K25&gt;=20,20,IF(K25&gt;=18,18,IF(K25&gt;=14,14,(IF(K25&gt;=10,10,(IF(K25&gt;=6,6,(IF(K25&gt;=2,2,0))))))))))))))</f>
        <v>2</v>
      </c>
      <c r="S25" s="173">
        <f t="shared" ref="S25:S28" si="46">IF(L25&gt;=28,28,IF(L25&gt;=26,26,(IF(L25&gt;=24,24,IF(L25&gt;=22,22,IF(L25&gt;=20,20,IF(L25&gt;=18,18,IF(L25&gt;=14,14,(IF(L25&gt;=10,10,(IF(L25&gt;=6,6,(IF(L25&gt;=2,2,0))))))))))))))</f>
        <v>2</v>
      </c>
      <c r="T25" s="173">
        <f t="shared" ref="T25:T28" si="47">IF(M25&gt;=28,28,IF(M25&gt;=26,26,(IF(M25&gt;=24,24,IF(M25&gt;=22,22,IF(M25&gt;=20,20,IF(M25&gt;=18,18,IF(M25&gt;=14,14,(IF(M25&gt;=10,10,(IF(M25&gt;=6,6,(IF(M25&gt;=2,2,0))))))))))))))</f>
        <v>2</v>
      </c>
      <c r="U25" s="173">
        <f t="shared" ref="U25:U28" si="48">IF(N25&gt;=28,28,IF(N25&gt;=26,26,(IF(N25&gt;=24,24,IF(N25&gt;=22,22,IF(N25&gt;=20,20,IF(N25&gt;=18,18,IF(N25&gt;=14,14,(IF(N25&gt;=10,10,(IF(N25&gt;=6,6,(IF(N25&gt;=2,2,0))))))))))))))</f>
        <v>2</v>
      </c>
      <c r="V25" s="173">
        <f t="shared" ref="V25:V28" si="49">IF(O25&gt;=28,28,IF(O25&gt;=26,26,(IF(O25&gt;=24,24,IF(O25&gt;=22,22,IF(O25&gt;=20,20,IF(O25&gt;=18,18,IF(O25&gt;=14,14,(IF(O25&gt;=10,10,(IF(O25&gt;=6,6,(IF(O25&gt;=2,2,0))))))))))))))</f>
        <v>6</v>
      </c>
      <c r="W25" s="175">
        <f>IF(P25=2,'A.0_Tablas salariales SC'!$P$9,(IF(P25=6,'A.0_Tablas salariales SC'!$P$10,IF(P25=10,'A.0_Tablas salariales SC'!$P$11,IF(P25=14,'A.0_Tablas salariales SC'!$P$12,IF(P25=18,'A.0_Tablas salariales SC'!$P$13,IF(P25=20,'A.0_Tablas salariales SC'!$P$14,IF(P25=22,'A.0_Tablas salariales SC'!$P$15,IF(P25=24,'A.0_Tablas salariales SC'!$P$16,IF(P25=26,'A.0_Tablas salariales SC'!$P$17,IF(P25=28,'A.0_Tablas salariales SC'!$P$18,0)))))))))))</f>
        <v>0</v>
      </c>
      <c r="X25" s="175">
        <f>IF(Q25=2,'A.0_Tablas salariales SC'!$P$36,(IF(Q25=6,'A.0_Tablas salariales SC'!$P$37,IF(Q25=10,'A.0_Tablas salariales SC'!$P$38,IF(Q25=14,'A.0_Tablas salariales SC'!$P$39,IF(Q25=18,'A.0_Tablas salariales SC'!$P$40,IF(Q25=20,'A.0_Tablas salariales SC'!$P$41,IF(Q25=22,'A.0_Tablas salariales SC'!$P$42,IF(Q25=24,'A.0_Tablas salariales SC'!$P$43,IF(Q25=26,'A.0_Tablas salariales SC'!$P$44,IF(Q25=28,'A.0_Tablas salariales SC'!$P$45,0)))))))))))</f>
        <v>0</v>
      </c>
      <c r="Y25" s="175">
        <f>IF(R25=2,'A.0_Tablas salariales SC'!$Q$63,(IF(R25=6,'A.0_Tablas salariales SC'!$Q$64,IF(R25=10,'A.0_Tablas salariales SC'!$Q$65,IF(R25=14,'A.0_Tablas salariales SC'!$Q$66,IF(R25=18,'A.0_Tablas salariales SC'!$Q$67,IF(R25=20,'A.0_Tablas salariales SC'!$Q$68,IF(R25=22,'A.0_Tablas salariales SC'!$Q$69,IF(R25=24,'A.0_Tablas salariales SC'!$Q$70,IF(R25=26,'A.0_Tablas salariales SC'!$Q$71,IF(R25=28,'A.0_Tablas salariales SC'!$Q$72,0)))))))))))</f>
        <v>31.31</v>
      </c>
      <c r="Z25" s="175">
        <f>IF(S25=2,'A.0_Tablas salariales SC'!$Q$90,(IF(S25=6,'A.0_Tablas salariales SC'!$Q$91,IF(S25=10,'A.0_Tablas salariales SC'!$Q$92,IF(S25=14,'A.0_Tablas salariales SC'!$Q$93,IF(S25=18,'A.0_Tablas salariales SC'!$Q$94,IF(S25=20,'A.0_Tablas salariales SC'!$Q$95,IF(S25=22,'A.0_Tablas salariales SC'!$Q$96,IF(S25=24,'A.0_Tablas salariales SC'!$Q$97,IF(S25=26,'A.0_Tablas salariales SC'!$Q$98,IF(S25=28,'A.0_Tablas salariales SC'!$Q$99,0)))))))))))</f>
        <v>32.72</v>
      </c>
      <c r="AA25" s="175">
        <f>IF(T25=2,'A.0_Tablas salariales SC'!$Q$117,(IF(T25=6,'A.0_Tablas salariales SC'!$Q$118,IF(T25=10,'A.0_Tablas salariales SC'!$Q$119,IF(T25=14,'A.0_Tablas salariales SC'!$Q$120,IF(T25=18,'A.0_Tablas salariales SC'!$Q$121,IF(T25=20,'A.0_Tablas salariales SC'!$Q$122,IF(T25=22,'A.0_Tablas salariales SC'!$Q$123,IF(T25=24,'A.0_Tablas salariales SC'!$Q$124,IF(T25=26,'A.0_Tablas salariales SC'!$Q$125,IF(T25=28,'A.0_Tablas salariales SC'!$Q$126,0)))))))))))</f>
        <v>34.36</v>
      </c>
      <c r="AB25" s="175">
        <f>IF(U25=2,'A.0_Tablas salariales SC'!$Q$145,(IF(U25=6,'A.0_Tablas salariales SC'!$Q$146,IF(U25=10,'A.0_Tablas salariales SC'!$Q$147,IF(U25=14,'A.0_Tablas salariales SC'!$Q$148,IF(U25=18,'A.0_Tablas salariales SC'!$Q$149,IF(U25=20,'A.0_Tablas salariales SC'!$Q$150,IF(U25=22,'A.0_Tablas salariales SC'!$Q$151,IF(U25=24,'A.0_Tablas salariales SC'!$Q$152,IF(U25=26,'A.0_Tablas salariales SC'!$Q$153,IF(U25=28,'A.0_Tablas salariales SC'!$Q$154,0)))))))))))</f>
        <v>35.390799999999999</v>
      </c>
      <c r="AC25" s="175">
        <f>IF(V25=2,'A.0_Tablas salariales SC'!$Q$173,(IF(V25=6,'A.0_Tablas salariales SC'!$Q$174,IF(V25=10,'A.0_Tablas salariales SC'!$Q$175,IF(V25=14,'A.0_Tablas salariales SC'!$Q$176,IF(V25=18,'A.0_Tablas salariales SC'!$Q$177,IF(V25=20,'A.0_Tablas salariales SC'!$Q$178,IF(V25=22,'A.0_Tablas salariales SC'!$Q$179,IF(V25=24,'A.0_Tablas salariales SC'!$Q$180,IF(V25=26,'A.0_Tablas salariales SC'!$Q$181,IF(V25=28,'A.0_Tablas salariales SC'!$Q$182,0)))))))))))</f>
        <v>100.75367300000001</v>
      </c>
    </row>
    <row r="26" spans="1:29">
      <c r="A26" s="47">
        <f>'A.2.Plantilla_NuevaContratacion'!A25</f>
        <v>0</v>
      </c>
      <c r="B26" s="52" t="str">
        <f>'A.2.Plantilla_NuevaContratacion'!B25</f>
        <v xml:space="preserve">ADMINISTRATIVO/A  </v>
      </c>
      <c r="C26" s="51">
        <f>'A.2.Plantilla_NuevaContratacion'!C25</f>
        <v>0</v>
      </c>
      <c r="D26" s="51">
        <f>'A.2.Plantilla_NuevaContratacion'!D25</f>
        <v>0</v>
      </c>
      <c r="E26" s="171">
        <f>'A.2.Plantilla_NuevaContratacion'!H25</f>
        <v>46023</v>
      </c>
      <c r="F26" s="172">
        <f t="shared" si="4"/>
        <v>2026</v>
      </c>
      <c r="G26" s="173">
        <f t="shared" si="5"/>
        <v>2026</v>
      </c>
      <c r="H26" s="173">
        <f t="shared" si="5"/>
        <v>2032</v>
      </c>
      <c r="I26" s="173">
        <f t="shared" si="36"/>
        <v>0</v>
      </c>
      <c r="J26" s="173">
        <f t="shared" si="37"/>
        <v>1</v>
      </c>
      <c r="K26" s="173">
        <f t="shared" si="38"/>
        <v>2</v>
      </c>
      <c r="L26" s="173">
        <f t="shared" si="39"/>
        <v>3</v>
      </c>
      <c r="M26" s="173">
        <f t="shared" si="40"/>
        <v>4</v>
      </c>
      <c r="N26" s="173">
        <f t="shared" si="41"/>
        <v>5</v>
      </c>
      <c r="O26" s="173">
        <f t="shared" si="42"/>
        <v>6</v>
      </c>
      <c r="P26" s="173">
        <f t="shared" si="43"/>
        <v>0</v>
      </c>
      <c r="Q26" s="173">
        <f t="shared" si="44"/>
        <v>0</v>
      </c>
      <c r="R26" s="173">
        <f t="shared" si="45"/>
        <v>2</v>
      </c>
      <c r="S26" s="173">
        <f t="shared" si="46"/>
        <v>2</v>
      </c>
      <c r="T26" s="173">
        <f t="shared" si="47"/>
        <v>2</v>
      </c>
      <c r="U26" s="173">
        <f t="shared" si="48"/>
        <v>2</v>
      </c>
      <c r="V26" s="173">
        <f t="shared" si="49"/>
        <v>6</v>
      </c>
      <c r="W26" s="175">
        <f>IF(P26=2,'A.0_Tablas salariales SC'!$P$9,(IF(P26=6,'A.0_Tablas salariales SC'!$P$10,IF(P26=10,'A.0_Tablas salariales SC'!$P$11,IF(P26=14,'A.0_Tablas salariales SC'!$P$12,IF(P26=18,'A.0_Tablas salariales SC'!$P$13,IF(P26=20,'A.0_Tablas salariales SC'!$P$14,IF(P26=22,'A.0_Tablas salariales SC'!$P$15,IF(P26=24,'A.0_Tablas salariales SC'!$P$16,IF(P26=26,'A.0_Tablas salariales SC'!$P$17,IF(P26=28,'A.0_Tablas salariales SC'!$P$18,0)))))))))))</f>
        <v>0</v>
      </c>
      <c r="X26" s="175">
        <f>IF(Q26=2,'A.0_Tablas salariales SC'!$P$36,(IF(Q26=6,'A.0_Tablas salariales SC'!$P$37,IF(Q26=10,'A.0_Tablas salariales SC'!$P$38,IF(Q26=14,'A.0_Tablas salariales SC'!$P$39,IF(Q26=18,'A.0_Tablas salariales SC'!$P$40,IF(Q26=20,'A.0_Tablas salariales SC'!$P$41,IF(Q26=22,'A.0_Tablas salariales SC'!$P$42,IF(Q26=24,'A.0_Tablas salariales SC'!$P$43,IF(Q26=26,'A.0_Tablas salariales SC'!$P$44,IF(Q26=28,'A.0_Tablas salariales SC'!$P$45,0)))))))))))</f>
        <v>0</v>
      </c>
      <c r="Y26" s="175">
        <f>IF(R26=2,'A.0_Tablas salariales SC'!$Q$63,(IF(R26=6,'A.0_Tablas salariales SC'!$Q$64,IF(R26=10,'A.0_Tablas salariales SC'!$Q$65,IF(R26=14,'A.0_Tablas salariales SC'!$Q$66,IF(R26=18,'A.0_Tablas salariales SC'!$Q$67,IF(R26=20,'A.0_Tablas salariales SC'!$Q$68,IF(R26=22,'A.0_Tablas salariales SC'!$Q$69,IF(R26=24,'A.0_Tablas salariales SC'!$Q$70,IF(R26=26,'A.0_Tablas salariales SC'!$Q$71,IF(R26=28,'A.0_Tablas salariales SC'!$Q$72,0)))))))))))</f>
        <v>31.31</v>
      </c>
      <c r="Z26" s="175">
        <f>IF(S26=2,'A.0_Tablas salariales SC'!$Q$90,(IF(S26=6,'A.0_Tablas salariales SC'!$Q$91,IF(S26=10,'A.0_Tablas salariales SC'!$Q$92,IF(S26=14,'A.0_Tablas salariales SC'!$Q$93,IF(S26=18,'A.0_Tablas salariales SC'!$Q$94,IF(S26=20,'A.0_Tablas salariales SC'!$Q$95,IF(S26=22,'A.0_Tablas salariales SC'!$Q$96,IF(S26=24,'A.0_Tablas salariales SC'!$Q$97,IF(S26=26,'A.0_Tablas salariales SC'!$Q$98,IF(S26=28,'A.0_Tablas salariales SC'!$Q$99,0)))))))))))</f>
        <v>32.72</v>
      </c>
      <c r="AA26" s="175">
        <f>IF(T26=2,'A.0_Tablas salariales SC'!$Q$117,(IF(T26=6,'A.0_Tablas salariales SC'!$Q$118,IF(T26=10,'A.0_Tablas salariales SC'!$Q$119,IF(T26=14,'A.0_Tablas salariales SC'!$Q$120,IF(T26=18,'A.0_Tablas salariales SC'!$Q$121,IF(T26=20,'A.0_Tablas salariales SC'!$Q$122,IF(T26=22,'A.0_Tablas salariales SC'!$Q$123,IF(T26=24,'A.0_Tablas salariales SC'!$Q$124,IF(T26=26,'A.0_Tablas salariales SC'!$Q$125,IF(T26=28,'A.0_Tablas salariales SC'!$Q$126,0)))))))))))</f>
        <v>34.36</v>
      </c>
      <c r="AB26" s="175">
        <f>IF(U26=2,'A.0_Tablas salariales SC'!$Q$145,(IF(U26=6,'A.0_Tablas salariales SC'!$Q$146,IF(U26=10,'A.0_Tablas salariales SC'!$Q$147,IF(U26=14,'A.0_Tablas salariales SC'!$Q$148,IF(U26=18,'A.0_Tablas salariales SC'!$Q$149,IF(U26=20,'A.0_Tablas salariales SC'!$Q$150,IF(U26=22,'A.0_Tablas salariales SC'!$Q$151,IF(U26=24,'A.0_Tablas salariales SC'!$Q$152,IF(U26=26,'A.0_Tablas salariales SC'!$Q$153,IF(U26=28,'A.0_Tablas salariales SC'!$Q$154,0)))))))))))</f>
        <v>35.390799999999999</v>
      </c>
      <c r="AC26" s="175">
        <f>IF(V26=2,'A.0_Tablas salariales SC'!$Q$173,(IF(V26=6,'A.0_Tablas salariales SC'!$Q$174,IF(V26=10,'A.0_Tablas salariales SC'!$Q$175,IF(V26=14,'A.0_Tablas salariales SC'!$Q$176,IF(V26=18,'A.0_Tablas salariales SC'!$Q$177,IF(V26=20,'A.0_Tablas salariales SC'!$Q$178,IF(V26=22,'A.0_Tablas salariales SC'!$Q$179,IF(V26=24,'A.0_Tablas salariales SC'!$Q$180,IF(V26=26,'A.0_Tablas salariales SC'!$Q$181,IF(V26=28,'A.0_Tablas salariales SC'!$Q$182,0)))))))))))</f>
        <v>100.75367300000001</v>
      </c>
    </row>
    <row r="27" spans="1:29">
      <c r="A27" s="47">
        <f>'A.2.Plantilla_NuevaContratacion'!A26</f>
        <v>0</v>
      </c>
      <c r="B27" s="52" t="str">
        <f>'A.2.Plantilla_NuevaContratacion'!B26</f>
        <v xml:space="preserve">OFICIAL ADMINISTRATIVO/A  </v>
      </c>
      <c r="C27" s="51">
        <f>'A.2.Plantilla_NuevaContratacion'!C26</f>
        <v>0</v>
      </c>
      <c r="D27" s="51">
        <f>'A.2.Plantilla_NuevaContratacion'!D26</f>
        <v>0</v>
      </c>
      <c r="E27" s="171">
        <f>'A.2.Plantilla_NuevaContratacion'!H26</f>
        <v>46023</v>
      </c>
      <c r="F27" s="172">
        <f t="shared" si="4"/>
        <v>2026</v>
      </c>
      <c r="G27" s="173">
        <f t="shared" si="5"/>
        <v>2026</v>
      </c>
      <c r="H27" s="173">
        <f t="shared" si="5"/>
        <v>2032</v>
      </c>
      <c r="I27" s="173">
        <f t="shared" si="36"/>
        <v>0</v>
      </c>
      <c r="J27" s="173">
        <f t="shared" si="37"/>
        <v>1</v>
      </c>
      <c r="K27" s="173">
        <f t="shared" si="38"/>
        <v>2</v>
      </c>
      <c r="L27" s="173">
        <f t="shared" si="39"/>
        <v>3</v>
      </c>
      <c r="M27" s="173">
        <f t="shared" si="40"/>
        <v>4</v>
      </c>
      <c r="N27" s="173">
        <f t="shared" si="41"/>
        <v>5</v>
      </c>
      <c r="O27" s="173">
        <f t="shared" si="42"/>
        <v>6</v>
      </c>
      <c r="P27" s="173">
        <f t="shared" si="43"/>
        <v>0</v>
      </c>
      <c r="Q27" s="173">
        <f t="shared" si="44"/>
        <v>0</v>
      </c>
      <c r="R27" s="173">
        <f t="shared" si="45"/>
        <v>2</v>
      </c>
      <c r="S27" s="173">
        <f t="shared" si="46"/>
        <v>2</v>
      </c>
      <c r="T27" s="173">
        <f t="shared" si="47"/>
        <v>2</v>
      </c>
      <c r="U27" s="173">
        <f t="shared" si="48"/>
        <v>2</v>
      </c>
      <c r="V27" s="173">
        <f t="shared" si="49"/>
        <v>6</v>
      </c>
      <c r="W27" s="175">
        <f>IF(P27=2,'A.0_Tablas salariales SC'!$P$9,(IF(P27=6,'A.0_Tablas salariales SC'!$P$10,IF(P27=10,'A.0_Tablas salariales SC'!$P$11,IF(P27=14,'A.0_Tablas salariales SC'!$P$12,IF(P27=18,'A.0_Tablas salariales SC'!$P$13,IF(P27=20,'A.0_Tablas salariales SC'!$P$14,IF(P27=22,'A.0_Tablas salariales SC'!$P$15,IF(P27=24,'A.0_Tablas salariales SC'!$P$16,IF(P27=26,'A.0_Tablas salariales SC'!$P$17,IF(P27=28,'A.0_Tablas salariales SC'!$P$18,0)))))))))))</f>
        <v>0</v>
      </c>
      <c r="X27" s="175">
        <f>IF(Q27=2,'A.0_Tablas salariales SC'!$P$36,(IF(Q27=6,'A.0_Tablas salariales SC'!$P$37,IF(Q27=10,'A.0_Tablas salariales SC'!$P$38,IF(Q27=14,'A.0_Tablas salariales SC'!$P$39,IF(Q27=18,'A.0_Tablas salariales SC'!$P$40,IF(Q27=20,'A.0_Tablas salariales SC'!$P$41,IF(Q27=22,'A.0_Tablas salariales SC'!$P$42,IF(Q27=24,'A.0_Tablas salariales SC'!$P$43,IF(Q27=26,'A.0_Tablas salariales SC'!$P$44,IF(Q27=28,'A.0_Tablas salariales SC'!$P$45,0)))))))))))</f>
        <v>0</v>
      </c>
      <c r="Y27" s="175">
        <f>IF(R27=2,'A.0_Tablas salariales SC'!$Q$63,(IF(R27=6,'A.0_Tablas salariales SC'!$Q$64,IF(R27=10,'A.0_Tablas salariales SC'!$Q$65,IF(R27=14,'A.0_Tablas salariales SC'!$Q$66,IF(R27=18,'A.0_Tablas salariales SC'!$Q$67,IF(R27=20,'A.0_Tablas salariales SC'!$Q$68,IF(R27=22,'A.0_Tablas salariales SC'!$Q$69,IF(R27=24,'A.0_Tablas salariales SC'!$Q$70,IF(R27=26,'A.0_Tablas salariales SC'!$Q$71,IF(R27=28,'A.0_Tablas salariales SC'!$Q$72,0)))))))))))</f>
        <v>31.31</v>
      </c>
      <c r="Z27" s="175">
        <f>IF(S27=2,'A.0_Tablas salariales SC'!$Q$90,(IF(S27=6,'A.0_Tablas salariales SC'!$Q$91,IF(S27=10,'A.0_Tablas salariales SC'!$Q$92,IF(S27=14,'A.0_Tablas salariales SC'!$Q$93,IF(S27=18,'A.0_Tablas salariales SC'!$Q$94,IF(S27=20,'A.0_Tablas salariales SC'!$Q$95,IF(S27=22,'A.0_Tablas salariales SC'!$Q$96,IF(S27=24,'A.0_Tablas salariales SC'!$Q$97,IF(S27=26,'A.0_Tablas salariales SC'!$Q$98,IF(S27=28,'A.0_Tablas salariales SC'!$Q$99,0)))))))))))</f>
        <v>32.72</v>
      </c>
      <c r="AA27" s="175">
        <f>IF(T27=2,'A.0_Tablas salariales SC'!$Q$117,(IF(T27=6,'A.0_Tablas salariales SC'!$Q$118,IF(T27=10,'A.0_Tablas salariales SC'!$Q$119,IF(T27=14,'A.0_Tablas salariales SC'!$Q$120,IF(T27=18,'A.0_Tablas salariales SC'!$Q$121,IF(T27=20,'A.0_Tablas salariales SC'!$Q$122,IF(T27=22,'A.0_Tablas salariales SC'!$Q$123,IF(T27=24,'A.0_Tablas salariales SC'!$Q$124,IF(T27=26,'A.0_Tablas salariales SC'!$Q$125,IF(T27=28,'A.0_Tablas salariales SC'!$Q$126,0)))))))))))</f>
        <v>34.36</v>
      </c>
      <c r="AB27" s="175">
        <f>IF(U27=2,'A.0_Tablas salariales SC'!$Q$145,(IF(U27=6,'A.0_Tablas salariales SC'!$Q$146,IF(U27=10,'A.0_Tablas salariales SC'!$Q$147,IF(U27=14,'A.0_Tablas salariales SC'!$Q$148,IF(U27=18,'A.0_Tablas salariales SC'!$Q$149,IF(U27=20,'A.0_Tablas salariales SC'!$Q$150,IF(U27=22,'A.0_Tablas salariales SC'!$Q$151,IF(U27=24,'A.0_Tablas salariales SC'!$Q$152,IF(U27=26,'A.0_Tablas salariales SC'!$Q$153,IF(U27=28,'A.0_Tablas salariales SC'!$Q$154,0)))))))))))</f>
        <v>35.390799999999999</v>
      </c>
      <c r="AC27" s="175">
        <f>IF(V27=2,'A.0_Tablas salariales SC'!$Q$173,(IF(V27=6,'A.0_Tablas salariales SC'!$Q$174,IF(V27=10,'A.0_Tablas salariales SC'!$Q$175,IF(V27=14,'A.0_Tablas salariales SC'!$Q$176,IF(V27=18,'A.0_Tablas salariales SC'!$Q$177,IF(V27=20,'A.0_Tablas salariales SC'!$Q$178,IF(V27=22,'A.0_Tablas salariales SC'!$Q$179,IF(V27=24,'A.0_Tablas salariales SC'!$Q$180,IF(V27=26,'A.0_Tablas salariales SC'!$Q$181,IF(V27=28,'A.0_Tablas salariales SC'!$Q$182,0)))))))))))</f>
        <v>100.75367300000001</v>
      </c>
    </row>
    <row r="28" spans="1:29">
      <c r="A28" s="47">
        <f>'A.2.Plantilla_NuevaContratacion'!A27</f>
        <v>0</v>
      </c>
      <c r="B28" s="52" t="str">
        <f>'A.2.Plantilla_NuevaContratacion'!B27</f>
        <v xml:space="preserve">JEFE/A ADMINISTRATIVO/A  </v>
      </c>
      <c r="C28" s="51">
        <f>'A.2.Plantilla_NuevaContratacion'!C27</f>
        <v>0</v>
      </c>
      <c r="D28" s="51">
        <f>'A.2.Plantilla_NuevaContratacion'!D27</f>
        <v>0</v>
      </c>
      <c r="E28" s="171">
        <f>'A.2.Plantilla_NuevaContratacion'!H27</f>
        <v>46023</v>
      </c>
      <c r="F28" s="172">
        <f t="shared" si="4"/>
        <v>2026</v>
      </c>
      <c r="G28" s="173">
        <f t="shared" si="5"/>
        <v>2026</v>
      </c>
      <c r="H28" s="173">
        <f t="shared" si="5"/>
        <v>2032</v>
      </c>
      <c r="I28" s="173">
        <f t="shared" si="36"/>
        <v>0</v>
      </c>
      <c r="J28" s="173">
        <f t="shared" si="37"/>
        <v>1</v>
      </c>
      <c r="K28" s="173">
        <f t="shared" si="38"/>
        <v>2</v>
      </c>
      <c r="L28" s="173">
        <f t="shared" si="39"/>
        <v>3</v>
      </c>
      <c r="M28" s="173">
        <f t="shared" si="40"/>
        <v>4</v>
      </c>
      <c r="N28" s="173">
        <f t="shared" si="41"/>
        <v>5</v>
      </c>
      <c r="O28" s="173">
        <f t="shared" si="42"/>
        <v>6</v>
      </c>
      <c r="P28" s="173">
        <f t="shared" si="43"/>
        <v>0</v>
      </c>
      <c r="Q28" s="173">
        <f t="shared" si="44"/>
        <v>0</v>
      </c>
      <c r="R28" s="173">
        <f t="shared" si="45"/>
        <v>2</v>
      </c>
      <c r="S28" s="173">
        <f t="shared" si="46"/>
        <v>2</v>
      </c>
      <c r="T28" s="173">
        <f t="shared" si="47"/>
        <v>2</v>
      </c>
      <c r="U28" s="173">
        <f t="shared" si="48"/>
        <v>2</v>
      </c>
      <c r="V28" s="173">
        <f t="shared" si="49"/>
        <v>6</v>
      </c>
      <c r="W28" s="175">
        <f>IF(P28=2,'A.0_Tablas salariales SC'!$P$9,(IF(P28=6,'A.0_Tablas salariales SC'!$P$10,IF(P28=10,'A.0_Tablas salariales SC'!$P$11,IF(P28=14,'A.0_Tablas salariales SC'!$P$12,IF(P28=18,'A.0_Tablas salariales SC'!$P$13,IF(P28=20,'A.0_Tablas salariales SC'!$P$14,IF(P28=22,'A.0_Tablas salariales SC'!$P$15,IF(P28=24,'A.0_Tablas salariales SC'!$P$16,IF(P28=26,'A.0_Tablas salariales SC'!$P$17,IF(P28=28,'A.0_Tablas salariales SC'!$P$18,0)))))))))))</f>
        <v>0</v>
      </c>
      <c r="X28" s="175">
        <f>IF(Q28=2,'A.0_Tablas salariales SC'!$P$36,(IF(Q28=6,'A.0_Tablas salariales SC'!$P$37,IF(Q28=10,'A.0_Tablas salariales SC'!$P$38,IF(Q28=14,'A.0_Tablas salariales SC'!$P$39,IF(Q28=18,'A.0_Tablas salariales SC'!$P$40,IF(Q28=20,'A.0_Tablas salariales SC'!$P$41,IF(Q28=22,'A.0_Tablas salariales SC'!$P$42,IF(Q28=24,'A.0_Tablas salariales SC'!$P$43,IF(Q28=26,'A.0_Tablas salariales SC'!$P$44,IF(Q28=28,'A.0_Tablas salariales SC'!$P$45,0)))))))))))</f>
        <v>0</v>
      </c>
      <c r="Y28" s="175">
        <f>IF(R28=2,'A.0_Tablas salariales SC'!$Q$63,(IF(R28=6,'A.0_Tablas salariales SC'!$Q$64,IF(R28=10,'A.0_Tablas salariales SC'!$Q$65,IF(R28=14,'A.0_Tablas salariales SC'!$Q$66,IF(R28=18,'A.0_Tablas salariales SC'!$Q$67,IF(R28=20,'A.0_Tablas salariales SC'!$Q$68,IF(R28=22,'A.0_Tablas salariales SC'!$Q$69,IF(R28=24,'A.0_Tablas salariales SC'!$Q$70,IF(R28=26,'A.0_Tablas salariales SC'!$Q$71,IF(R28=28,'A.0_Tablas salariales SC'!$Q$72,0)))))))))))</f>
        <v>31.31</v>
      </c>
      <c r="Z28" s="175">
        <f>IF(S28=2,'A.0_Tablas salariales SC'!$Q$90,(IF(S28=6,'A.0_Tablas salariales SC'!$Q$91,IF(S28=10,'A.0_Tablas salariales SC'!$Q$92,IF(S28=14,'A.0_Tablas salariales SC'!$Q$93,IF(S28=18,'A.0_Tablas salariales SC'!$Q$94,IF(S28=20,'A.0_Tablas salariales SC'!$Q$95,IF(S28=22,'A.0_Tablas salariales SC'!$Q$96,IF(S28=24,'A.0_Tablas salariales SC'!$Q$97,IF(S28=26,'A.0_Tablas salariales SC'!$Q$98,IF(S28=28,'A.0_Tablas salariales SC'!$Q$99,0)))))))))))</f>
        <v>32.72</v>
      </c>
      <c r="AA28" s="175">
        <f>IF(T28=2,'A.0_Tablas salariales SC'!$Q$117,(IF(T28=6,'A.0_Tablas salariales SC'!$Q$118,IF(T28=10,'A.0_Tablas salariales SC'!$Q$119,IF(T28=14,'A.0_Tablas salariales SC'!$Q$120,IF(T28=18,'A.0_Tablas salariales SC'!$Q$121,IF(T28=20,'A.0_Tablas salariales SC'!$Q$122,IF(T28=22,'A.0_Tablas salariales SC'!$Q$123,IF(T28=24,'A.0_Tablas salariales SC'!$Q$124,IF(T28=26,'A.0_Tablas salariales SC'!$Q$125,IF(T28=28,'A.0_Tablas salariales SC'!$Q$126,0)))))))))))</f>
        <v>34.36</v>
      </c>
      <c r="AB28" s="175">
        <f>IF(U28=2,'A.0_Tablas salariales SC'!$Q$145,(IF(U28=6,'A.0_Tablas salariales SC'!$Q$146,IF(U28=10,'A.0_Tablas salariales SC'!$Q$147,IF(U28=14,'A.0_Tablas salariales SC'!$Q$148,IF(U28=18,'A.0_Tablas salariales SC'!$Q$149,IF(U28=20,'A.0_Tablas salariales SC'!$Q$150,IF(U28=22,'A.0_Tablas salariales SC'!$Q$151,IF(U28=24,'A.0_Tablas salariales SC'!$Q$152,IF(U28=26,'A.0_Tablas salariales SC'!$Q$153,IF(U28=28,'A.0_Tablas salariales SC'!$Q$154,0)))))))))))</f>
        <v>35.390799999999999</v>
      </c>
      <c r="AC28" s="175">
        <f>IF(V28=2,'A.0_Tablas salariales SC'!$Q$173,(IF(V28=6,'A.0_Tablas salariales SC'!$Q$174,IF(V28=10,'A.0_Tablas salariales SC'!$Q$175,IF(V28=14,'A.0_Tablas salariales SC'!$Q$176,IF(V28=18,'A.0_Tablas salariales SC'!$Q$177,IF(V28=20,'A.0_Tablas salariales SC'!$Q$178,IF(V28=22,'A.0_Tablas salariales SC'!$Q$179,IF(V28=24,'A.0_Tablas salariales SC'!$Q$180,IF(V28=26,'A.0_Tablas salariales SC'!$Q$181,IF(V28=28,'A.0_Tablas salariales SC'!$Q$182,0)))))))))))</f>
        <v>100.75367300000001</v>
      </c>
    </row>
    <row r="29" spans="1:29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</row>
    <row r="30" spans="1:29">
      <c r="A30" s="47">
        <f>'A.2.Plantilla_NuevaContratacion'!A29</f>
        <v>0</v>
      </c>
      <c r="B30" s="52" t="str">
        <f>'A.2.Plantilla_NuevaContratacion'!B29</f>
        <v>VIGILANTE</v>
      </c>
      <c r="C30" s="51">
        <f>'A.2.Plantilla_NuevaContratacion'!C29</f>
        <v>0</v>
      </c>
      <c r="D30" s="51">
        <f>'A.2.Plantilla_NuevaContratacion'!D29</f>
        <v>0</v>
      </c>
      <c r="E30" s="171">
        <f>'A.2.Plantilla_NuevaContratacion'!H29</f>
        <v>46023</v>
      </c>
      <c r="F30" s="172">
        <f t="shared" si="4"/>
        <v>2026</v>
      </c>
      <c r="G30" s="173">
        <f t="shared" si="5"/>
        <v>2026</v>
      </c>
      <c r="H30" s="173">
        <f t="shared" si="5"/>
        <v>2032</v>
      </c>
      <c r="I30" s="173">
        <f t="shared" si="14"/>
        <v>0</v>
      </c>
      <c r="J30" s="173">
        <f t="shared" si="15"/>
        <v>1</v>
      </c>
      <c r="K30" s="173">
        <f t="shared" si="16"/>
        <v>2</v>
      </c>
      <c r="L30" s="173">
        <f t="shared" si="17"/>
        <v>3</v>
      </c>
      <c r="M30" s="173">
        <f t="shared" si="18"/>
        <v>4</v>
      </c>
      <c r="N30" s="173">
        <f t="shared" si="19"/>
        <v>5</v>
      </c>
      <c r="O30" s="173">
        <f t="shared" si="20"/>
        <v>6</v>
      </c>
      <c r="P30" s="173">
        <f t="shared" si="21"/>
        <v>0</v>
      </c>
      <c r="Q30" s="173">
        <f t="shared" si="21"/>
        <v>0</v>
      </c>
      <c r="R30" s="173">
        <f t="shared" si="21"/>
        <v>2</v>
      </c>
      <c r="S30" s="173">
        <f t="shared" si="21"/>
        <v>2</v>
      </c>
      <c r="T30" s="173">
        <f t="shared" si="21"/>
        <v>2</v>
      </c>
      <c r="U30" s="173">
        <f t="shared" si="21"/>
        <v>2</v>
      </c>
      <c r="V30" s="173">
        <f t="shared" si="21"/>
        <v>6</v>
      </c>
      <c r="W30" s="175">
        <f>IF(P30=2,'A.0_Tablas salariales SC'!$P$9,(IF(P30=6,'A.0_Tablas salariales SC'!$P$10,IF(P30=10,'A.0_Tablas salariales SC'!$P$11,IF(P30=14,'A.0_Tablas salariales SC'!$P$12,IF(P30=18,'A.0_Tablas salariales SC'!$P$13,IF(P30=20,'A.0_Tablas salariales SC'!$P$14,IF(P30=22,'A.0_Tablas salariales SC'!$P$15,IF(P30=24,'A.0_Tablas salariales SC'!$P$16,IF(P30=26,'A.0_Tablas salariales SC'!$P$17,IF(P30=28,'A.0_Tablas salariales SC'!$P$18,0)))))))))))</f>
        <v>0</v>
      </c>
      <c r="X30" s="175">
        <f>IF(Q30=2,'A.0_Tablas salariales SC'!$P$36,(IF(Q30=6,'A.0_Tablas salariales SC'!$P$37,IF(Q30=10,'A.0_Tablas salariales SC'!$P$38,IF(Q30=14,'A.0_Tablas salariales SC'!$P$39,IF(Q30=18,'A.0_Tablas salariales SC'!$P$40,IF(Q30=20,'A.0_Tablas salariales SC'!$P$41,IF(Q30=22,'A.0_Tablas salariales SC'!$P$42,IF(Q30=24,'A.0_Tablas salariales SC'!$P$43,IF(Q30=26,'A.0_Tablas salariales SC'!$P$44,IF(Q30=28,'A.0_Tablas salariales SC'!$P$45,0)))))))))))</f>
        <v>0</v>
      </c>
      <c r="Y30" s="175">
        <f>IF(R30=2,'A.0_Tablas salariales SC'!$P$63,(IF(R30=6,'A.0_Tablas salariales SC'!$P$64,IF(R30=10,'A.0_Tablas salariales SC'!$P$65,IF(R30=14,'A.0_Tablas salariales SC'!$P$66,IF(R30=18,'A.0_Tablas salariales SC'!$P$67,IF(R30=20,'A.0_Tablas salariales SC'!$P$68,IF(R30=22,'A.0_Tablas salariales SC'!$P$69,IF(R30=24,'A.0_Tablas salariales SC'!$P$70,IF(R30=26,'A.0_Tablas salariales SC'!$P$71,IF(R30=28,'A.0_Tablas salariales SC'!$P$72,0)))))))))))</f>
        <v>28.91</v>
      </c>
      <c r="Z30" s="175">
        <f>IF(S30=2,'A.0_Tablas salariales SC'!$P$90,(IF(S30=6,'A.0_Tablas salariales SC'!$P$91,IF(S30=10,'A.0_Tablas salariales SC'!$P$92,IF(S30=14,'A.0_Tablas salariales SC'!$P$93,IF(S30=18,'A.0_Tablas salariales SC'!$P$94,IF(S30=20,'A.0_Tablas salariales SC'!$P$95,IF(S30=22,'A.0_Tablas salariales SC'!$P$96,IF(S30=24,'A.0_Tablas salariales SC'!$P$97,IF(S30=26,'A.0_Tablas salariales SC'!$P$98,IF(S30=28,'A.0_Tablas salariales SC'!$P$99,0)))))))))))</f>
        <v>30.22</v>
      </c>
      <c r="AA30" s="175">
        <f>IF(T30=2,'A.0_Tablas salariales SC'!$P$117,(IF(T30=6,'A.0_Tablas salariales SC'!$P$118,IF(T30=10,'A.0_Tablas salariales SC'!$P$119,IF(T30=14,'A.0_Tablas salariales SC'!$P$120,IF(T30=18,'A.0_Tablas salariales SC'!$P$121,IF(T30=20,'A.0_Tablas salariales SC'!$P$122,IF(T30=22,'A.0_Tablas salariales SC'!$P$123,IF(T30=24,'A.0_Tablas salariales SC'!$P$124,IF(T30=26,'A.0_Tablas salariales SC'!$P$125,IF(T30=28,'A.0_Tablas salariales SC'!$P$126,0)))))))))))</f>
        <v>31.73</v>
      </c>
      <c r="AB30" s="175">
        <f>IF(U30=2,'A.0_Tablas salariales SC'!$P$145,(IF(U30=6,'A.0_Tablas salariales SC'!$P$146,IF(U30=10,'A.0_Tablas salariales SC'!$P$147,IF(U30=14,'A.0_Tablas salariales SC'!$P$148,IF(U30=18,'A.0_Tablas salariales SC'!$P$149,IF(U30=20,'A.0_Tablas salariales SC'!$P$150,IF(U30=22,'A.0_Tablas salariales SC'!$P$151,IF(U30=24,'A.0_Tablas salariales SC'!$P$152,IF(U30=26,'A.0_Tablas salariales SC'!$P$153,IF(U30=28,'A.0_Tablas salariales SC'!$P$154,0)))))))))))</f>
        <v>32.681899999999999</v>
      </c>
      <c r="AC30" s="175">
        <f>IF(V30=2,'A.0_Tablas salariales SC'!$P$173,(IF(V30=6,'A.0_Tablas salariales SC'!$P$174,IF(V30=10,'A.0_Tablas salariales SC'!$P$175,IF(V30=14,'A.0_Tablas salariales SC'!$P$176,IF(V30=18,'A.0_Tablas salariales SC'!$P$177,IF(V30=20,'A.0_Tablas salariales SC'!$P$178,IF(V30=22,'A.0_Tablas salariales SC'!$P$179,IF(V30=24,'A.0_Tablas salariales SC'!$P$180,IF(V30=26,'A.0_Tablas salariales SC'!$P$181,IF(V30=28,'A.0_Tablas salariales SC'!$P$182,0)))))))))))</f>
        <v>93.295546000000002</v>
      </c>
    </row>
    <row r="31" spans="1:29">
      <c r="A31" s="47">
        <f>'A.2.Plantilla_NuevaContratacion'!A30</f>
        <v>0</v>
      </c>
      <c r="B31" s="52" t="str">
        <f>'A.2.Plantilla_NuevaContratacion'!B30</f>
        <v>LIMPIADOR/A</v>
      </c>
      <c r="C31" s="51">
        <f>'A.2.Plantilla_NuevaContratacion'!C30</f>
        <v>0</v>
      </c>
      <c r="D31" s="51">
        <f>'A.2.Plantilla_NuevaContratacion'!D30</f>
        <v>0</v>
      </c>
      <c r="E31" s="171">
        <f>'A.2.Plantilla_NuevaContratacion'!H30</f>
        <v>46023</v>
      </c>
      <c r="F31" s="172">
        <f t="shared" si="4"/>
        <v>2026</v>
      </c>
      <c r="G31" s="173">
        <f t="shared" si="5"/>
        <v>2026</v>
      </c>
      <c r="H31" s="173">
        <f t="shared" si="5"/>
        <v>2032</v>
      </c>
      <c r="I31" s="173">
        <f t="shared" si="14"/>
        <v>0</v>
      </c>
      <c r="J31" s="173">
        <f t="shared" si="15"/>
        <v>1</v>
      </c>
      <c r="K31" s="173">
        <f t="shared" si="16"/>
        <v>2</v>
      </c>
      <c r="L31" s="173">
        <f t="shared" si="17"/>
        <v>3</v>
      </c>
      <c r="M31" s="173">
        <f t="shared" si="18"/>
        <v>4</v>
      </c>
      <c r="N31" s="173">
        <f t="shared" si="19"/>
        <v>5</v>
      </c>
      <c r="O31" s="173">
        <f t="shared" si="20"/>
        <v>6</v>
      </c>
      <c r="P31" s="173">
        <f t="shared" si="21"/>
        <v>0</v>
      </c>
      <c r="Q31" s="173">
        <f t="shared" si="21"/>
        <v>0</v>
      </c>
      <c r="R31" s="173">
        <f t="shared" si="21"/>
        <v>2</v>
      </c>
      <c r="S31" s="173">
        <f t="shared" si="21"/>
        <v>2</v>
      </c>
      <c r="T31" s="173">
        <f t="shared" si="21"/>
        <v>2</v>
      </c>
      <c r="U31" s="173">
        <f t="shared" si="21"/>
        <v>2</v>
      </c>
      <c r="V31" s="173">
        <f t="shared" si="21"/>
        <v>6</v>
      </c>
      <c r="W31" s="175">
        <f>IF(P31=2,'A.0_Tablas salariales SC'!$P$9,(IF(P31=6,'A.0_Tablas salariales SC'!$P$10,IF(P31=10,'A.0_Tablas salariales SC'!$P$11,IF(P31=14,'A.0_Tablas salariales SC'!$P$12,IF(P31=18,'A.0_Tablas salariales SC'!$P$13,IF(P31=20,'A.0_Tablas salariales SC'!$P$14,IF(P31=22,'A.0_Tablas salariales SC'!$P$15,IF(P31=24,'A.0_Tablas salariales SC'!$P$16,IF(P31=26,'A.0_Tablas salariales SC'!$P$17,IF(P31=28,'A.0_Tablas salariales SC'!$P$18,0)))))))))))</f>
        <v>0</v>
      </c>
      <c r="X31" s="175">
        <f>IF(Q31=2,'A.0_Tablas salariales SC'!$P$36,(IF(Q31=6,'A.0_Tablas salariales SC'!$P$37,IF(Q31=10,'A.0_Tablas salariales SC'!$P$38,IF(Q31=14,'A.0_Tablas salariales SC'!$P$39,IF(Q31=18,'A.0_Tablas salariales SC'!$P$40,IF(Q31=20,'A.0_Tablas salariales SC'!$P$41,IF(Q31=22,'A.0_Tablas salariales SC'!$P$42,IF(Q31=24,'A.0_Tablas salariales SC'!$P$43,IF(Q31=26,'A.0_Tablas salariales SC'!$P$44,IF(Q31=28,'A.0_Tablas salariales SC'!$P$45,0)))))))))))</f>
        <v>0</v>
      </c>
      <c r="Y31" s="175">
        <f>IF(R31=2,'A.0_Tablas salariales SC'!$P$63,(IF(R31=6,'A.0_Tablas salariales SC'!$P$64,IF(R31=10,'A.0_Tablas salariales SC'!$P$65,IF(R31=14,'A.0_Tablas salariales SC'!$P$66,IF(R31=18,'A.0_Tablas salariales SC'!$P$67,IF(R31=20,'A.0_Tablas salariales SC'!$P$68,IF(R31=22,'A.0_Tablas salariales SC'!$P$69,IF(R31=24,'A.0_Tablas salariales SC'!$P$70,IF(R31=26,'A.0_Tablas salariales SC'!$P$71,IF(R31=28,'A.0_Tablas salariales SC'!$P$72,0)))))))))))</f>
        <v>28.91</v>
      </c>
      <c r="Z31" s="175">
        <f>IF(S31=2,'A.0_Tablas salariales SC'!$P$90,(IF(S31=6,'A.0_Tablas salariales SC'!$P$91,IF(S31=10,'A.0_Tablas salariales SC'!$P$92,IF(S31=14,'A.0_Tablas salariales SC'!$P$93,IF(S31=18,'A.0_Tablas salariales SC'!$P$94,IF(S31=20,'A.0_Tablas salariales SC'!$P$95,IF(S31=22,'A.0_Tablas salariales SC'!$P$96,IF(S31=24,'A.0_Tablas salariales SC'!$P$97,IF(S31=26,'A.0_Tablas salariales SC'!$P$98,IF(S31=28,'A.0_Tablas salariales SC'!$P$99,0)))))))))))</f>
        <v>30.22</v>
      </c>
      <c r="AA31" s="175">
        <f>IF(T31=2,'A.0_Tablas salariales SC'!$P$117,(IF(T31=6,'A.0_Tablas salariales SC'!$P$118,IF(T31=10,'A.0_Tablas salariales SC'!$P$119,IF(T31=14,'A.0_Tablas salariales SC'!$P$120,IF(T31=18,'A.0_Tablas salariales SC'!$P$121,IF(T31=20,'A.0_Tablas salariales SC'!$P$122,IF(T31=22,'A.0_Tablas salariales SC'!$P$123,IF(T31=24,'A.0_Tablas salariales SC'!$P$124,IF(T31=26,'A.0_Tablas salariales SC'!$P$125,IF(T31=28,'A.0_Tablas salariales SC'!$P$126,0)))))))))))</f>
        <v>31.73</v>
      </c>
      <c r="AB31" s="175">
        <f>IF(U31=2,'A.0_Tablas salariales SC'!$P$145,(IF(U31=6,'A.0_Tablas salariales SC'!$P$146,IF(U31=10,'A.0_Tablas salariales SC'!$P$147,IF(U31=14,'A.0_Tablas salariales SC'!$P$148,IF(U31=18,'A.0_Tablas salariales SC'!$P$149,IF(U31=20,'A.0_Tablas salariales SC'!$P$150,IF(U31=22,'A.0_Tablas salariales SC'!$P$151,IF(U31=24,'A.0_Tablas salariales SC'!$P$152,IF(U31=26,'A.0_Tablas salariales SC'!$P$153,IF(U31=28,'A.0_Tablas salariales SC'!$P$154,0)))))))))))</f>
        <v>32.681899999999999</v>
      </c>
      <c r="AC31" s="175">
        <f>IF(V31=2,'A.0_Tablas salariales SC'!$P$173,(IF(V31=6,'A.0_Tablas salariales SC'!$P$174,IF(V31=10,'A.0_Tablas salariales SC'!$P$175,IF(V31=14,'A.0_Tablas salariales SC'!$P$176,IF(V31=18,'A.0_Tablas salariales SC'!$P$177,IF(V31=20,'A.0_Tablas salariales SC'!$P$178,IF(V31=22,'A.0_Tablas salariales SC'!$P$179,IF(V31=24,'A.0_Tablas salariales SC'!$P$180,IF(V31=26,'A.0_Tablas salariales SC'!$P$181,IF(V31=28,'A.0_Tablas salariales SC'!$P$182,0)))))))))))</f>
        <v>93.295546000000002</v>
      </c>
    </row>
    <row r="32" spans="1:29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</row>
    <row r="33" spans="1:29" ht="7.8" customHeight="1">
      <c r="B33" s="52"/>
      <c r="C33" s="51"/>
      <c r="D33" s="51"/>
      <c r="E33" s="171"/>
      <c r="F33" s="172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5"/>
      <c r="X33" s="175"/>
      <c r="Y33" s="175"/>
      <c r="Z33" s="175"/>
      <c r="AA33" s="175"/>
      <c r="AB33" s="175"/>
      <c r="AC33" s="175"/>
    </row>
    <row r="34" spans="1:29">
      <c r="A34" s="421"/>
      <c r="B34" s="426"/>
      <c r="C34" s="421"/>
      <c r="D34" s="421"/>
      <c r="E34" s="421"/>
      <c r="F34" s="421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</row>
    <row r="35" spans="1:29">
      <c r="B35" s="151" t="s">
        <v>195</v>
      </c>
      <c r="E35" s="47" t="s">
        <v>195</v>
      </c>
    </row>
  </sheetData>
  <mergeCells count="2">
    <mergeCell ref="A1:AC1"/>
    <mergeCell ref="C5:E5"/>
  </mergeCells>
  <conditionalFormatting sqref="I6:AC6 I8:AC8 I10:AC10 I12:AC13 I15:AC16 I18:AC22 I24:AC28 I30:AC31 I33:AC33">
    <cfRule type="cellIs" dxfId="63" priority="1" operator="equal">
      <formula>0</formula>
    </cfRule>
  </conditionalFormatting>
  <pageMargins left="0.75" right="0.75" top="1" bottom="1" header="0" footer="0"/>
  <pageSetup paperSize="9" scale="51" orientation="landscape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488A-D243-40B0-A382-B3318EEE2059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5" sqref="N5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1021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915</v>
      </c>
      <c r="I3" s="241" t="s">
        <v>916</v>
      </c>
      <c r="J3" s="241" t="s">
        <v>917</v>
      </c>
      <c r="K3" s="241" t="s">
        <v>1001</v>
      </c>
      <c r="L3" s="241" t="s">
        <v>1103</v>
      </c>
      <c r="M3" s="241" t="s">
        <v>918</v>
      </c>
      <c r="N3" s="241" t="s">
        <v>919</v>
      </c>
      <c r="O3" s="241" t="s">
        <v>920</v>
      </c>
      <c r="P3" s="241" t="s">
        <v>921</v>
      </c>
      <c r="Q3" s="241" t="s">
        <v>922</v>
      </c>
      <c r="R3" s="241" t="s">
        <v>923</v>
      </c>
      <c r="S3" s="241" t="s">
        <v>924</v>
      </c>
      <c r="T3" s="241" t="s">
        <v>925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v>1</v>
      </c>
      <c r="L4" s="93">
        <v>1</v>
      </c>
      <c r="M4" s="93">
        <v>1</v>
      </c>
      <c r="N4" s="93"/>
      <c r="O4" s="93"/>
      <c r="P4" s="93"/>
      <c r="Q4" s="93"/>
      <c r="R4" s="93"/>
      <c r="S4" s="93"/>
      <c r="T4" s="93"/>
    </row>
    <row r="5" spans="1:20">
      <c r="A5" s="176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46023</v>
      </c>
      <c r="F5" s="171"/>
      <c r="G5" s="182">
        <f>'A.2.Plantilla_NuevaContratacion'!F5</f>
        <v>1</v>
      </c>
      <c r="H5" s="181"/>
      <c r="I5" s="183"/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0</v>
      </c>
      <c r="O5" s="183">
        <f>'A.0_Tablas salariales SC'!$K$9</f>
        <v>20186.149999999998</v>
      </c>
      <c r="P5" s="183">
        <f>(O5+N5)*G5+'A.0_Tablas salariales SC'!$R$28*(100%-G5)</f>
        <v>20186.149999999998</v>
      </c>
      <c r="Q5" s="184">
        <f>IF(D5=100,'A.0_Tablas salariales SC'!$C$215,IF(D5=150,'A.0_Tablas salariales SC'!$C$216,IF(D5=189,'A.0_Tablas salariales SC'!$C$217,IF(D5=400,'A.0_Tablas salariales SC'!$C$218,IF(D5=450,'A.0_Tablas salariales SC'!$C$219,IF(D5=401,'A.0_Tablas salariales SC'!$C$220,IF(D5=451,'A.0_Tablas salariales SC'!$C$221,'A.0_Tablas salariales SC'!$C$215)))))))</f>
        <v>0.34250000000000003</v>
      </c>
      <c r="R5" s="183">
        <f>Q5*P5</f>
        <v>6913.7563749999999</v>
      </c>
      <c r="S5" s="183">
        <f>(R5+P5)*A5</f>
        <v>0</v>
      </c>
      <c r="T5" s="179"/>
    </row>
    <row r="6" spans="1:20">
      <c r="A6" s="174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7"/>
      <c r="M6" s="174"/>
      <c r="N6" s="174"/>
      <c r="O6" s="174"/>
      <c r="P6" s="174"/>
      <c r="Q6" s="174"/>
      <c r="R6" s="174"/>
      <c r="S6" s="174"/>
      <c r="T6" s="180">
        <f>SUM(S5)</f>
        <v>0</v>
      </c>
    </row>
    <row r="7" spans="1:20">
      <c r="A7" s="176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46023</v>
      </c>
      <c r="F7" s="171"/>
      <c r="G7" s="182">
        <f>'A.2.Plantilla_NuevaContratacion'!F7</f>
        <v>1</v>
      </c>
      <c r="H7" s="181"/>
      <c r="I7" s="183"/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 t="shared" ref="N7:N30" si="0">I7*$I$4+J7*$J$4+K7*$K$4+$M$4*M7+L7*$L$4</f>
        <v>0</v>
      </c>
      <c r="O7" s="183">
        <f>'A.0_Tablas salariales SC'!K10</f>
        <v>21211.55</v>
      </c>
      <c r="P7" s="183">
        <f>(O7+N7)*G7+'A.0_Tablas salariales SC'!$R$28*(100%-G7)</f>
        <v>21211.55</v>
      </c>
      <c r="Q7" s="184">
        <f>IF(D7=100,'A.0_Tablas salariales SC'!$C$215,IF(D7=150,'A.0_Tablas salariales SC'!$C$216,IF(D7=189,'A.0_Tablas salariales SC'!$C$217,IF(D7=400,'A.0_Tablas salariales SC'!$C$218,IF(D7=450,'A.0_Tablas salariales SC'!$C$219,IF(D7=401,'A.0_Tablas salariales SC'!$C$220,IF(D7=451,'A.0_Tablas salariales SC'!$C$221,'A.0_Tablas salariales SC'!$C$215)))))))</f>
        <v>0.34250000000000003</v>
      </c>
      <c r="R7" s="183">
        <f t="shared" ref="R7:R24" si="1">Q7*P7</f>
        <v>7264.9558750000006</v>
      </c>
      <c r="S7" s="183">
        <f t="shared" ref="S7:S24" si="2">(R7+P7)*A7</f>
        <v>0</v>
      </c>
      <c r="T7" s="179"/>
    </row>
    <row r="8" spans="1:20">
      <c r="A8" s="174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7"/>
      <c r="M8" s="174"/>
      <c r="N8" s="174"/>
      <c r="O8" s="174"/>
      <c r="P8" s="174"/>
      <c r="Q8" s="174"/>
      <c r="R8" s="174"/>
      <c r="S8" s="174"/>
      <c r="T8" s="180">
        <f>SUM(S7)</f>
        <v>0</v>
      </c>
    </row>
    <row r="9" spans="1:20">
      <c r="A9" s="176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46023</v>
      </c>
      <c r="F9" s="171"/>
      <c r="G9" s="182">
        <f>'A.2.Plantilla_NuevaContratacion'!F9</f>
        <v>1</v>
      </c>
      <c r="H9" s="181"/>
      <c r="I9" s="183"/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 t="shared" si="0"/>
        <v>0</v>
      </c>
      <c r="O9" s="183">
        <f>'A.0_Tablas salariales SC'!K13</f>
        <v>22010.9</v>
      </c>
      <c r="P9" s="183">
        <f>(O9+N9)*G9+'A.0_Tablas salariales SC'!$R$28*(100%-G9)</f>
        <v>22010.9</v>
      </c>
      <c r="Q9" s="184">
        <f>IF(D9=100,'A.0_Tablas salariales SC'!$C$215,IF(D9=150,'A.0_Tablas salariales SC'!$C$216,IF(D9=189,'A.0_Tablas salariales SC'!$C$217,IF(D9=400,'A.0_Tablas salariales SC'!$C$218,IF(D9=450,'A.0_Tablas salariales SC'!$C$219,IF(D9=401,'A.0_Tablas salariales SC'!$C$220,IF(D9=451,'A.0_Tablas salariales SC'!$C$221,'A.0_Tablas salariales SC'!$C$215)))))))</f>
        <v>0.34250000000000003</v>
      </c>
      <c r="R9" s="183">
        <f t="shared" si="1"/>
        <v>7538.7332500000011</v>
      </c>
      <c r="S9" s="183">
        <f t="shared" si="2"/>
        <v>0</v>
      </c>
      <c r="T9" s="179"/>
    </row>
    <row r="10" spans="1:20">
      <c r="A10" s="174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7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176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46023</v>
      </c>
      <c r="F11" s="171"/>
      <c r="G11" s="182">
        <f>'A.2.Plantilla_NuevaContratacion'!F11</f>
        <v>1</v>
      </c>
      <c r="H11" s="181"/>
      <c r="I11" s="183"/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 t="shared" si="0"/>
        <v>0</v>
      </c>
      <c r="O11" s="183">
        <f>'A.0_Tablas salariales SC'!K14</f>
        <v>23036.149999999994</v>
      </c>
      <c r="P11" s="183">
        <f>(O11+N11)*G11+'A.0_Tablas salariales SC'!$R$28*(100%-G11)</f>
        <v>23036.149999999994</v>
      </c>
      <c r="Q11" s="184">
        <f>IF(D11=100,'A.0_Tablas salariales SC'!$C$215,IF(D11=150,'A.0_Tablas salariales SC'!$C$216,IF(D11=189,'A.0_Tablas salariales SC'!$C$217,IF(D11=400,'A.0_Tablas salariales SC'!$C$218,IF(D11=450,'A.0_Tablas salariales SC'!$C$219,IF(D11=401,'A.0_Tablas salariales SC'!$C$220,IF(D11=451,'A.0_Tablas salariales SC'!$C$221,'A.0_Tablas salariales SC'!$C$215)))))))</f>
        <v>0.34250000000000003</v>
      </c>
      <c r="R11" s="183">
        <f t="shared" si="1"/>
        <v>7889.881374999999</v>
      </c>
      <c r="S11" s="183">
        <f t="shared" si="2"/>
        <v>0</v>
      </c>
      <c r="T11" s="179"/>
    </row>
    <row r="12" spans="1:20">
      <c r="A12" s="176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46023</v>
      </c>
      <c r="F12" s="171"/>
      <c r="G12" s="182">
        <f>'A.2.Plantilla_NuevaContratacion'!F12</f>
        <v>1</v>
      </c>
      <c r="H12" s="181"/>
      <c r="I12" s="183"/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 t="shared" si="0"/>
        <v>0</v>
      </c>
      <c r="O12" s="183">
        <f>'A.0_Tablas salariales SC'!K15</f>
        <v>23036.149999999994</v>
      </c>
      <c r="P12" s="183">
        <f>(O12+N12)*G12+'A.0_Tablas salariales SC'!$R$28*(100%-G12)</f>
        <v>23036.149999999994</v>
      </c>
      <c r="Q12" s="492">
        <f>IF(D12=100,'A.0_Tablas salariales SC'!$C$227,IF(D12=150,'A.0_Tablas salariales SC'!$C$228,IF(D12=189,'A.0_Tablas salariales SC'!$C$229,IF(D12=400,'A.0_Tablas salariales SC'!$C$230,IF(D12=450,'A.0_Tablas salariales SC'!$C$231,IF(D12=401,'A.0_Tablas salariales SC'!$C$232,IF(D12=451,'A.0_Tablas salariales SC'!$C$233,'A.0_Tablas salariales SC'!$C$227)))))))</f>
        <v>0.3735</v>
      </c>
      <c r="R12" s="183">
        <f t="shared" si="1"/>
        <v>8604.002024999998</v>
      </c>
      <c r="S12" s="183">
        <f t="shared" si="2"/>
        <v>0</v>
      </c>
      <c r="T12" s="179"/>
    </row>
    <row r="13" spans="1:20">
      <c r="A13" s="174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7"/>
      <c r="M13" s="174"/>
      <c r="N13" s="174"/>
      <c r="O13" s="174"/>
      <c r="P13" s="174"/>
      <c r="Q13" s="174"/>
      <c r="R13" s="174"/>
      <c r="S13" s="174"/>
      <c r="T13" s="180">
        <f>SUM(S11:S12)</f>
        <v>0</v>
      </c>
    </row>
    <row r="14" spans="1:20">
      <c r="A14" s="176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46023</v>
      </c>
      <c r="F14" s="171"/>
      <c r="G14" s="182">
        <f>'A.2.Plantilla_NuevaContratacion'!F14</f>
        <v>1</v>
      </c>
      <c r="H14" s="181"/>
      <c r="I14" s="183"/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 t="shared" si="0"/>
        <v>0</v>
      </c>
      <c r="O14" s="183">
        <f>'A.0_Tablas salariales SC'!K17</f>
        <v>23974.850000000002</v>
      </c>
      <c r="P14" s="183">
        <f>(O14+N14)*G14+'A.0_Tablas salariales SC'!$R$28*(100%-G14)</f>
        <v>23974.850000000002</v>
      </c>
      <c r="Q14" s="184">
        <f>IF(D14=100,'A.0_Tablas salariales SC'!$C$215,IF(D14=150,'A.0_Tablas salariales SC'!$C$216,IF(D14=189,'A.0_Tablas salariales SC'!$C$217,IF(D14=400,'A.0_Tablas salariales SC'!$C$218,IF(D14=450,'A.0_Tablas salariales SC'!$C$219,IF(D14=401,'A.0_Tablas salariales SC'!$C$220,IF(D14=451,'A.0_Tablas salariales SC'!$C$221,'A.0_Tablas salariales SC'!$C$215)))))))</f>
        <v>0.34250000000000003</v>
      </c>
      <c r="R14" s="183">
        <f t="shared" si="1"/>
        <v>8211.3861250000009</v>
      </c>
      <c r="S14" s="183">
        <f t="shared" si="2"/>
        <v>0</v>
      </c>
      <c r="T14" s="179"/>
    </row>
    <row r="15" spans="1:20">
      <c r="A15" s="176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46023</v>
      </c>
      <c r="F15" s="171"/>
      <c r="G15" s="182">
        <f>'A.2.Plantilla_NuevaContratacion'!F15</f>
        <v>1</v>
      </c>
      <c r="H15" s="181"/>
      <c r="I15" s="183"/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 t="shared" si="0"/>
        <v>0</v>
      </c>
      <c r="O15" s="183">
        <f>'A.0_Tablas salariales SC'!K16</f>
        <v>23974.850000000002</v>
      </c>
      <c r="P15" s="183">
        <f>(O15+N15)*G15+'A.0_Tablas salariales SC'!$R$28*(100%-G15)</f>
        <v>23974.850000000002</v>
      </c>
      <c r="Q15" s="184">
        <f>IF(D15=100,'A.0_Tablas salariales SC'!$C$215,IF(D15=150,'A.0_Tablas salariales SC'!$C$216,IF(D15=189,'A.0_Tablas salariales SC'!$C$217,IF(D15=400,'A.0_Tablas salariales SC'!$C$218,IF(D15=450,'A.0_Tablas salariales SC'!$C$219,IF(D15=401,'A.0_Tablas salariales SC'!$C$220,IF(D15=451,'A.0_Tablas salariales SC'!$C$221,'A.0_Tablas salariales SC'!$C$215)))))))</f>
        <v>0.34250000000000003</v>
      </c>
      <c r="R15" s="183">
        <f t="shared" si="1"/>
        <v>8211.3861250000009</v>
      </c>
      <c r="S15" s="183">
        <f t="shared" si="2"/>
        <v>0</v>
      </c>
      <c r="T15" s="179"/>
    </row>
    <row r="16" spans="1:20">
      <c r="A16" s="174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7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176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46023</v>
      </c>
      <c r="F17" s="171"/>
      <c r="G17" s="182">
        <f>'A.2.Plantilla_NuevaContratacion'!F17</f>
        <v>1</v>
      </c>
      <c r="H17" s="181"/>
      <c r="I17" s="183"/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 t="shared" si="0"/>
        <v>0</v>
      </c>
      <c r="O17" s="183">
        <f>'A.0_Tablas salariales SC'!K24</f>
        <v>29257.099999999991</v>
      </c>
      <c r="P17" s="183">
        <f>(O17+N17)*G17+'A.0_Tablas salariales SC'!$R$28*(100%-G17)</f>
        <v>29257.099999999991</v>
      </c>
      <c r="Q17" s="184">
        <f>IF(D17=100,'A.0_Tablas salariales SC'!$C$215,IF(D17=150,'A.0_Tablas salariales SC'!$C$216,IF(D17=189,'A.0_Tablas salariales SC'!$C$217,IF(D17=400,'A.0_Tablas salariales SC'!$C$218,IF(D17=450,'A.0_Tablas salariales SC'!$C$219,IF(D17=401,'A.0_Tablas salariales SC'!$C$220,IF(D17=451,'A.0_Tablas salariales SC'!$C$221,'A.0_Tablas salariales SC'!$C$215)))))))</f>
        <v>0.34250000000000003</v>
      </c>
      <c r="R17" s="183">
        <f t="shared" si="1"/>
        <v>10020.556749999998</v>
      </c>
      <c r="S17" s="183">
        <f t="shared" si="2"/>
        <v>0</v>
      </c>
      <c r="T17" s="179"/>
    </row>
    <row r="18" spans="1:20">
      <c r="A18" s="176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46023</v>
      </c>
      <c r="F18" s="171"/>
      <c r="G18" s="182">
        <f>'A.2.Plantilla_NuevaContratacion'!F18</f>
        <v>1</v>
      </c>
      <c r="H18" s="181"/>
      <c r="I18" s="183"/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 t="shared" si="0"/>
        <v>0</v>
      </c>
      <c r="O18" s="183">
        <f>'A.0_Tablas salariales SC'!K25</f>
        <v>26078</v>
      </c>
      <c r="P18" s="183">
        <f>(O18+N18)*G18+'A.0_Tablas salariales SC'!$R$28*(100%-G18)</f>
        <v>26078</v>
      </c>
      <c r="Q18" s="184">
        <f>IF(D18=100,'A.0_Tablas salariales SC'!$C$215,IF(D18=150,'A.0_Tablas salariales SC'!$C$216,IF(D18=189,'A.0_Tablas salariales SC'!$C$217,IF(D18=400,'A.0_Tablas salariales SC'!$C$218,IF(D18=450,'A.0_Tablas salariales SC'!$C$219,IF(D18=401,'A.0_Tablas salariales SC'!$C$220,IF(D18=451,'A.0_Tablas salariales SC'!$C$221,'A.0_Tablas salariales SC'!$C$215)))))))</f>
        <v>0.34250000000000003</v>
      </c>
      <c r="R18" s="183">
        <f t="shared" ref="R18:R23" si="3">Q18*P18</f>
        <v>8931.7150000000001</v>
      </c>
      <c r="S18" s="183">
        <f t="shared" ref="S18:S23" si="4">(R18+P18)*A18</f>
        <v>0</v>
      </c>
      <c r="T18" s="179"/>
    </row>
    <row r="19" spans="1:20">
      <c r="A19" s="176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46023</v>
      </c>
      <c r="F19" s="171"/>
      <c r="G19" s="182">
        <f>'A.2.Plantilla_NuevaContratacion'!F19</f>
        <v>1</v>
      </c>
      <c r="H19" s="181"/>
      <c r="I19" s="183"/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 t="shared" si="0"/>
        <v>0</v>
      </c>
      <c r="O19" s="183">
        <f>'A.0_Tablas salariales SC'!K26</f>
        <v>28168.7</v>
      </c>
      <c r="P19" s="183">
        <f>(O19+N19)*G19+'A.0_Tablas salariales SC'!$R$28*(100%-G19)</f>
        <v>28168.7</v>
      </c>
      <c r="Q19" s="184">
        <f>IF(D19=100,'A.0_Tablas salariales SC'!$C$215,IF(D19=150,'A.0_Tablas salariales SC'!$C$216,IF(D19=189,'A.0_Tablas salariales SC'!$C$217,IF(D19=400,'A.0_Tablas salariales SC'!$C$218,IF(D19=450,'A.0_Tablas salariales SC'!$C$219,IF(D19=401,'A.0_Tablas salariales SC'!$C$220,IF(D19=451,'A.0_Tablas salariales SC'!$C$221,'A.0_Tablas salariales SC'!$C$215)))))))</f>
        <v>0.34250000000000003</v>
      </c>
      <c r="R19" s="183">
        <f t="shared" si="3"/>
        <v>9647.7797500000015</v>
      </c>
      <c r="S19" s="183">
        <f t="shared" si="4"/>
        <v>0</v>
      </c>
      <c r="T19" s="179"/>
    </row>
    <row r="20" spans="1:20">
      <c r="A20" s="176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46023</v>
      </c>
      <c r="F20" s="171"/>
      <c r="G20" s="182">
        <f>'A.2.Plantilla_NuevaContratacion'!F20</f>
        <v>1</v>
      </c>
      <c r="H20" s="181"/>
      <c r="I20" s="183"/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 t="shared" si="0"/>
        <v>0</v>
      </c>
      <c r="O20" s="183">
        <f>'A.0_Tablas salariales SC'!K27</f>
        <v>30074.149999999998</v>
      </c>
      <c r="P20" s="183">
        <f>(O20+N20)*G20+'A.0_Tablas salariales SC'!$R$28*(100%-G20)</f>
        <v>30074.149999999998</v>
      </c>
      <c r="Q20" s="184">
        <f>IF(D20=100,'A.0_Tablas salariales SC'!$C$215,IF(D20=150,'A.0_Tablas salariales SC'!$C$216,IF(D20=189,'A.0_Tablas salariales SC'!$C$217,IF(D20=400,'A.0_Tablas salariales SC'!$C$218,IF(D20=450,'A.0_Tablas salariales SC'!$C$219,IF(D20=401,'A.0_Tablas salariales SC'!$C$220,IF(D20=451,'A.0_Tablas salariales SC'!$C$221,'A.0_Tablas salariales SC'!$C$215)))))))</f>
        <v>0.34250000000000003</v>
      </c>
      <c r="R20" s="183">
        <f t="shared" si="3"/>
        <v>10300.396375</v>
      </c>
      <c r="S20" s="183">
        <f t="shared" si="4"/>
        <v>0</v>
      </c>
      <c r="T20" s="179"/>
    </row>
    <row r="21" spans="1:20">
      <c r="A21" s="176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46023</v>
      </c>
      <c r="F21" s="171"/>
      <c r="G21" s="182">
        <f>'A.2.Plantilla_NuevaContratacion'!F21</f>
        <v>1</v>
      </c>
      <c r="H21" s="181"/>
      <c r="I21" s="183"/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 t="shared" si="0"/>
        <v>0</v>
      </c>
      <c r="O21" s="183">
        <f>'A.0_Tablas salariales SC'!K28</f>
        <v>34071.049999999996</v>
      </c>
      <c r="P21" s="183">
        <f>(O21+N21)*G21+'A.0_Tablas salariales SC'!$R$28*(100%-G21)</f>
        <v>34071.049999999996</v>
      </c>
      <c r="Q21" s="184">
        <f>IF(D21=100,'A.0_Tablas salariales SC'!$C$215,IF(D21=150,'A.0_Tablas salariales SC'!$C$216,IF(D21=189,'A.0_Tablas salariales SC'!$C$217,IF(D21=400,'A.0_Tablas salariales SC'!$C$218,IF(D21=450,'A.0_Tablas salariales SC'!$C$219,IF(D21=401,'A.0_Tablas salariales SC'!$C$220,IF(D21=451,'A.0_Tablas salariales SC'!$C$221,'A.0_Tablas salariales SC'!$C$215)))))))</f>
        <v>0.34250000000000003</v>
      </c>
      <c r="R21" s="183">
        <f t="shared" si="3"/>
        <v>11669.334625</v>
      </c>
      <c r="S21" s="183">
        <f t="shared" si="4"/>
        <v>0</v>
      </c>
      <c r="T21" s="179"/>
    </row>
    <row r="22" spans="1:20">
      <c r="A22" s="174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7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176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46023</v>
      </c>
      <c r="F23" s="171"/>
      <c r="G23" s="182">
        <f>'A.2.Plantilla_NuevaContratacion'!F23</f>
        <v>1</v>
      </c>
      <c r="H23" s="181"/>
      <c r="I23" s="183"/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 t="shared" si="0"/>
        <v>0</v>
      </c>
      <c r="O23" s="183">
        <f>'A.0_Tablas salariales SC'!K18</f>
        <v>17122.100000000002</v>
      </c>
      <c r="P23" s="183">
        <f>(O23+N23)*G23+'A.0_Tablas salariales SC'!$R$28*(100%-G23)</f>
        <v>17122.100000000002</v>
      </c>
      <c r="Q23" s="184">
        <f>IF(D23=100,'A.0_Tablas salariales SC'!$C$215,IF(D23=150,'A.0_Tablas salariales SC'!$C$216,IF(D23=189,'A.0_Tablas salariales SC'!$C$217,IF(D23=400,'A.0_Tablas salariales SC'!$C$218,IF(D23=450,'A.0_Tablas salariales SC'!$C$219,IF(D23=401,'A.0_Tablas salariales SC'!$C$220,IF(D23=451,'A.0_Tablas salariales SC'!$C$221,'A.0_Tablas salariales SC'!$C$215)))))))</f>
        <v>0.34250000000000003</v>
      </c>
      <c r="R23" s="183">
        <f t="shared" si="3"/>
        <v>5864.3192500000014</v>
      </c>
      <c r="S23" s="183">
        <f t="shared" si="4"/>
        <v>0</v>
      </c>
      <c r="T23" s="179"/>
    </row>
    <row r="24" spans="1:20">
      <c r="A24" s="176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46023</v>
      </c>
      <c r="F24" s="171"/>
      <c r="G24" s="182">
        <f>'A.2.Plantilla_NuevaContratacion'!F24</f>
        <v>1</v>
      </c>
      <c r="H24" s="181"/>
      <c r="I24" s="183"/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 t="shared" si="0"/>
        <v>0</v>
      </c>
      <c r="O24" s="183">
        <f>'A.0_Tablas salariales SC'!K20</f>
        <v>22080.5</v>
      </c>
      <c r="P24" s="183">
        <f>(O24+N24)*G24+'A.0_Tablas salariales SC'!$R$28*(100%-G24)</f>
        <v>22080.5</v>
      </c>
      <c r="Q24" s="184">
        <f>IF(D24=100,'A.0_Tablas salariales SC'!$C$215,IF(D24=150,'A.0_Tablas salariales SC'!$C$216,IF(D24=189,'A.0_Tablas salariales SC'!$C$217,IF(D24=400,'A.0_Tablas salariales SC'!$C$218,IF(D24=450,'A.0_Tablas salariales SC'!$C$219,IF(D24=401,'A.0_Tablas salariales SC'!$C$220,IF(D24=451,'A.0_Tablas salariales SC'!$C$221,'A.0_Tablas salariales SC'!$C$215)))))))</f>
        <v>0.34250000000000003</v>
      </c>
      <c r="R24" s="183">
        <f t="shared" si="1"/>
        <v>7562.5712500000009</v>
      </c>
      <c r="S24" s="183">
        <f t="shared" si="2"/>
        <v>0</v>
      </c>
      <c r="T24" s="179"/>
    </row>
    <row r="25" spans="1:20">
      <c r="A25" s="176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46023</v>
      </c>
      <c r="F25" s="171"/>
      <c r="G25" s="182">
        <f>'A.2.Plantilla_NuevaContratacion'!F25</f>
        <v>1</v>
      </c>
      <c r="H25" s="181"/>
      <c r="I25" s="183"/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 t="shared" si="0"/>
        <v>0</v>
      </c>
      <c r="O25" s="183">
        <f>'A.0_Tablas salariales SC'!K21</f>
        <v>22954.55</v>
      </c>
      <c r="P25" s="183">
        <f>(O25+N25)*G25+'A.0_Tablas salariales SC'!$R$28*(100%-G25)</f>
        <v>22954.55</v>
      </c>
      <c r="Q25" s="184">
        <f>IF(D25=100,'A.0_Tablas salariales SC'!$C$215,IF(D25=150,'A.0_Tablas salariales SC'!$C$216,IF(D25=189,'A.0_Tablas salariales SC'!$C$217,IF(D25=400,'A.0_Tablas salariales SC'!$C$218,IF(D25=450,'A.0_Tablas salariales SC'!$C$219,IF(D25=401,'A.0_Tablas salariales SC'!$C$220,IF(D25=451,'A.0_Tablas salariales SC'!$C$221,'A.0_Tablas salariales SC'!$C$215)))))))</f>
        <v>0.34250000000000003</v>
      </c>
      <c r="R25" s="183">
        <f t="shared" ref="R25:R30" si="5">Q25*P25</f>
        <v>7861.9333750000005</v>
      </c>
      <c r="S25" s="183">
        <f t="shared" ref="S25:S30" si="6">(R25+P25)*A25</f>
        <v>0</v>
      </c>
      <c r="T25" s="179"/>
    </row>
    <row r="26" spans="1:20">
      <c r="A26" s="176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46023</v>
      </c>
      <c r="F26" s="171"/>
      <c r="G26" s="182">
        <f>'A.2.Plantilla_NuevaContratacion'!F26</f>
        <v>1</v>
      </c>
      <c r="H26" s="181"/>
      <c r="I26" s="183"/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 t="shared" si="0"/>
        <v>0</v>
      </c>
      <c r="O26" s="183">
        <f>'A.0_Tablas salariales SC'!K22</f>
        <v>24530.749999999993</v>
      </c>
      <c r="P26" s="183">
        <f>(O26+N26)*G26+'A.0_Tablas salariales SC'!$R$28*(100%-G26)</f>
        <v>24530.749999999993</v>
      </c>
      <c r="Q26" s="184">
        <f>IF(D26=100,'A.0_Tablas salariales SC'!$C$215,IF(D26=150,'A.0_Tablas salariales SC'!$C$216,IF(D26=189,'A.0_Tablas salariales SC'!$C$217,IF(D26=400,'A.0_Tablas salariales SC'!$C$218,IF(D26=450,'A.0_Tablas salariales SC'!$C$219,IF(D26=401,'A.0_Tablas salariales SC'!$C$220,IF(D26=451,'A.0_Tablas salariales SC'!$C$221,'A.0_Tablas salariales SC'!$C$215)))))))</f>
        <v>0.34250000000000003</v>
      </c>
      <c r="R26" s="183">
        <f t="shared" si="5"/>
        <v>8401.7818749999988</v>
      </c>
      <c r="S26" s="183">
        <f t="shared" si="6"/>
        <v>0</v>
      </c>
      <c r="T26" s="179"/>
    </row>
    <row r="27" spans="1:20">
      <c r="A27" s="176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46023</v>
      </c>
      <c r="F27" s="171"/>
      <c r="G27" s="182">
        <f>'A.2.Plantilla_NuevaContratacion'!F27</f>
        <v>1</v>
      </c>
      <c r="H27" s="181"/>
      <c r="I27" s="183"/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 t="shared" si="0"/>
        <v>0</v>
      </c>
      <c r="O27" s="183">
        <f>'A.0_Tablas salariales SC'!K23</f>
        <v>25938.349999999991</v>
      </c>
      <c r="P27" s="183">
        <f>(O27+N27)*G27+'A.0_Tablas salariales SC'!$R$28*(100%-G27)</f>
        <v>25938.349999999991</v>
      </c>
      <c r="Q27" s="184">
        <f>IF(D27=100,'A.0_Tablas salariales SC'!$C$215,IF(D27=150,'A.0_Tablas salariales SC'!$C$216,IF(D27=189,'A.0_Tablas salariales SC'!$C$217,IF(D27=400,'A.0_Tablas salariales SC'!$C$218,IF(D27=450,'A.0_Tablas salariales SC'!$C$219,IF(D27=401,'A.0_Tablas salariales SC'!$C$220,IF(D27=451,'A.0_Tablas salariales SC'!$C$221,'A.0_Tablas salariales SC'!$C$215)))))))</f>
        <v>0.34250000000000003</v>
      </c>
      <c r="R27" s="183">
        <f t="shared" si="5"/>
        <v>8883.8848749999979</v>
      </c>
      <c r="S27" s="183">
        <f t="shared" si="6"/>
        <v>0</v>
      </c>
      <c r="T27" s="179"/>
    </row>
    <row r="28" spans="1:20">
      <c r="A28" s="174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7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176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46023</v>
      </c>
      <c r="F29" s="171"/>
      <c r="G29" s="182">
        <f>'A.2.Plantilla_NuevaContratacion'!F29</f>
        <v>1</v>
      </c>
      <c r="H29" s="181"/>
      <c r="I29" s="183"/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 t="shared" si="0"/>
        <v>0</v>
      </c>
      <c r="O29" s="183">
        <f>'A.0_Tablas salariales SC'!K12</f>
        <v>21906.649999999998</v>
      </c>
      <c r="P29" s="183">
        <f>(O29+N29)*G29+'A.0_Tablas salariales SC'!$R$28*(100%-G29)</f>
        <v>21906.649999999998</v>
      </c>
      <c r="Q29" s="184">
        <f>IF(D29=100,'A.0_Tablas salariales SC'!$C$215,IF(D29=150,'A.0_Tablas salariales SC'!$C$216,IF(D29=189,'A.0_Tablas salariales SC'!$C$217,IF(D29=400,'A.0_Tablas salariales SC'!$C$218,IF(D29=450,'A.0_Tablas salariales SC'!$C$219,IF(D29=401,'A.0_Tablas salariales SC'!$C$220,IF(D29=451,'A.0_Tablas salariales SC'!$C$221,'A.0_Tablas salariales SC'!$C$215)))))))</f>
        <v>0.34250000000000003</v>
      </c>
      <c r="R29" s="183">
        <f t="shared" si="5"/>
        <v>7503.0276249999997</v>
      </c>
      <c r="S29" s="183">
        <f t="shared" si="6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46023</v>
      </c>
      <c r="F30" s="171"/>
      <c r="G30" s="182">
        <f>'A.2.Plantilla_NuevaContratacion'!F30</f>
        <v>1</v>
      </c>
      <c r="H30" s="181"/>
      <c r="I30" s="183"/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 t="shared" si="0"/>
        <v>0</v>
      </c>
      <c r="O30" s="183">
        <f>'A.0_Tablas salariales SC'!K11</f>
        <v>21211.85</v>
      </c>
      <c r="P30" s="183">
        <f>(O30+N30)*G30+'A.0_Tablas salariales SC'!$R$28*(100%-G30)</f>
        <v>21211.85</v>
      </c>
      <c r="Q30" s="184">
        <f>IF(D30=100,'A.0_Tablas salariales SC'!$C$215,IF(D30=150,'A.0_Tablas salariales SC'!$C$216,IF(D30=189,'A.0_Tablas salariales SC'!$C$217,IF(D30=400,'A.0_Tablas salariales SC'!$C$218,IF(D30=450,'A.0_Tablas salariales SC'!$C$219,IF(D30=401,'A.0_Tablas salariales SC'!$C$220,IF(D30=451,'A.0_Tablas salariales SC'!$C$221,'A.0_Tablas salariales SC'!$C$215)))))))</f>
        <v>0.34250000000000003</v>
      </c>
      <c r="R30" s="183">
        <f t="shared" si="5"/>
        <v>7265.0586249999997</v>
      </c>
      <c r="S30" s="183">
        <f t="shared" si="6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7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0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S6 A8:S8 A10:S10 A13:S13 A16:S16 A22:S22 A28:S28">
    <cfRule type="cellIs" dxfId="62" priority="8" operator="equal">
      <formula>0</formula>
    </cfRule>
  </conditionalFormatting>
  <conditionalFormatting sqref="G7:G9">
    <cfRule type="cellIs" dxfId="61" priority="7" operator="equal">
      <formula>0</formula>
    </cfRule>
  </conditionalFormatting>
  <conditionalFormatting sqref="G5:S5 H7:S7 H9:S9 G14:S15 G17:S21 G23:S27 G29:S30">
    <cfRule type="cellIs" dxfId="60" priority="3" operator="equal">
      <formula>0</formula>
    </cfRule>
  </conditionalFormatting>
  <conditionalFormatting sqref="G11:S12">
    <cfRule type="cellIs" dxfId="59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DEC4-65FD-46D5-BB7A-C95275926F67}">
  <sheetPr>
    <tabColor theme="5" tint="-0.249977111117893"/>
  </sheetPr>
  <dimension ref="B1:P34"/>
  <sheetViews>
    <sheetView tabSelected="1" zoomScaleNormal="100" zoomScaleSheetLayoutView="100" workbookViewId="0">
      <selection activeCell="E5" sqref="E5"/>
    </sheetView>
  </sheetViews>
  <sheetFormatPr baseColWidth="10" defaultColWidth="11" defaultRowHeight="13.2"/>
  <cols>
    <col min="1" max="1" width="2.5546875" customWidth="1"/>
    <col min="3" max="3" width="24.77734375" customWidth="1"/>
    <col min="4" max="4" width="1.109375" customWidth="1"/>
    <col min="6" max="6" width="1.21875" customWidth="1"/>
    <col min="8" max="8" width="11.77734375" customWidth="1"/>
    <col min="9" max="9" width="1.109375" customWidth="1"/>
    <col min="10" max="10" width="10.21875" customWidth="1"/>
    <col min="11" max="11" width="3.21875" customWidth="1"/>
    <col min="12" max="12" width="2.5546875" customWidth="1"/>
    <col min="16" max="16" width="17.88671875" bestFit="1" customWidth="1"/>
  </cols>
  <sheetData>
    <row r="1" spans="2:16" ht="11.4" customHeight="1"/>
    <row r="2" spans="2:16" ht="14.4">
      <c r="B2" s="474" t="s">
        <v>1059</v>
      </c>
      <c r="C2" s="475"/>
      <c r="D2" s="475"/>
      <c r="E2" s="475"/>
      <c r="F2" s="475"/>
      <c r="G2" s="475"/>
      <c r="H2" s="475"/>
      <c r="I2" s="475"/>
      <c r="J2" s="476"/>
    </row>
    <row r="3" spans="2:16" ht="7.2" customHeight="1"/>
    <row r="4" spans="2:16" ht="14.4">
      <c r="B4" s="584" t="s">
        <v>1060</v>
      </c>
      <c r="C4" s="585"/>
      <c r="E4" s="469">
        <v>46023</v>
      </c>
      <c r="G4" s="584" t="s">
        <v>1074</v>
      </c>
      <c r="H4" s="585"/>
      <c r="J4" s="468">
        <f>YEAR(E4)</f>
        <v>2026</v>
      </c>
      <c r="N4" s="467"/>
      <c r="O4" s="481"/>
      <c r="P4" s="467"/>
    </row>
    <row r="5" spans="2:16" ht="5.4" customHeight="1"/>
    <row r="6" spans="2:16" ht="14.4">
      <c r="B6" s="584" t="s">
        <v>1061</v>
      </c>
      <c r="C6" s="585"/>
      <c r="E6" s="469">
        <v>48579</v>
      </c>
      <c r="G6" s="584" t="s">
        <v>1075</v>
      </c>
      <c r="H6" s="585"/>
      <c r="J6" s="468">
        <f>YEAR(E6)</f>
        <v>2032</v>
      </c>
    </row>
    <row r="7" spans="2:16" ht="5.4" customHeight="1"/>
    <row r="8" spans="2:16" ht="14.4">
      <c r="B8" s="584" t="s">
        <v>1062</v>
      </c>
      <c r="C8" s="585"/>
      <c r="E8" s="470">
        <v>0.8</v>
      </c>
      <c r="G8" s="584" t="s">
        <v>1077</v>
      </c>
      <c r="H8" s="585"/>
      <c r="J8" s="480">
        <f>(E6-E4)/365</f>
        <v>7.0027397260273974</v>
      </c>
    </row>
    <row r="9" spans="2:16" ht="7.8" customHeight="1"/>
    <row r="10" spans="2:16" ht="14.4">
      <c r="B10" s="584" t="s">
        <v>1063</v>
      </c>
      <c r="C10" s="585"/>
      <c r="E10" s="470">
        <f>100 % - E8</f>
        <v>0.19999999999999996</v>
      </c>
      <c r="G10" s="584" t="s">
        <v>1078</v>
      </c>
      <c r="H10" s="585"/>
      <c r="J10" s="468">
        <f>J12+J14+J16+J18+J20+J22+J24</f>
        <v>84</v>
      </c>
    </row>
    <row r="11" spans="2:16" ht="6.6" customHeight="1"/>
    <row r="12" spans="2:16" ht="14.4">
      <c r="B12" s="584" t="s">
        <v>1064</v>
      </c>
      <c r="C12" s="585"/>
      <c r="E12" s="470">
        <v>0.13</v>
      </c>
      <c r="G12">
        <v>2026</v>
      </c>
      <c r="H12" s="467" t="s">
        <v>1081</v>
      </c>
      <c r="J12" s="468">
        <f>IFERROR(MAX(0,DATEDIF(MAX($E$4,DATE(G12,1,1)),MIN($E$6,DATE(G12,12,31)),"m")+1),0)</f>
        <v>12</v>
      </c>
    </row>
    <row r="13" spans="2:16" ht="7.2" customHeight="1"/>
    <row r="14" spans="2:16" ht="14.4">
      <c r="B14" s="584" t="s">
        <v>1065</v>
      </c>
      <c r="C14" s="585"/>
      <c r="E14" s="470">
        <v>0.06</v>
      </c>
      <c r="G14">
        <v>2027</v>
      </c>
      <c r="H14" s="467" t="s">
        <v>1081</v>
      </c>
      <c r="J14" s="468">
        <f>IFERROR(MAX(0,DATEDIF(MAX($E$4,DATE(G14,1,1)),MIN($E$6,DATE(G14,12,31)),"m")+1),0)</f>
        <v>12</v>
      </c>
    </row>
    <row r="15" spans="2:16" ht="5.4" customHeight="1"/>
    <row r="16" spans="2:16" ht="14.4">
      <c r="B16" s="584" t="s">
        <v>1066</v>
      </c>
      <c r="C16" s="585"/>
      <c r="E16" s="470">
        <v>0.05</v>
      </c>
      <c r="G16">
        <v>2028</v>
      </c>
      <c r="H16" s="467" t="s">
        <v>1081</v>
      </c>
      <c r="J16" s="468">
        <f>IFERROR(MAX(0,DATEDIF(MAX($E$4,DATE(G16,1,1)),MIN($E$6,DATE(G16,12,31)),"m")+1),0)</f>
        <v>12</v>
      </c>
    </row>
    <row r="17" spans="2:10" ht="5.4" customHeight="1"/>
    <row r="18" spans="2:10" ht="14.4">
      <c r="B18" s="584" t="s">
        <v>1068</v>
      </c>
      <c r="C18" s="585"/>
      <c r="E18" s="473">
        <v>0.02</v>
      </c>
      <c r="G18">
        <v>2029</v>
      </c>
      <c r="H18" s="467" t="s">
        <v>1081</v>
      </c>
      <c r="J18" s="468">
        <f>IFERROR(MAX(0,DATEDIF(MAX($E$4,DATE(G18,1,1)),MIN($E$6,DATE(G18,12,31)),"m")+1),0)</f>
        <v>12</v>
      </c>
    </row>
    <row r="19" spans="2:10" ht="6.6" customHeight="1"/>
    <row r="20" spans="2:10" ht="14.4">
      <c r="B20" s="584" t="s">
        <v>1069</v>
      </c>
      <c r="C20" s="585"/>
      <c r="E20" s="473">
        <v>0.03</v>
      </c>
      <c r="G20">
        <v>2030</v>
      </c>
      <c r="H20" s="467" t="s">
        <v>1081</v>
      </c>
      <c r="J20" s="468">
        <f>IFERROR(MAX(0,DATEDIF(MAX($E$4,DATE(G20,1,1)),MIN($E$6,DATE(G20,12,31)),"m")+1),0)</f>
        <v>12</v>
      </c>
    </row>
    <row r="21" spans="2:10" ht="4.8" customHeight="1"/>
    <row r="22" spans="2:10" ht="14.4">
      <c r="B22" s="584" t="s">
        <v>1070</v>
      </c>
      <c r="C22" s="585"/>
      <c r="E22" s="473">
        <v>0.03</v>
      </c>
      <c r="G22">
        <v>2031</v>
      </c>
      <c r="H22" s="467" t="s">
        <v>1081</v>
      </c>
      <c r="J22" s="468">
        <f>IFERROR(MAX(0,DATEDIF(MAX($E$4,DATE(G22,1,1)),MIN($E$6,DATE(G22,12,31)),"m")+1),0)</f>
        <v>12</v>
      </c>
    </row>
    <row r="23" spans="2:10" ht="4.8" customHeight="1"/>
    <row r="24" spans="2:10">
      <c r="G24">
        <v>2032</v>
      </c>
      <c r="H24" s="467" t="s">
        <v>1081</v>
      </c>
      <c r="J24" s="468">
        <f>IFERROR(MAX(0,DATEDIF(MAX($E$4,DATE(G24,1,1)),MIN($E$6,DATE(G24,12,31)),"m")+1),0)</f>
        <v>12</v>
      </c>
    </row>
    <row r="26" spans="2:10">
      <c r="B26" s="18" t="s">
        <v>1079</v>
      </c>
    </row>
    <row r="27" spans="2:10" ht="4.8" customHeight="1"/>
    <row r="28" spans="2:10">
      <c r="B28" s="586" t="s">
        <v>1080</v>
      </c>
      <c r="C28" s="586"/>
      <c r="D28" s="586"/>
      <c r="E28" s="586"/>
      <c r="F28" s="586"/>
      <c r="G28" s="586"/>
      <c r="H28" s="586"/>
      <c r="I28" s="586"/>
      <c r="J28" s="586"/>
    </row>
    <row r="29" spans="2:10">
      <c r="B29" s="586"/>
      <c r="C29" s="586"/>
      <c r="D29" s="586"/>
      <c r="E29" s="586"/>
      <c r="F29" s="586"/>
      <c r="G29" s="586"/>
      <c r="H29" s="586"/>
      <c r="I29" s="586"/>
      <c r="J29" s="586"/>
    </row>
    <row r="30" spans="2:10" ht="5.4" customHeight="1"/>
    <row r="31" spans="2:10" ht="13.2" customHeight="1">
      <c r="B31" s="586" t="s">
        <v>1076</v>
      </c>
      <c r="C31" s="586"/>
      <c r="D31" s="586"/>
      <c r="E31" s="586"/>
      <c r="F31" s="586"/>
      <c r="G31" s="586"/>
      <c r="H31" s="586"/>
      <c r="I31" s="586"/>
      <c r="J31" s="586"/>
    </row>
    <row r="32" spans="2:10">
      <c r="B32" s="586"/>
      <c r="C32" s="586"/>
      <c r="D32" s="586"/>
      <c r="E32" s="586"/>
      <c r="F32" s="586"/>
      <c r="G32" s="586"/>
      <c r="H32" s="586"/>
      <c r="I32" s="586"/>
      <c r="J32" s="586"/>
    </row>
    <row r="33" spans="2:10">
      <c r="B33" s="586"/>
      <c r="C33" s="586"/>
      <c r="D33" s="586"/>
      <c r="E33" s="586"/>
      <c r="F33" s="586"/>
      <c r="G33" s="586"/>
      <c r="H33" s="586"/>
      <c r="I33" s="586"/>
      <c r="J33" s="586"/>
    </row>
    <row r="34" spans="2:10" ht="4.8" customHeight="1"/>
  </sheetData>
  <mergeCells count="16">
    <mergeCell ref="G4:H4"/>
    <mergeCell ref="G6:H6"/>
    <mergeCell ref="G8:H8"/>
    <mergeCell ref="G10:H10"/>
    <mergeCell ref="B4:C4"/>
    <mergeCell ref="B6:C6"/>
    <mergeCell ref="B8:C8"/>
    <mergeCell ref="B10:C10"/>
    <mergeCell ref="B12:C12"/>
    <mergeCell ref="B31:J33"/>
    <mergeCell ref="B14:C14"/>
    <mergeCell ref="B16:C16"/>
    <mergeCell ref="B18:C18"/>
    <mergeCell ref="B20:C20"/>
    <mergeCell ref="B22:C22"/>
    <mergeCell ref="B28:J2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D96B-56F9-4A02-ABFD-2EF04C7C8EC3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7" sqref="N5 N7 N9 N11:N12 N14: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1022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926</v>
      </c>
      <c r="I3" s="241" t="s">
        <v>927</v>
      </c>
      <c r="J3" s="241" t="s">
        <v>928</v>
      </c>
      <c r="K3" s="241" t="s">
        <v>1002</v>
      </c>
      <c r="L3" s="241" t="s">
        <v>1103</v>
      </c>
      <c r="M3" s="241" t="s">
        <v>929</v>
      </c>
      <c r="N3" s="241" t="s">
        <v>930</v>
      </c>
      <c r="O3" s="241" t="s">
        <v>931</v>
      </c>
      <c r="P3" s="241" t="s">
        <v>932</v>
      </c>
      <c r="Q3" s="241" t="s">
        <v>933</v>
      </c>
      <c r="R3" s="241" t="s">
        <v>934</v>
      </c>
      <c r="S3" s="241" t="s">
        <v>935</v>
      </c>
      <c r="T3" s="241" t="s">
        <v>936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Contrato'!$E$18),1)</f>
        <v>1.02</v>
      </c>
      <c r="L4" s="93">
        <f>IF(('A. Resumen Costes Personal Año'!$D$14=2026),(1+'Caracteristicas Contrato'!$E$18),1)</f>
        <v>1.02</v>
      </c>
      <c r="M4" s="93">
        <f>IF(('A. Resumen Costes Personal Año'!$D$14=2026),(1+'Caracteristicas Contrato'!$E$18),1)</f>
        <v>1.02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46023</v>
      </c>
      <c r="F5" s="171"/>
      <c r="G5" s="182">
        <f>'A.2.Plantilla_NuevaContratacion'!F5</f>
        <v>1</v>
      </c>
      <c r="H5" s="181">
        <f>'A.2.0_TablaAntigüedad_NVContr'!J6</f>
        <v>1</v>
      </c>
      <c r="I5" s="183">
        <f>'A.2.0_TablaAntigüedad_NVContr'!X6</f>
        <v>0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0</v>
      </c>
      <c r="O5" s="183">
        <f>'A.0_Tablas salariales SC'!K36</f>
        <v>20892.639999999996</v>
      </c>
      <c r="P5" s="183">
        <f>(O5+N5)*G5+'A.0_Tablas salariales SC'!$R$55*(100%-G5)</f>
        <v>20892.639999999996</v>
      </c>
      <c r="Q5" s="184">
        <f>IF(D5=100,'A.0_Tablas salariales SC'!$D$215,IF(D5=150,'A.0_Tablas salariales SC'!$D$216,IF(D5=189,'A.0_Tablas salariales SC'!$D$217,IF(D5=400,'A.0_Tablas salariales SC'!$D$218,IF(D5=450,'A.0_Tablas salariales SC'!$D$219,IF(D5=401,'A.0_Tablas salariales SC'!$D$220,IF(D5=451,'A.0_Tablas salariales SC'!$D$221,'A.0_Tablas salariales SC'!$D$215)))))))</f>
        <v>0.34329999999999999</v>
      </c>
      <c r="R5" s="183">
        <f>Q5*P5</f>
        <v>7172.4433119999985</v>
      </c>
      <c r="S5" s="183">
        <f>(R5+P5)*A5</f>
        <v>0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0</v>
      </c>
    </row>
    <row r="7" spans="1:20">
      <c r="A7" s="427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46023</v>
      </c>
      <c r="F7" s="171"/>
      <c r="G7" s="182">
        <f>'A.2.Plantilla_NuevaContratacion'!F7</f>
        <v>1</v>
      </c>
      <c r="H7" s="181">
        <f>'A.2.0_TablaAntigüedad_NVContr'!J8</f>
        <v>1</v>
      </c>
      <c r="I7" s="183">
        <f>'A.2.0_TablaAntigüedad_NVContr'!X8</f>
        <v>0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0</v>
      </c>
      <c r="O7" s="183">
        <f>'A.0_Tablas salariales SC'!K37</f>
        <v>21953.889999999996</v>
      </c>
      <c r="P7" s="183">
        <f>(O7+N7)*G7+'A.0_Tablas salariales SC'!$R$55*(100%-G7)</f>
        <v>21953.889999999996</v>
      </c>
      <c r="Q7" s="184">
        <f>IF(D7=100,'A.0_Tablas salariales SC'!$D$215,IF(D7=150,'A.0_Tablas salariales SC'!$D$216,IF(D7=189,'A.0_Tablas salariales SC'!$D$217,IF(D7=400,'A.0_Tablas salariales SC'!$D$218,IF(D7=450,'A.0_Tablas salariales SC'!$D$219,IF(D7=401,'A.0_Tablas salariales SC'!$D$220,IF(D7=451,'A.0_Tablas salariales SC'!$D$221,'A.0_Tablas salariales SC'!$D$215)))))))</f>
        <v>0.34329999999999999</v>
      </c>
      <c r="R7" s="183">
        <f t="shared" ref="R7:R30" si="0">Q7*P7</f>
        <v>7536.7704369999983</v>
      </c>
      <c r="S7" s="183">
        <f t="shared" ref="S7:S30" si="1">(R7+P7)*A7</f>
        <v>0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0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46023</v>
      </c>
      <c r="F9" s="171"/>
      <c r="G9" s="182">
        <f>'A.2.Plantilla_NuevaContratacion'!F9</f>
        <v>1</v>
      </c>
      <c r="H9" s="181">
        <f>'A.2.0_TablaAntigüedad_NVContr'!J10</f>
        <v>1</v>
      </c>
      <c r="I9" s="183">
        <f>'A.2.0_TablaAntigüedad_NVContr'!X10</f>
        <v>0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0</v>
      </c>
      <c r="O9" s="183">
        <f>'A.0_Tablas salariales SC'!K40</f>
        <v>22781.140000000003</v>
      </c>
      <c r="P9" s="183">
        <f>(O9+N9)*G9+'A.0_Tablas salariales SC'!$R$55*(100%-G9)</f>
        <v>22781.140000000003</v>
      </c>
      <c r="Q9" s="184">
        <f>IF(D9=100,'A.0_Tablas salariales SC'!$D$215,IF(D9=150,'A.0_Tablas salariales SC'!$D$216,IF(D9=189,'A.0_Tablas salariales SC'!$D$217,IF(D9=400,'A.0_Tablas salariales SC'!$D$218,IF(D9=450,'A.0_Tablas salariales SC'!$D$219,IF(D9=401,'A.0_Tablas salariales SC'!$D$220,IF(D9=451,'A.0_Tablas salariales SC'!$D$221,'A.0_Tablas salariales SC'!$D$215)))))))</f>
        <v>0.34329999999999999</v>
      </c>
      <c r="R9" s="183">
        <f t="shared" si="0"/>
        <v>7820.765362000001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46023</v>
      </c>
      <c r="F11" s="171"/>
      <c r="G11" s="182">
        <f>'A.2.Plantilla_NuevaContratacion'!F11</f>
        <v>1</v>
      </c>
      <c r="H11" s="181">
        <f>'A.2.0_TablaAntigüedad_NVContr'!J12</f>
        <v>1</v>
      </c>
      <c r="I11" s="183">
        <f>'A.2.0_TablaAntigüedad_NVContr'!X12</f>
        <v>0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0</v>
      </c>
      <c r="O11" s="183">
        <f>'A.0_Tablas salariales SC'!K41</f>
        <v>23842.390000000003</v>
      </c>
      <c r="P11" s="183">
        <f>(O11+N11)*G11+'A.0_Tablas salariales SC'!$R$55*(100%-G11)</f>
        <v>23842.390000000003</v>
      </c>
      <c r="Q11" s="184">
        <f>IF(D11=100,'A.0_Tablas salariales SC'!$D$215,IF(D11=150,'A.0_Tablas salariales SC'!$D$216,IF(D11=189,'A.0_Tablas salariales SC'!$D$217,IF(D11=400,'A.0_Tablas salariales SC'!$D$218,IF(D11=450,'A.0_Tablas salariales SC'!$D$219,IF(D11=401,'A.0_Tablas salariales SC'!$D$220,IF(D11=451,'A.0_Tablas salariales SC'!$D$221,'A.0_Tablas salariales SC'!$D$215)))))))</f>
        <v>0.34329999999999999</v>
      </c>
      <c r="R11" s="183">
        <f t="shared" si="0"/>
        <v>8185.0924870000008</v>
      </c>
      <c r="S11" s="183">
        <f t="shared" si="1"/>
        <v>0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46023</v>
      </c>
      <c r="F12" s="171"/>
      <c r="G12" s="182">
        <f>'A.2.Plantilla_NuevaContratacion'!F12</f>
        <v>1</v>
      </c>
      <c r="H12" s="181">
        <f>'A.2.0_TablaAntigüedad_NVContr'!J13</f>
        <v>1</v>
      </c>
      <c r="I12" s="183">
        <f>'A.2.0_TablaAntigüedad_NVContr'!X13</f>
        <v>0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0</v>
      </c>
      <c r="O12" s="183">
        <f>'A.0_Tablas salariales SC'!K42</f>
        <v>23842.390000000003</v>
      </c>
      <c r="P12" s="183">
        <f>(O12+N12)*G12+'A.0_Tablas salariales SC'!$R$55*(100%-G12)</f>
        <v>23842.390000000003</v>
      </c>
      <c r="Q12" s="492">
        <f>IF(D12=100,'A.0_Tablas salariales SC'!$D$227,IF(D12=150,'A.0_Tablas salariales SC'!$D$228,IF(D12=189,'A.0_Tablas salariales SC'!$D$229,IF(D12=400,'A.0_Tablas salariales SC'!$D$230,IF(D12=450,'A.0_Tablas salariales SC'!$D$231,IF(D12=401,'A.0_Tablas salariales SC'!$D$232,IF(D12=451,'A.0_Tablas salariales SC'!$D$233,'A.0_Tablas salariales SC'!$C$227)))))))</f>
        <v>0.3735</v>
      </c>
      <c r="R12" s="183">
        <f t="shared" si="0"/>
        <v>8905.132665000001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0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46023</v>
      </c>
      <c r="F14" s="171"/>
      <c r="G14" s="182">
        <f>'A.2.Plantilla_NuevaContratacion'!F14</f>
        <v>1</v>
      </c>
      <c r="H14" s="181">
        <f>'A.2.0_TablaAntigüedad_NVContr'!J15</f>
        <v>1</v>
      </c>
      <c r="I14" s="183">
        <f>'A.2.0_TablaAntigüedad_NVContr'!X15</f>
        <v>0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0</v>
      </c>
      <c r="O14" s="183">
        <f>'A.0_Tablas salariales SC'!K44</f>
        <v>24813.940000000002</v>
      </c>
      <c r="P14" s="183">
        <f>(O14+N14)*G14+'A.0_Tablas salariales SC'!$R$55*(100%-G14)</f>
        <v>24813.940000000002</v>
      </c>
      <c r="Q14" s="184">
        <f>IF(D14=100,'A.0_Tablas salariales SC'!$D$215,IF(D14=150,'A.0_Tablas salariales SC'!$D$216,IF(D14=189,'A.0_Tablas salariales SC'!$D$217,IF(D14=400,'A.0_Tablas salariales SC'!$D$218,IF(D14=450,'A.0_Tablas salariales SC'!$D$219,IF(D14=401,'A.0_Tablas salariales SC'!$D$220,IF(D14=451,'A.0_Tablas salariales SC'!$D$221,'A.0_Tablas salariales SC'!$D$215)))))))</f>
        <v>0.34329999999999999</v>
      </c>
      <c r="R14" s="183">
        <f t="shared" si="0"/>
        <v>8518.6256020000001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46023</v>
      </c>
      <c r="F15" s="171"/>
      <c r="G15" s="182">
        <f>'A.2.Plantilla_NuevaContratacion'!F15</f>
        <v>1</v>
      </c>
      <c r="H15" s="181">
        <f>'A.2.0_TablaAntigüedad_NVContr'!J16</f>
        <v>1</v>
      </c>
      <c r="I15" s="183">
        <f>'A.2.0_TablaAntigüedad_NVContr'!X16</f>
        <v>0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0</v>
      </c>
      <c r="O15" s="183">
        <f>'A.0_Tablas salariales SC'!K43</f>
        <v>24816.940000000006</v>
      </c>
      <c r="P15" s="183">
        <f>(O15+N15)*G15+'A.0_Tablas salariales SC'!$R$55*(100%-G15)</f>
        <v>24816.940000000006</v>
      </c>
      <c r="Q15" s="184">
        <f>IF(D15=100,'A.0_Tablas salariales SC'!$D$215,IF(D15=150,'A.0_Tablas salariales SC'!$D$216,IF(D15=189,'A.0_Tablas salariales SC'!$D$217,IF(D15=400,'A.0_Tablas salariales SC'!$D$218,IF(D15=450,'A.0_Tablas salariales SC'!$D$219,IF(D15=401,'A.0_Tablas salariales SC'!$D$220,IF(D15=451,'A.0_Tablas salariales SC'!$D$221,'A.0_Tablas salariales SC'!$D$215)))))))</f>
        <v>0.34329999999999999</v>
      </c>
      <c r="R15" s="183">
        <f t="shared" si="0"/>
        <v>8519.6555020000014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46023</v>
      </c>
      <c r="F17" s="171"/>
      <c r="G17" s="182">
        <f>'A.2.Plantilla_NuevaContratacion'!F17</f>
        <v>1</v>
      </c>
      <c r="H17" s="181">
        <f>'A.2.0_TablaAntigüedad_NVContr'!J18</f>
        <v>1</v>
      </c>
      <c r="I17" s="183">
        <f>'A.2.0_TablaAntigüedad_NVContr'!X18</f>
        <v>0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0</v>
      </c>
      <c r="O17" s="183">
        <f>'A.0_Tablas salariales SC'!K51</f>
        <v>29861.89</v>
      </c>
      <c r="P17" s="183">
        <f>(O17+N17)*G17+'A.0_Tablas salariales SC'!$R$55*(100%-G17)</f>
        <v>29861.89</v>
      </c>
      <c r="Q17" s="184">
        <f>IF(D17=100,'A.0_Tablas salariales SC'!$D$215,IF(D17=150,'A.0_Tablas salariales SC'!$D$216,IF(D17=189,'A.0_Tablas salariales SC'!$D$217,IF(D17=400,'A.0_Tablas salariales SC'!$D$218,IF(D17=450,'A.0_Tablas salariales SC'!$D$219,IF(D17=401,'A.0_Tablas salariales SC'!$D$220,IF(D17=451,'A.0_Tablas salariales SC'!$D$221,'A.0_Tablas salariales SC'!$D$215)))))))</f>
        <v>0.34329999999999999</v>
      </c>
      <c r="R17" s="183">
        <f t="shared" si="0"/>
        <v>10251.586836999999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46023</v>
      </c>
      <c r="F18" s="171"/>
      <c r="G18" s="182">
        <f>'A.2.Plantilla_NuevaContratacion'!F18</f>
        <v>1</v>
      </c>
      <c r="H18" s="181">
        <f>'A.2.0_TablaAntigüedad_NVContr'!J19</f>
        <v>1</v>
      </c>
      <c r="I18" s="183">
        <f>'A.2.0_TablaAntigüedad_NVContr'!X19</f>
        <v>0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0</v>
      </c>
      <c r="O18" s="183">
        <f>'A.0_Tablas salariales SC'!K52</f>
        <v>26990.739999999994</v>
      </c>
      <c r="P18" s="183">
        <f>(O18+N18)*G18+'A.0_Tablas salariales SC'!$R$55*(100%-G18)</f>
        <v>26990.739999999994</v>
      </c>
      <c r="Q18" s="184">
        <f>IF(D18=100,'A.0_Tablas salariales SC'!$D$215,IF(D18=150,'A.0_Tablas salariales SC'!$D$216,IF(D18=189,'A.0_Tablas salariales SC'!$D$217,IF(D18=400,'A.0_Tablas salariales SC'!$D$218,IF(D18=450,'A.0_Tablas salariales SC'!$D$219,IF(D18=401,'A.0_Tablas salariales SC'!$D$220,IF(D18=451,'A.0_Tablas salariales SC'!$D$221,'A.0_Tablas salariales SC'!$D$215)))))))</f>
        <v>0.34329999999999999</v>
      </c>
      <c r="R18" s="183">
        <f t="shared" si="0"/>
        <v>9265.9210419999981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46023</v>
      </c>
      <c r="F19" s="171"/>
      <c r="G19" s="182">
        <f>'A.2.Plantilla_NuevaContratacion'!F19</f>
        <v>1</v>
      </c>
      <c r="H19" s="181">
        <f>'A.2.0_TablaAntigüedad_NVContr'!J20</f>
        <v>1</v>
      </c>
      <c r="I19" s="183">
        <f>'A.2.0_TablaAntigüedad_NVContr'!X20</f>
        <v>0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0</v>
      </c>
      <c r="O19" s="183">
        <f>'A.0_Tablas salariales SC'!K53</f>
        <v>29154.640000000003</v>
      </c>
      <c r="P19" s="183">
        <f>(O19+N19)*G19+'A.0_Tablas salariales SC'!$R$55*(100%-G19)</f>
        <v>29154.640000000003</v>
      </c>
      <c r="Q19" s="184">
        <f>IF(D19=100,'A.0_Tablas salariales SC'!$D$215,IF(D19=150,'A.0_Tablas salariales SC'!$D$216,IF(D19=189,'A.0_Tablas salariales SC'!$D$217,IF(D19=400,'A.0_Tablas salariales SC'!$D$218,IF(D19=450,'A.0_Tablas salariales SC'!$D$219,IF(D19=401,'A.0_Tablas salariales SC'!$D$220,IF(D19=451,'A.0_Tablas salariales SC'!$D$221,'A.0_Tablas salariales SC'!$D$215)))))))</f>
        <v>0.34329999999999999</v>
      </c>
      <c r="R19" s="183">
        <f t="shared" si="0"/>
        <v>10008.787912000002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46023</v>
      </c>
      <c r="F20" s="171"/>
      <c r="G20" s="182">
        <f>'A.2.Plantilla_NuevaContratacion'!F20</f>
        <v>1</v>
      </c>
      <c r="H20" s="181">
        <f>'A.2.0_TablaAntigüedad_NVContr'!J21</f>
        <v>1</v>
      </c>
      <c r="I20" s="183">
        <f>'A.2.0_TablaAntigüedad_NVContr'!X21</f>
        <v>0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0</v>
      </c>
      <c r="O20" s="183">
        <f>'A.0_Tablas salariales SC'!K54</f>
        <v>31126.840000000004</v>
      </c>
      <c r="P20" s="183">
        <f>(O20+N20)*G20+'A.0_Tablas salariales SC'!$R$55*(100%-G20)</f>
        <v>31126.840000000004</v>
      </c>
      <c r="Q20" s="184">
        <f>IF(D20=100,'A.0_Tablas salariales SC'!$D$215,IF(D20=150,'A.0_Tablas salariales SC'!$D$216,IF(D20=189,'A.0_Tablas salariales SC'!$D$217,IF(D20=400,'A.0_Tablas salariales SC'!$D$218,IF(D20=450,'A.0_Tablas salariales SC'!$D$219,IF(D20=401,'A.0_Tablas salariales SC'!$D$220,IF(D20=451,'A.0_Tablas salariales SC'!$D$221,'A.0_Tablas salariales SC'!$D$215)))))))</f>
        <v>0.34329999999999999</v>
      </c>
      <c r="R20" s="183">
        <f t="shared" si="0"/>
        <v>10685.844172000001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46023</v>
      </c>
      <c r="F21" s="171"/>
      <c r="G21" s="182">
        <f>'A.2.Plantilla_NuevaContratacion'!F21</f>
        <v>1</v>
      </c>
      <c r="H21" s="181">
        <f>'A.2.0_TablaAntigüedad_NVContr'!J22</f>
        <v>1</v>
      </c>
      <c r="I21" s="183">
        <f>'A.2.0_TablaAntigüedad_NVContr'!X22</f>
        <v>0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0</v>
      </c>
      <c r="O21" s="183">
        <f>'A.0_Tablas salariales SC'!K55</f>
        <v>35263.54</v>
      </c>
      <c r="P21" s="183">
        <f>(O21+N21)*G21+'A.0_Tablas salariales SC'!$R$55*(100%-G21)</f>
        <v>35263.54</v>
      </c>
      <c r="Q21" s="184">
        <f>IF(D21=100,'A.0_Tablas salariales SC'!$D$215,IF(D21=150,'A.0_Tablas salariales SC'!$D$216,IF(D21=189,'A.0_Tablas salariales SC'!$D$217,IF(D21=400,'A.0_Tablas salariales SC'!$D$218,IF(D21=450,'A.0_Tablas salariales SC'!$D$219,IF(D21=401,'A.0_Tablas salariales SC'!$D$220,IF(D21=451,'A.0_Tablas salariales SC'!$D$221,'A.0_Tablas salariales SC'!$D$215)))))))</f>
        <v>0.34329999999999999</v>
      </c>
      <c r="R21" s="183">
        <f t="shared" si="0"/>
        <v>12105.973282000001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46023</v>
      </c>
      <c r="F23" s="171"/>
      <c r="G23" s="182">
        <f>'A.2.Plantilla_NuevaContratacion'!F23</f>
        <v>1</v>
      </c>
      <c r="H23" s="181">
        <f>'A.2.0_TablaAntigüedad_NVContr'!J24</f>
        <v>1</v>
      </c>
      <c r="I23" s="183">
        <f>'A.2.0_TablaAntigüedad_NVContr'!X24</f>
        <v>0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0</v>
      </c>
      <c r="O23" s="183">
        <f>'A.0_Tablas salariales SC'!K45</f>
        <v>17721.34</v>
      </c>
      <c r="P23" s="183">
        <f>(O23+N23)*G23+'A.0_Tablas salariales SC'!$R$55*(100%-G23)</f>
        <v>17721.34</v>
      </c>
      <c r="Q23" s="184">
        <f>IF(D23=100,'A.0_Tablas salariales SC'!$D$215,IF(D23=150,'A.0_Tablas salariales SC'!$D$216,IF(D23=189,'A.0_Tablas salariales SC'!$D$217,IF(D23=400,'A.0_Tablas salariales SC'!$D$218,IF(D23=450,'A.0_Tablas salariales SC'!$D$219,IF(D23=401,'A.0_Tablas salariales SC'!$D$220,IF(D23=451,'A.0_Tablas salariales SC'!$D$221,'A.0_Tablas salariales SC'!$D$215)))))))</f>
        <v>0.34329999999999999</v>
      </c>
      <c r="R23" s="183">
        <f t="shared" si="0"/>
        <v>6083.736022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46023</v>
      </c>
      <c r="F24" s="171"/>
      <c r="G24" s="182">
        <f>'A.2.Plantilla_NuevaContratacion'!F24</f>
        <v>1</v>
      </c>
      <c r="H24" s="181">
        <f>'A.2.0_TablaAntigüedad_NVContr'!J25</f>
        <v>1</v>
      </c>
      <c r="I24" s="183">
        <f>'A.2.0_TablaAntigüedad_NVContr'!X25</f>
        <v>0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0</v>
      </c>
      <c r="O24" s="183">
        <f>'A.0_Tablas salariales SC'!K47</f>
        <v>22853.29</v>
      </c>
      <c r="P24" s="183">
        <f>(O24+N24)*G24+'A.0_Tablas salariales SC'!$R$55*(100%-G24)</f>
        <v>22853.29</v>
      </c>
      <c r="Q24" s="184">
        <f>IF(D24=100,'A.0_Tablas salariales SC'!$D$215,IF(D24=150,'A.0_Tablas salariales SC'!$D$216,IF(D24=189,'A.0_Tablas salariales SC'!$D$217,IF(D24=400,'A.0_Tablas salariales SC'!$D$218,IF(D24=450,'A.0_Tablas salariales SC'!$D$219,IF(D24=401,'A.0_Tablas salariales SC'!$D$220,IF(D24=451,'A.0_Tablas salariales SC'!$D$221,'A.0_Tablas salariales SC'!$D$215)))))))</f>
        <v>0.34329999999999999</v>
      </c>
      <c r="R24" s="183">
        <f t="shared" si="0"/>
        <v>7845.5344569999997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46023</v>
      </c>
      <c r="F25" s="171"/>
      <c r="G25" s="182">
        <f>'A.2.Plantilla_NuevaContratacion'!F25</f>
        <v>1</v>
      </c>
      <c r="H25" s="181">
        <f>'A.2.0_TablaAntigüedad_NVContr'!J26</f>
        <v>1</v>
      </c>
      <c r="I25" s="183">
        <f>'A.2.0_TablaAntigüedad_NVContr'!X26</f>
        <v>0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0</v>
      </c>
      <c r="O25" s="183">
        <f>'A.0_Tablas salariales SC'!K48</f>
        <v>23757.939999999995</v>
      </c>
      <c r="P25" s="183">
        <f>(O25+N25)*G25+'A.0_Tablas salariales SC'!$R$55*(100%-G25)</f>
        <v>23757.939999999995</v>
      </c>
      <c r="Q25" s="184">
        <f>IF(D25=100,'A.0_Tablas salariales SC'!$D$215,IF(D25=150,'A.0_Tablas salariales SC'!$D$216,IF(D25=189,'A.0_Tablas salariales SC'!$D$217,IF(D25=400,'A.0_Tablas salariales SC'!$D$218,IF(D25=450,'A.0_Tablas salariales SC'!$D$219,IF(D25=401,'A.0_Tablas salariales SC'!$D$220,IF(D25=451,'A.0_Tablas salariales SC'!$D$221,'A.0_Tablas salariales SC'!$D$215)))))))</f>
        <v>0.34329999999999999</v>
      </c>
      <c r="R25" s="183">
        <f t="shared" si="0"/>
        <v>8156.1008019999981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46023</v>
      </c>
      <c r="F26" s="171"/>
      <c r="G26" s="182">
        <f>'A.2.Plantilla_NuevaContratacion'!F26</f>
        <v>1</v>
      </c>
      <c r="H26" s="181">
        <f>'A.2.0_TablaAntigüedad_NVContr'!J27</f>
        <v>1</v>
      </c>
      <c r="I26" s="183">
        <f>'A.2.0_TablaAntigüedad_NVContr'!X27</f>
        <v>0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0</v>
      </c>
      <c r="O26" s="183">
        <f>'A.0_Tablas salariales SC'!K49</f>
        <v>25389.340000000004</v>
      </c>
      <c r="P26" s="183">
        <f>(O26+N26)*G26+'A.0_Tablas salariales SC'!$R$55*(100%-G26)</f>
        <v>25389.340000000004</v>
      </c>
      <c r="Q26" s="184">
        <f>IF(D26=100,'A.0_Tablas salariales SC'!$D$215,IF(D26=150,'A.0_Tablas salariales SC'!$D$216,IF(D26=189,'A.0_Tablas salariales SC'!$D$217,IF(D26=400,'A.0_Tablas salariales SC'!$D$218,IF(D26=450,'A.0_Tablas salariales SC'!$D$219,IF(D26=401,'A.0_Tablas salariales SC'!$D$220,IF(D26=451,'A.0_Tablas salariales SC'!$D$221,'A.0_Tablas salariales SC'!$D$215)))))))</f>
        <v>0.34329999999999999</v>
      </c>
      <c r="R26" s="183">
        <f t="shared" si="0"/>
        <v>8716.1604220000008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46023</v>
      </c>
      <c r="F27" s="171"/>
      <c r="G27" s="182">
        <f>'A.2.Plantilla_NuevaContratacion'!F27</f>
        <v>1</v>
      </c>
      <c r="H27" s="181">
        <f>'A.2.0_TablaAntigüedad_NVContr'!J28</f>
        <v>1</v>
      </c>
      <c r="I27" s="183">
        <f>'A.2.0_TablaAntigüedad_NVContr'!X28</f>
        <v>0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0</v>
      </c>
      <c r="O27" s="183">
        <f>'A.0_Tablas salariales SC'!K50</f>
        <v>26846.140000000003</v>
      </c>
      <c r="P27" s="183">
        <f>(O27+N27)*G27+'A.0_Tablas salariales SC'!$R$55*(100%-G27)</f>
        <v>26846.140000000003</v>
      </c>
      <c r="Q27" s="184">
        <f>IF(D27=100,'A.0_Tablas salariales SC'!$D$215,IF(D27=150,'A.0_Tablas salariales SC'!$D$216,IF(D27=189,'A.0_Tablas salariales SC'!$D$217,IF(D27=400,'A.0_Tablas salariales SC'!$D$218,IF(D27=450,'A.0_Tablas salariales SC'!$D$219,IF(D27=401,'A.0_Tablas salariales SC'!$D$220,IF(D27=451,'A.0_Tablas salariales SC'!$D$221,'A.0_Tablas salariales SC'!$D$215)))))))</f>
        <v>0.34329999999999999</v>
      </c>
      <c r="R27" s="183">
        <f t="shared" si="0"/>
        <v>9216.2798620000012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46023</v>
      </c>
      <c r="F29" s="171"/>
      <c r="G29" s="182">
        <f>'A.2.Plantilla_NuevaContratacion'!F29</f>
        <v>1</v>
      </c>
      <c r="H29" s="181">
        <f>'A.2.0_TablaAntigüedad_NVContr'!J30</f>
        <v>1</v>
      </c>
      <c r="I29" s="183">
        <f>'A.2.0_TablaAntigüedad_NVContr'!X30</f>
        <v>0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0</v>
      </c>
      <c r="O29" s="183">
        <f>'A.0_Tablas salariales SC'!K39</f>
        <v>22673.29</v>
      </c>
      <c r="P29" s="183">
        <f>(O29+N29)*G29+'A.0_Tablas salariales SC'!$R$55*(100%-G29)</f>
        <v>22673.29</v>
      </c>
      <c r="Q29" s="184">
        <f>IF(D29=100,'A.0_Tablas salariales SC'!$D$215,IF(D29=150,'A.0_Tablas salariales SC'!$D$216,IF(D29=189,'A.0_Tablas salariales SC'!$D$217,IF(D29=400,'A.0_Tablas salariales SC'!$D$218,IF(D29=450,'A.0_Tablas salariales SC'!$D$219,IF(D29=401,'A.0_Tablas salariales SC'!$D$220,IF(D29=451,'A.0_Tablas salariales SC'!$D$221,'A.0_Tablas salariales SC'!$D$215)))))))</f>
        <v>0.34329999999999999</v>
      </c>
      <c r="R29" s="183">
        <f t="shared" si="0"/>
        <v>7783.7404569999999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46023</v>
      </c>
      <c r="F30" s="171"/>
      <c r="G30" s="182">
        <f>'A.2.Plantilla_NuevaContratacion'!F30</f>
        <v>1</v>
      </c>
      <c r="H30" s="181">
        <f>'A.2.0_TablaAntigüedad_NVContr'!J31</f>
        <v>1</v>
      </c>
      <c r="I30" s="183">
        <f>'A.2.0_TablaAntigüedad_NVContr'!X31</f>
        <v>0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0</v>
      </c>
      <c r="O30" s="183">
        <f>'A.0_Tablas salariales SC'!K38</f>
        <v>21954.189999999995</v>
      </c>
      <c r="P30" s="183">
        <f>(O30+N30)*G30+'A.0_Tablas salariales SC'!$R$55*(100%-G30)</f>
        <v>21954.189999999995</v>
      </c>
      <c r="Q30" s="184">
        <f>IF(D30=100,'A.0_Tablas salariales SC'!$D$215,IF(D30=150,'A.0_Tablas salariales SC'!$D$216,IF(D30=189,'A.0_Tablas salariales SC'!$D$217,IF(D30=400,'A.0_Tablas salariales SC'!$D$218,IF(D30=450,'A.0_Tablas salariales SC'!$D$219,IF(D30=401,'A.0_Tablas salariales SC'!$D$220,IF(D30=451,'A.0_Tablas salariales SC'!$D$221,'A.0_Tablas salariales SC'!$D$215)))))))</f>
        <v>0.34329999999999999</v>
      </c>
      <c r="R30" s="183">
        <f t="shared" si="0"/>
        <v>7536.8734269999977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0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10:G10 A13:G13 A16:G16 A22:G22 A28:G28">
    <cfRule type="cellIs" dxfId="58" priority="12" operator="equal">
      <formula>0</formula>
    </cfRule>
  </conditionalFormatting>
  <conditionalFormatting sqref="A6:S6 A8:S8">
    <cfRule type="cellIs" dxfId="57" priority="5" operator="equal">
      <formula>0</formula>
    </cfRule>
  </conditionalFormatting>
  <conditionalFormatting sqref="G7:G9 H7:H30 G11:G12 G14:G15 G17:G21 G23:G27 G29:G30">
    <cfRule type="cellIs" dxfId="56" priority="11" operator="equal">
      <formula>0</formula>
    </cfRule>
  </conditionalFormatting>
  <conditionalFormatting sqref="G5:S5">
    <cfRule type="cellIs" dxfId="55" priority="2" operator="equal">
      <formula>0</formula>
    </cfRule>
  </conditionalFormatting>
  <conditionalFormatting sqref="I7:S7 I9:S30">
    <cfRule type="cellIs" dxfId="54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C19F-C561-4877-B9E9-CD5709C0F0A6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29" activeCellId="7" sqref="I7 I9 I11 I12 I14:I15 I17:I21 I23:I27 I29:I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1023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939</v>
      </c>
      <c r="I3" s="241" t="s">
        <v>940</v>
      </c>
      <c r="J3" s="241" t="s">
        <v>941</v>
      </c>
      <c r="K3" s="241" t="s">
        <v>1004</v>
      </c>
      <c r="L3" s="241" t="s">
        <v>1103</v>
      </c>
      <c r="M3" s="241" t="s">
        <v>942</v>
      </c>
      <c r="N3" s="241" t="s">
        <v>943</v>
      </c>
      <c r="O3" s="241" t="s">
        <v>944</v>
      </c>
      <c r="P3" s="241" t="s">
        <v>945</v>
      </c>
      <c r="Q3" s="241" t="s">
        <v>946</v>
      </c>
      <c r="R3" s="241" t="s">
        <v>947</v>
      </c>
      <c r="S3" s="241" t="s">
        <v>948</v>
      </c>
      <c r="T3" s="241" t="s">
        <v>949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Contrato'!$E$18)^(2),IF(('A. Resumen Costes Personal Año'!$D$14=2027),(1+'Caracteristicas Contrato'!$E$18)^(1),1))</f>
        <v>1.0404</v>
      </c>
      <c r="L4" s="93">
        <f>IF(('A. Resumen Costes Personal Año'!$D$14=2026),(1+'Caracteristicas Contrato'!$E$18)^(2),IF(('A. Resumen Costes Personal Año'!$D$14=2027),(1+'Caracteristicas Contrato'!$E$18)^(1),1))</f>
        <v>1.0404</v>
      </c>
      <c r="M4" s="93">
        <f>IF(('A. Resumen Costes Personal Año'!$D$14=2026),(1+'Caracteristicas Contrato'!$E$18)^(2),IF(('A. Resumen Costes Personal Año'!$D$14=2027),(1+'Caracteristicas Contrato'!$E$18)^(1),1))</f>
        <v>1.0404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46023</v>
      </c>
      <c r="F5" s="171"/>
      <c r="G5" s="182">
        <f>'A.2.Plantilla_NuevaContratacion'!F5</f>
        <v>1</v>
      </c>
      <c r="H5" s="181">
        <f>'A.2.0_TablaAntigüedad_NVContr'!K6</f>
        <v>2</v>
      </c>
      <c r="I5" s="183">
        <f>'A.2.0_TablaAntigüedad_NVContr'!Y6</f>
        <v>28.91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433.65</v>
      </c>
      <c r="O5" s="183">
        <f>'A.0_Tablas salariales SC'!K63</f>
        <v>21728.459999999995</v>
      </c>
      <c r="P5" s="183">
        <f>(O5+N5)*G5+'A.0_Tablas salariales SC'!$R$82*(100%-G5)</f>
        <v>22162.109999999997</v>
      </c>
      <c r="Q5" s="184">
        <f>IF(D5=100,'A.0_Tablas salariales SC'!$E$215,IF(D5=150,'A.0_Tablas salariales SC'!$E$216,IF(D5=189,'A.0_Tablas salariales SC'!$E$217,IF(D5=400,'A.0_Tablas salariales SC'!$E$218,IF(D5=450,'A.0_Tablas salariales SC'!$E$219,IF(D5=401,'A.0_Tablas salariales SC'!$E$220,IF(D5=451,'A.0_Tablas salariales SC'!$E$221,'A.0_Tablas salariales SC'!$E$215)))))))</f>
        <v>0.34420000000000001</v>
      </c>
      <c r="R5" s="183">
        <f>Q5*P5</f>
        <v>7628.198261999999</v>
      </c>
      <c r="S5" s="183">
        <f>(R5+P5)*A5</f>
        <v>0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0</v>
      </c>
    </row>
    <row r="7" spans="1:20">
      <c r="A7" s="427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46023</v>
      </c>
      <c r="F7" s="171"/>
      <c r="G7" s="182">
        <f>'A.2.Plantilla_NuevaContratacion'!F7</f>
        <v>1</v>
      </c>
      <c r="H7" s="181">
        <f>'A.2.0_TablaAntigüedad_NVContr'!K8</f>
        <v>2</v>
      </c>
      <c r="I7" s="183">
        <f>'A.2.0_TablaAntigüedad_NVContr'!Y8</f>
        <v>28.91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433.65</v>
      </c>
      <c r="O7" s="183">
        <f>'A.0_Tablas salariales SC'!K64</f>
        <v>22832.16</v>
      </c>
      <c r="P7" s="183">
        <f>(O7+N7)*G7+'A.0_Tablas salariales SC'!$R$82*(100%-G7)</f>
        <v>23265.81</v>
      </c>
      <c r="Q7" s="184">
        <f>IF(D7=100,'A.0_Tablas salariales SC'!$E$215,IF(D7=150,'A.0_Tablas salariales SC'!$E$216,IF(D7=189,'A.0_Tablas salariales SC'!$E$217,IF(D7=400,'A.0_Tablas salariales SC'!$E$218,IF(D7=450,'A.0_Tablas salariales SC'!$E$219,IF(D7=401,'A.0_Tablas salariales SC'!$E$220,IF(D7=451,'A.0_Tablas salariales SC'!$E$221,'A.0_Tablas salariales SC'!$E$215)))))))</f>
        <v>0.34420000000000001</v>
      </c>
      <c r="R7" s="183">
        <f t="shared" ref="R7:R30" si="0">Q7*P7</f>
        <v>8008.0918020000008</v>
      </c>
      <c r="S7" s="183">
        <f t="shared" ref="S7:S30" si="1">(R7+P7)*A7</f>
        <v>0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0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46023</v>
      </c>
      <c r="F9" s="171"/>
      <c r="G9" s="182">
        <f>'A.2.Plantilla_NuevaContratacion'!F9</f>
        <v>1</v>
      </c>
      <c r="H9" s="181">
        <f>'A.2.0_TablaAntigüedad_NVContr'!K10</f>
        <v>2</v>
      </c>
      <c r="I9" s="183">
        <f>'A.2.0_TablaAntigüedad_NVContr'!Y10</f>
        <v>28.91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433.65</v>
      </c>
      <c r="O9" s="183">
        <f>'A.0_Tablas salariales SC'!K67</f>
        <v>23692.560000000005</v>
      </c>
      <c r="P9" s="183">
        <f>(O9+N9)*G9+'A.0_Tablas salariales SC'!$R$82*(100%-G9)</f>
        <v>24126.210000000006</v>
      </c>
      <c r="Q9" s="184">
        <f>IF(D9=100,'A.0_Tablas salariales SC'!$E$215,IF(D9=150,'A.0_Tablas salariales SC'!$E$216,IF(D9=189,'A.0_Tablas salariales SC'!$E$217,IF(D9=400,'A.0_Tablas salariales SC'!$E$218,IF(D9=450,'A.0_Tablas salariales SC'!$E$219,IF(D9=401,'A.0_Tablas salariales SC'!$E$220,IF(D9=451,'A.0_Tablas salariales SC'!$E$221,'A.0_Tablas salariales SC'!$E$215)))))))</f>
        <v>0.34420000000000001</v>
      </c>
      <c r="R9" s="183">
        <f t="shared" si="0"/>
        <v>8304.2414820000031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46023</v>
      </c>
      <c r="F11" s="171"/>
      <c r="G11" s="182">
        <f>'A.2.Plantilla_NuevaContratacion'!F11</f>
        <v>1</v>
      </c>
      <c r="H11" s="181">
        <f>'A.2.0_TablaAntigüedad_NVContr'!K12</f>
        <v>2</v>
      </c>
      <c r="I11" s="183">
        <f>'A.2.0_TablaAntigüedad_NVContr'!Y12</f>
        <v>28.91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433.65</v>
      </c>
      <c r="O11" s="183">
        <f>'A.0_Tablas salariales SC'!K68</f>
        <v>24796.26</v>
      </c>
      <c r="P11" s="183">
        <f>(O11+N11)*G11+'A.0_Tablas salariales SC'!$R$82*(100%-G11)</f>
        <v>25229.91</v>
      </c>
      <c r="Q11" s="184">
        <f>IF(D11=100,'A.0_Tablas salariales SC'!$E$215,IF(D11=150,'A.0_Tablas salariales SC'!$E$216,IF(D11=189,'A.0_Tablas salariales SC'!$E$217,IF(D11=400,'A.0_Tablas salariales SC'!$E$218,IF(D11=450,'A.0_Tablas salariales SC'!$E$219,IF(D11=401,'A.0_Tablas salariales SC'!$E$220,IF(D11=451,'A.0_Tablas salariales SC'!$E$221,'A.0_Tablas salariales SC'!$E$215)))))))</f>
        <v>0.34420000000000001</v>
      </c>
      <c r="R11" s="183">
        <f t="shared" si="0"/>
        <v>8684.1350220000004</v>
      </c>
      <c r="S11" s="183">
        <f t="shared" si="1"/>
        <v>0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46023</v>
      </c>
      <c r="F12" s="171"/>
      <c r="G12" s="182">
        <f>'A.2.Plantilla_NuevaContratacion'!F12</f>
        <v>1</v>
      </c>
      <c r="H12" s="181">
        <f>'A.2.0_TablaAntigüedad_NVContr'!K13</f>
        <v>2</v>
      </c>
      <c r="I12" s="183">
        <f>'A.2.0_TablaAntigüedad_NVContr'!Y13</f>
        <v>28.91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433.65</v>
      </c>
      <c r="O12" s="183">
        <f>'A.0_Tablas salariales SC'!K69</f>
        <v>24796.26</v>
      </c>
      <c r="P12" s="183">
        <f>(O12+N12)*G12+'A.0_Tablas salariales SC'!$R$82*(100%-G12)</f>
        <v>25229.91</v>
      </c>
      <c r="Q12" s="492">
        <f>IF(D12=100,'A.0_Tablas salariales SC'!$E$227,IF(D12=150,'A.0_Tablas salariales SC'!$E$228,IF(D12=189,'A.0_Tablas salariales SC'!$E$229,IF(D12=400,'A.0_Tablas salariales SC'!$E$230,IF(D12=450,'A.0_Tablas salariales SC'!$E$231,IF(D12=401,'A.0_Tablas salariales SC'!$E$232,IF(D12=451,'A.0_Tablas salariales SC'!$E$233,'A.0_Tablas salariales SC'!$E$227)))))))</f>
        <v>0.37519999999999998</v>
      </c>
      <c r="R12" s="183">
        <f t="shared" si="0"/>
        <v>9466.2622319999991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0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46023</v>
      </c>
      <c r="F14" s="171"/>
      <c r="G14" s="182">
        <f>'A.2.Plantilla_NuevaContratacion'!F14</f>
        <v>1</v>
      </c>
      <c r="H14" s="181">
        <f>'A.2.0_TablaAntigüedad_NVContr'!K15</f>
        <v>2</v>
      </c>
      <c r="I14" s="183">
        <f>'A.2.0_TablaAntigüedad_NVContr'!Y15</f>
        <v>28.91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433.65</v>
      </c>
      <c r="O14" s="183">
        <f>'A.0_Tablas salariales SC'!K70</f>
        <v>25806.66</v>
      </c>
      <c r="P14" s="183">
        <f>(O14+N14)*G14+'A.0_Tablas salariales SC'!$R$82*(100%-G14)</f>
        <v>26240.31</v>
      </c>
      <c r="Q14" s="184">
        <f>IF(D14=100,'A.0_Tablas salariales SC'!$E$215,IF(D14=150,'A.0_Tablas salariales SC'!$E$216,IF(D14=189,'A.0_Tablas salariales SC'!$E$217,IF(D14=400,'A.0_Tablas salariales SC'!$E$218,IF(D14=450,'A.0_Tablas salariales SC'!$E$219,IF(D14=401,'A.0_Tablas salariales SC'!$E$220,IF(D14=451,'A.0_Tablas salariales SC'!$E$221,'A.0_Tablas salariales SC'!$E$215)))))))</f>
        <v>0.34420000000000001</v>
      </c>
      <c r="R14" s="183">
        <f t="shared" si="0"/>
        <v>9031.914702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46023</v>
      </c>
      <c r="F15" s="171"/>
      <c r="G15" s="182">
        <f>'A.2.Plantilla_NuevaContratacion'!F15</f>
        <v>1</v>
      </c>
      <c r="H15" s="181">
        <f>'A.2.0_TablaAntigüedad_NVContr'!K16</f>
        <v>2</v>
      </c>
      <c r="I15" s="183">
        <f>'A.2.0_TablaAntigüedad_NVContr'!Y16</f>
        <v>28.91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433.65</v>
      </c>
      <c r="O15" s="183">
        <f>'A.0_Tablas salariales SC'!K70</f>
        <v>25806.66</v>
      </c>
      <c r="P15" s="183">
        <f>(O15+N15)*G15+'A.0_Tablas salariales SC'!$R$82*(100%-G15)</f>
        <v>26240.31</v>
      </c>
      <c r="Q15" s="184">
        <f>IF(D15=100,'A.0_Tablas salariales SC'!$E$215,IF(D15=150,'A.0_Tablas salariales SC'!$E$216,IF(D15=189,'A.0_Tablas salariales SC'!$E$217,IF(D15=400,'A.0_Tablas salariales SC'!$E$218,IF(D15=450,'A.0_Tablas salariales SC'!$E$219,IF(D15=401,'A.0_Tablas salariales SC'!$E$220,IF(D15=451,'A.0_Tablas salariales SC'!$E$221,'A.0_Tablas salariales SC'!$E$215)))))))</f>
        <v>0.34420000000000001</v>
      </c>
      <c r="R15" s="183">
        <f t="shared" si="0"/>
        <v>9031.914702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46023</v>
      </c>
      <c r="F17" s="171"/>
      <c r="G17" s="182">
        <f>'A.2.Plantilla_NuevaContratacion'!F17</f>
        <v>1</v>
      </c>
      <c r="H17" s="181">
        <f>'A.2.0_TablaAntigüedad_NVContr'!K18</f>
        <v>2</v>
      </c>
      <c r="I17" s="183">
        <f>'A.2.0_TablaAntigüedad_NVContr'!Y18</f>
        <v>39.909999999999997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598.65</v>
      </c>
      <c r="O17" s="183">
        <f>'A.0_Tablas salariales SC'!K78</f>
        <v>31056.359999999997</v>
      </c>
      <c r="P17" s="183">
        <f>(O17+N17)*G17+'A.0_Tablas salariales SC'!$R$82*(100%-G17)</f>
        <v>31655.01</v>
      </c>
      <c r="Q17" s="184">
        <f>IF(D17=100,'A.0_Tablas salariales SC'!$E$215,IF(D17=150,'A.0_Tablas salariales SC'!$E$216,IF(D17=189,'A.0_Tablas salariales SC'!$E$217,IF(D17=400,'A.0_Tablas salariales SC'!$E$218,IF(D17=450,'A.0_Tablas salariales SC'!$E$219,IF(D17=401,'A.0_Tablas salariales SC'!$E$220,IF(D17=451,'A.0_Tablas salariales SC'!$E$221,'A.0_Tablas salariales SC'!$E$215)))))))</f>
        <v>0.34420000000000001</v>
      </c>
      <c r="R17" s="183">
        <f t="shared" si="0"/>
        <v>10895.654441999999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46023</v>
      </c>
      <c r="F18" s="171"/>
      <c r="G18" s="182">
        <f>'A.2.Plantilla_NuevaContratacion'!F18</f>
        <v>1</v>
      </c>
      <c r="H18" s="181">
        <f>'A.2.0_TablaAntigüedad_NVContr'!K19</f>
        <v>2</v>
      </c>
      <c r="I18" s="183">
        <f>'A.2.0_TablaAntigüedad_NVContr'!Y19</f>
        <v>39.909999999999997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598.65</v>
      </c>
      <c r="O18" s="183">
        <f>'A.0_Tablas salariales SC'!K79</f>
        <v>28070.460000000006</v>
      </c>
      <c r="P18" s="183">
        <f>(O18+N18)*G18+'A.0_Tablas salariales SC'!$R$82*(100%-G18)</f>
        <v>28669.110000000008</v>
      </c>
      <c r="Q18" s="184">
        <f>IF(D18=100,'A.0_Tablas salariales SC'!$E$215,IF(D18=150,'A.0_Tablas salariales SC'!$E$216,IF(D18=189,'A.0_Tablas salariales SC'!$E$217,IF(D18=400,'A.0_Tablas salariales SC'!$E$218,IF(D18=450,'A.0_Tablas salariales SC'!$E$219,IF(D18=401,'A.0_Tablas salariales SC'!$E$220,IF(D18=451,'A.0_Tablas salariales SC'!$E$221,'A.0_Tablas salariales SC'!$E$215)))))))</f>
        <v>0.34420000000000001</v>
      </c>
      <c r="R18" s="183">
        <f t="shared" si="0"/>
        <v>9867.9076620000033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46023</v>
      </c>
      <c r="F19" s="171"/>
      <c r="G19" s="182">
        <f>'A.2.Plantilla_NuevaContratacion'!F19</f>
        <v>1</v>
      </c>
      <c r="H19" s="181">
        <f>'A.2.0_TablaAntigüedad_NVContr'!K20</f>
        <v>2</v>
      </c>
      <c r="I19" s="183">
        <f>'A.2.0_TablaAntigüedad_NVContr'!Y20</f>
        <v>39.909999999999997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598.65</v>
      </c>
      <c r="O19" s="183">
        <f>'A.0_Tablas salariales SC'!K80</f>
        <v>30320.91</v>
      </c>
      <c r="P19" s="183">
        <f>(O19+N19)*G19+'A.0_Tablas salariales SC'!$R$82*(100%-G19)</f>
        <v>30919.56</v>
      </c>
      <c r="Q19" s="184">
        <f>IF(D19=100,'A.0_Tablas salariales SC'!$E$215,IF(D19=150,'A.0_Tablas salariales SC'!$E$216,IF(D19=189,'A.0_Tablas salariales SC'!$E$217,IF(D19=400,'A.0_Tablas salariales SC'!$E$218,IF(D19=450,'A.0_Tablas salariales SC'!$E$219,IF(D19=401,'A.0_Tablas salariales SC'!$E$220,IF(D19=451,'A.0_Tablas salariales SC'!$E$221,'A.0_Tablas salariales SC'!$E$215)))))))</f>
        <v>0.34420000000000001</v>
      </c>
      <c r="R19" s="183">
        <f t="shared" si="0"/>
        <v>10642.512552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46023</v>
      </c>
      <c r="F20" s="171"/>
      <c r="G20" s="182">
        <f>'A.2.Plantilla_NuevaContratacion'!F20</f>
        <v>1</v>
      </c>
      <c r="H20" s="181">
        <f>'A.2.0_TablaAntigüedad_NVContr'!K21</f>
        <v>2</v>
      </c>
      <c r="I20" s="183">
        <f>'A.2.0_TablaAntigüedad_NVContr'!Y21</f>
        <v>39.909999999999997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598.65</v>
      </c>
      <c r="O20" s="183">
        <f>'A.0_Tablas salariales SC'!K81</f>
        <v>32372.010000000002</v>
      </c>
      <c r="P20" s="183">
        <f>(O20+N20)*G20+'A.0_Tablas salariales SC'!$R$82*(100%-G20)</f>
        <v>32970.660000000003</v>
      </c>
      <c r="Q20" s="184">
        <f>IF(D20=100,'A.0_Tablas salariales SC'!$E$215,IF(D20=150,'A.0_Tablas salariales SC'!$E$216,IF(D20=189,'A.0_Tablas salariales SC'!$E$217,IF(D20=400,'A.0_Tablas salariales SC'!$E$218,IF(D20=450,'A.0_Tablas salariales SC'!$E$219,IF(D20=401,'A.0_Tablas salariales SC'!$E$220,IF(D20=451,'A.0_Tablas salariales SC'!$E$221,'A.0_Tablas salariales SC'!$E$215)))))))</f>
        <v>0.34420000000000001</v>
      </c>
      <c r="R20" s="183">
        <f t="shared" si="0"/>
        <v>11348.501172000002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46023</v>
      </c>
      <c r="F21" s="171"/>
      <c r="G21" s="182">
        <f>'A.2.Plantilla_NuevaContratacion'!F21</f>
        <v>1</v>
      </c>
      <c r="H21" s="181">
        <f>'A.2.0_TablaAntigüedad_NVContr'!K22</f>
        <v>2</v>
      </c>
      <c r="I21" s="183">
        <f>'A.2.0_TablaAntigüedad_NVContr'!Y22</f>
        <v>39.909999999999997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598.65</v>
      </c>
      <c r="O21" s="183">
        <f>'A.0_Tablas salariales SC'!K82</f>
        <v>36674.160000000003</v>
      </c>
      <c r="P21" s="183">
        <f>(O21+N21)*G21+'A.0_Tablas salariales SC'!$R$82*(100%-G21)</f>
        <v>37272.810000000005</v>
      </c>
      <c r="Q21" s="184">
        <f>IF(D21=100,'A.0_Tablas salariales SC'!$E$215,IF(D21=150,'A.0_Tablas salariales SC'!$E$216,IF(D21=189,'A.0_Tablas salariales SC'!$E$217,IF(D21=400,'A.0_Tablas salariales SC'!$E$218,IF(D21=450,'A.0_Tablas salariales SC'!$E$219,IF(D21=401,'A.0_Tablas salariales SC'!$E$220,IF(D21=451,'A.0_Tablas salariales SC'!$E$221,'A.0_Tablas salariales SC'!$E$215)))))))</f>
        <v>0.34420000000000001</v>
      </c>
      <c r="R21" s="183">
        <f t="shared" si="0"/>
        <v>12829.301202000002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46023</v>
      </c>
      <c r="F23" s="171"/>
      <c r="G23" s="182">
        <f>'A.2.Plantilla_NuevaContratacion'!F23</f>
        <v>1</v>
      </c>
      <c r="H23" s="181">
        <f>'A.2.0_TablaAntigüedad_NVContr'!K24</f>
        <v>2</v>
      </c>
      <c r="I23" s="183">
        <f>'A.2.0_TablaAntigüedad_NVContr'!Y24</f>
        <v>31.31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469.65</v>
      </c>
      <c r="O23" s="183">
        <f>'A.0_Tablas salariales SC'!K72</f>
        <v>18430.259999999998</v>
      </c>
      <c r="P23" s="183">
        <f>(O23+N23)*G23+'A.0_Tablas salariales SC'!$R$82*(100%-G23)</f>
        <v>18899.91</v>
      </c>
      <c r="Q23" s="184">
        <f>IF(D23=100,'A.0_Tablas salariales SC'!$E$215,IF(D23=150,'A.0_Tablas salariales SC'!$E$216,IF(D23=189,'A.0_Tablas salariales SC'!$E$217,IF(D23=400,'A.0_Tablas salariales SC'!$E$218,IF(D23=450,'A.0_Tablas salariales SC'!$E$219,IF(D23=401,'A.0_Tablas salariales SC'!$E$220,IF(D23=451,'A.0_Tablas salariales SC'!$E$221,'A.0_Tablas salariales SC'!$E$215)))))))</f>
        <v>0.34420000000000001</v>
      </c>
      <c r="R23" s="183">
        <f t="shared" si="0"/>
        <v>6505.3490220000003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46023</v>
      </c>
      <c r="F24" s="171"/>
      <c r="G24" s="182">
        <f>'A.2.Plantilla_NuevaContratacion'!F24</f>
        <v>1</v>
      </c>
      <c r="H24" s="181">
        <f>'A.2.0_TablaAntigüedad_NVContr'!K25</f>
        <v>2</v>
      </c>
      <c r="I24" s="183">
        <f>'A.2.0_TablaAntigüedad_NVContr'!Y25</f>
        <v>31.31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469.65</v>
      </c>
      <c r="O24" s="183">
        <f>'A.0_Tablas salariales SC'!K74</f>
        <v>23767.560000000005</v>
      </c>
      <c r="P24" s="183">
        <f>(O24+N24)*G24+'A.0_Tablas salariales SC'!$R$82*(100%-G24)</f>
        <v>24237.210000000006</v>
      </c>
      <c r="Q24" s="184">
        <f>IF(D24=100,'A.0_Tablas salariales SC'!$E$215,IF(D24=150,'A.0_Tablas salariales SC'!$E$216,IF(D24=189,'A.0_Tablas salariales SC'!$E$217,IF(D24=400,'A.0_Tablas salariales SC'!$E$218,IF(D24=450,'A.0_Tablas salariales SC'!$E$219,IF(D24=401,'A.0_Tablas salariales SC'!$E$220,IF(D24=451,'A.0_Tablas salariales SC'!$E$221,'A.0_Tablas salariales SC'!$E$215)))))))</f>
        <v>0.34420000000000001</v>
      </c>
      <c r="R24" s="183">
        <f t="shared" si="0"/>
        <v>8342.4476820000018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46023</v>
      </c>
      <c r="F25" s="171"/>
      <c r="G25" s="182">
        <f>'A.2.Plantilla_NuevaContratacion'!F25</f>
        <v>1</v>
      </c>
      <c r="H25" s="181">
        <f>'A.2.0_TablaAntigüedad_NVContr'!K26</f>
        <v>2</v>
      </c>
      <c r="I25" s="183">
        <f>'A.2.0_TablaAntigüedad_NVContr'!Y26</f>
        <v>31.31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469.65</v>
      </c>
      <c r="O25" s="183">
        <f>'A.0_Tablas salariales SC'!K75</f>
        <v>24708.36</v>
      </c>
      <c r="P25" s="183">
        <f>(O25+N25)*G25+'A.0_Tablas salariales SC'!$R$82*(100%-G25)</f>
        <v>25178.010000000002</v>
      </c>
      <c r="Q25" s="184">
        <f>IF(D25=100,'A.0_Tablas salariales SC'!$E$215,IF(D25=150,'A.0_Tablas salariales SC'!$E$216,IF(D25=189,'A.0_Tablas salariales SC'!$E$217,IF(D25=400,'A.0_Tablas salariales SC'!$E$218,IF(D25=450,'A.0_Tablas salariales SC'!$E$219,IF(D25=401,'A.0_Tablas salariales SC'!$E$220,IF(D25=451,'A.0_Tablas salariales SC'!$E$221,'A.0_Tablas salariales SC'!$E$215)))))))</f>
        <v>0.34420000000000001</v>
      </c>
      <c r="R25" s="183">
        <f t="shared" si="0"/>
        <v>8666.2710420000003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46023</v>
      </c>
      <c r="F26" s="171"/>
      <c r="G26" s="182">
        <f>'A.2.Plantilla_NuevaContratacion'!F26</f>
        <v>1</v>
      </c>
      <c r="H26" s="181">
        <f>'A.2.0_TablaAntigüedad_NVContr'!K27</f>
        <v>2</v>
      </c>
      <c r="I26" s="183">
        <f>'A.2.0_TablaAntigüedad_NVContr'!Y27</f>
        <v>31.31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469.65</v>
      </c>
      <c r="O26" s="183">
        <f>'A.0_Tablas salariales SC'!K76</f>
        <v>26405.01</v>
      </c>
      <c r="P26" s="183">
        <f>(O26+N26)*G26+'A.0_Tablas salariales SC'!$R$82*(100%-G26)</f>
        <v>26874.66</v>
      </c>
      <c r="Q26" s="184">
        <f>IF(D26=100,'A.0_Tablas salariales SC'!$E$215,IF(D26=150,'A.0_Tablas salariales SC'!$E$216,IF(D26=189,'A.0_Tablas salariales SC'!$E$217,IF(D26=400,'A.0_Tablas salariales SC'!$E$218,IF(D26=450,'A.0_Tablas salariales SC'!$E$219,IF(D26=401,'A.0_Tablas salariales SC'!$E$220,IF(D26=451,'A.0_Tablas salariales SC'!$E$221,'A.0_Tablas salariales SC'!$E$215)))))))</f>
        <v>0.34420000000000001</v>
      </c>
      <c r="R26" s="183">
        <f t="shared" si="0"/>
        <v>9250.2579719999994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46023</v>
      </c>
      <c r="F27" s="171"/>
      <c r="G27" s="182">
        <f>'A.2.Plantilla_NuevaContratacion'!F27</f>
        <v>1</v>
      </c>
      <c r="H27" s="181">
        <f>'A.2.0_TablaAntigüedad_NVContr'!K28</f>
        <v>2</v>
      </c>
      <c r="I27" s="183">
        <f>'A.2.0_TablaAntigüedad_NVContr'!Y28</f>
        <v>31.31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469.65</v>
      </c>
      <c r="O27" s="183">
        <f>'A.0_Tablas salariales SC'!K77</f>
        <v>27920.01</v>
      </c>
      <c r="P27" s="183">
        <f>(O27+N27)*G27+'A.0_Tablas salariales SC'!$R$82*(100%-G27)</f>
        <v>28389.66</v>
      </c>
      <c r="Q27" s="184">
        <f>IF(D27=100,'A.0_Tablas salariales SC'!$E$215,IF(D27=150,'A.0_Tablas salariales SC'!$E$216,IF(D27=189,'A.0_Tablas salariales SC'!$E$217,IF(D27=400,'A.0_Tablas salariales SC'!$E$218,IF(D27=450,'A.0_Tablas salariales SC'!$E$219,IF(D27=401,'A.0_Tablas salariales SC'!$E$220,IF(D27=451,'A.0_Tablas salariales SC'!$E$221,'A.0_Tablas salariales SC'!$E$215)))))))</f>
        <v>0.34420000000000001</v>
      </c>
      <c r="R27" s="183">
        <f t="shared" si="0"/>
        <v>9771.720972000001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46023</v>
      </c>
      <c r="F29" s="171"/>
      <c r="G29" s="182">
        <f>'A.2.Plantilla_NuevaContratacion'!F29</f>
        <v>1</v>
      </c>
      <c r="H29" s="181">
        <f>'A.2.0_TablaAntigüedad_NVContr'!K30</f>
        <v>2</v>
      </c>
      <c r="I29" s="183">
        <f>'A.2.0_TablaAntigüedad_NVContr'!Y30</f>
        <v>28.91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433.65</v>
      </c>
      <c r="O29" s="183">
        <f>'A.0_Tablas salariales SC'!K66</f>
        <v>23580.360000000004</v>
      </c>
      <c r="P29" s="183">
        <f>(O29+N29)*G29+'A.0_Tablas salariales SC'!$R$82*(100%-G29)</f>
        <v>24014.010000000006</v>
      </c>
      <c r="Q29" s="184">
        <f>IF(D29=100,'A.0_Tablas salariales SC'!$E$215,IF(D29=150,'A.0_Tablas salariales SC'!$E$216,IF(D29=189,'A.0_Tablas salariales SC'!$E$217,IF(D29=400,'A.0_Tablas salariales SC'!$E$218,IF(D29=450,'A.0_Tablas salariales SC'!$E$219,IF(D29=401,'A.0_Tablas salariales SC'!$E$220,IF(D29=451,'A.0_Tablas salariales SC'!$E$221,'A.0_Tablas salariales SC'!$E$215)))))))</f>
        <v>0.34420000000000001</v>
      </c>
      <c r="R29" s="183">
        <f t="shared" si="0"/>
        <v>8265.6222420000013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46023</v>
      </c>
      <c r="F30" s="171"/>
      <c r="G30" s="182">
        <f>'A.2.Plantilla_NuevaContratacion'!F30</f>
        <v>1</v>
      </c>
      <c r="H30" s="181">
        <f>'A.2.0_TablaAntigüedad_NVContr'!K31</f>
        <v>2</v>
      </c>
      <c r="I30" s="183">
        <f>'A.2.0_TablaAntigüedad_NVContr'!Y31</f>
        <v>28.91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433.65</v>
      </c>
      <c r="O30" s="183">
        <f>'A.0_Tablas salariales SC'!K65</f>
        <v>22832.460000000003</v>
      </c>
      <c r="P30" s="183">
        <f>(O30+N30)*G30+'A.0_Tablas salariales SC'!$R$82*(100%-G30)</f>
        <v>23266.110000000004</v>
      </c>
      <c r="Q30" s="184">
        <f>IF(D30=100,'A.0_Tablas salariales SC'!$E$215,IF(D30=150,'A.0_Tablas salariales SC'!$E$216,IF(D30=189,'A.0_Tablas salariales SC'!$E$217,IF(D30=400,'A.0_Tablas salariales SC'!$E$218,IF(D30=450,'A.0_Tablas salariales SC'!$E$219,IF(D30=401,'A.0_Tablas salariales SC'!$E$220,IF(D30=451,'A.0_Tablas salariales SC'!$E$221,'A.0_Tablas salariales SC'!$E$215)))))))</f>
        <v>0.34420000000000001</v>
      </c>
      <c r="R30" s="183">
        <f t="shared" si="0"/>
        <v>8008.1950620000016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0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S6 A8:S8 A10:S10 A13:S13 A16:S16 A22:S22 A28:S28">
    <cfRule type="cellIs" dxfId="53" priority="5" operator="equal">
      <formula>0</formula>
    </cfRule>
  </conditionalFormatting>
  <conditionalFormatting sqref="G7:G9">
    <cfRule type="cellIs" dxfId="52" priority="12" operator="equal">
      <formula>0</formula>
    </cfRule>
  </conditionalFormatting>
  <conditionalFormatting sqref="G5:S5">
    <cfRule type="cellIs" dxfId="51" priority="2" operator="equal">
      <formula>0</formula>
    </cfRule>
  </conditionalFormatting>
  <conditionalFormatting sqref="H7:S7 H9:S9 G11:S12 G14:S15 G17:S21 G23:S27 G29:S30">
    <cfRule type="cellIs" dxfId="50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100E-4677-470E-B169-857E1E3FB0B4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6" sqref="N7 N9 N11:N12 N14: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1024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951</v>
      </c>
      <c r="I3" s="241" t="s">
        <v>952</v>
      </c>
      <c r="J3" s="241" t="s">
        <v>953</v>
      </c>
      <c r="K3" s="241" t="s">
        <v>1003</v>
      </c>
      <c r="L3" s="241" t="s">
        <v>1103</v>
      </c>
      <c r="M3" s="241" t="s">
        <v>954</v>
      </c>
      <c r="N3" s="241" t="s">
        <v>955</v>
      </c>
      <c r="O3" s="241" t="s">
        <v>956</v>
      </c>
      <c r="P3" s="241" t="s">
        <v>957</v>
      </c>
      <c r="Q3" s="241" t="s">
        <v>958</v>
      </c>
      <c r="R3" s="241" t="s">
        <v>959</v>
      </c>
      <c r="S3" s="241" t="s">
        <v>960</v>
      </c>
      <c r="T3" s="241" t="s">
        <v>961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L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M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46023</v>
      </c>
      <c r="F5" s="171"/>
      <c r="G5" s="182">
        <f>'A.2.Plantilla_NuevaContratacion'!F5</f>
        <v>1</v>
      </c>
      <c r="H5" s="181">
        <f>'A.2.0_TablaAntigüedad_NVContr'!L6</f>
        <v>3</v>
      </c>
      <c r="I5" s="183">
        <f>'A.2.0_TablaAntigüedad_NVContr'!Z6</f>
        <v>30.22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453.29999999999995</v>
      </c>
      <c r="O5" s="183">
        <f>'A.0_Tablas salariales SC'!K90</f>
        <v>23156.259999999995</v>
      </c>
      <c r="P5" s="183">
        <f>(O5+N5)*G5+'A.0_Tablas salariales SC'!$R$109*(100%-G5)</f>
        <v>23609.559999999994</v>
      </c>
      <c r="Q5" s="184">
        <f>IF(D5=100,'A.0_Tablas salariales SC'!$F$215,IF(D5=150,'A.0_Tablas salariales SC'!$F$216,IF(D5=189,'A.0_Tablas salariales SC'!$F$217,IF(D5=400,'A.0_Tablas salariales SC'!$F$218,IF(D5=450,'A.0_Tablas salariales SC'!$F$219,IF(D5=401,'A.0_Tablas salariales SC'!$F$220,IF(D5=451,'A.0_Tablas salariales SC'!$F$221,'A.0_Tablas salariales SC'!$F$215)))))))</f>
        <v>0.34499999999999997</v>
      </c>
      <c r="R5" s="183">
        <f>Q5*P5</f>
        <v>8145.2981999999975</v>
      </c>
      <c r="S5" s="183">
        <f>(R5+P5)*A5</f>
        <v>0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0</v>
      </c>
    </row>
    <row r="7" spans="1:20">
      <c r="A7" s="427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46023</v>
      </c>
      <c r="F7" s="171"/>
      <c r="G7" s="182">
        <f>'A.2.Plantilla_NuevaContratacion'!F7</f>
        <v>1</v>
      </c>
      <c r="H7" s="181">
        <f>'A.2.0_TablaAntigüedad_NVContr'!L8</f>
        <v>3</v>
      </c>
      <c r="I7" s="183">
        <f>'A.2.0_TablaAntigüedad_NVContr'!Z8</f>
        <v>30.22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453.29999999999995</v>
      </c>
      <c r="O7" s="183">
        <f>'A.0_Tablas salariales SC'!K91</f>
        <v>24309.610000000004</v>
      </c>
      <c r="P7" s="183">
        <f>(O7+N7)*G7+'A.0_Tablas salariales SC'!$R$109*(100%-G7)</f>
        <v>24762.910000000003</v>
      </c>
      <c r="Q7" s="184">
        <f>IF(D7=100,'A.0_Tablas salariales SC'!$F$215,IF(D7=150,'A.0_Tablas salariales SC'!$F$216,IF(D7=189,'A.0_Tablas salariales SC'!$F$217,IF(D7=400,'A.0_Tablas salariales SC'!$F$218,IF(D7=450,'A.0_Tablas salariales SC'!$F$219,IF(D7=401,'A.0_Tablas salariales SC'!$F$220,IF(D7=451,'A.0_Tablas salariales SC'!$F$221,'A.0_Tablas salariales SC'!$F$215)))))))</f>
        <v>0.34499999999999997</v>
      </c>
      <c r="R7" s="183">
        <f t="shared" ref="R7:R30" si="0">Q7*P7</f>
        <v>8543.203950000001</v>
      </c>
      <c r="S7" s="183">
        <f t="shared" ref="S7:S30" si="1">(R7+P7)*A7</f>
        <v>0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0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46023</v>
      </c>
      <c r="F9" s="171"/>
      <c r="G9" s="182">
        <f>'A.2.Plantilla_NuevaContratacion'!F9</f>
        <v>1</v>
      </c>
      <c r="H9" s="181">
        <f>'A.2.0_TablaAntigüedad_NVContr'!L10</f>
        <v>3</v>
      </c>
      <c r="I9" s="183">
        <f>'A.2.0_TablaAntigüedad_NVContr'!Z10</f>
        <v>30.22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453.29999999999995</v>
      </c>
      <c r="O9" s="183">
        <f>'A.0_Tablas salariales SC'!K94</f>
        <v>25208.71</v>
      </c>
      <c r="P9" s="183">
        <f>(O9+N9)*G9+'A.0_Tablas salariales SC'!$R$109*(100%-G9)</f>
        <v>25662.01</v>
      </c>
      <c r="Q9" s="184">
        <f>IF(D9=100,'A.0_Tablas salariales SC'!$F$215,IF(D9=150,'A.0_Tablas salariales SC'!$F$216,IF(D9=189,'A.0_Tablas salariales SC'!$F$217,IF(D9=400,'A.0_Tablas salariales SC'!$F$218,IF(D9=450,'A.0_Tablas salariales SC'!$F$219,IF(D9=401,'A.0_Tablas salariales SC'!$F$220,IF(D9=451,'A.0_Tablas salariales SC'!$F$221,'A.0_Tablas salariales SC'!$F$215)))))))</f>
        <v>0.34499999999999997</v>
      </c>
      <c r="R9" s="183">
        <f t="shared" si="0"/>
        <v>8853.3934499999996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46023</v>
      </c>
      <c r="F11" s="171"/>
      <c r="G11" s="182">
        <f>'A.2.Plantilla_NuevaContratacion'!F11</f>
        <v>1</v>
      </c>
      <c r="H11" s="181">
        <f>'A.2.0_TablaAntigüedad_NVContr'!L12</f>
        <v>3</v>
      </c>
      <c r="I11" s="183">
        <f>'A.2.0_TablaAntigüedad_NVContr'!Z12</f>
        <v>30.22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453.29999999999995</v>
      </c>
      <c r="O11" s="183">
        <f>'A.0_Tablas salariales SC'!K95</f>
        <v>26362.059999999998</v>
      </c>
      <c r="P11" s="183">
        <f>(O11+N11)*G11+'A.0_Tablas salariales SC'!$R$109*(100%-G11)</f>
        <v>26815.359999999997</v>
      </c>
      <c r="Q11" s="184">
        <f>IF(D11=100,'A.0_Tablas salariales SC'!$F$215,IF(D11=150,'A.0_Tablas salariales SC'!$F$216,IF(D11=189,'A.0_Tablas salariales SC'!$F$217,IF(D11=400,'A.0_Tablas salariales SC'!$F$218,IF(D11=450,'A.0_Tablas salariales SC'!$F$219,IF(D11=401,'A.0_Tablas salariales SC'!$F$220,IF(D11=451,'A.0_Tablas salariales SC'!$F$221,'A.0_Tablas salariales SC'!$F$215)))))))</f>
        <v>0.34499999999999997</v>
      </c>
      <c r="R11" s="183">
        <f t="shared" si="0"/>
        <v>9251.2991999999977</v>
      </c>
      <c r="S11" s="183">
        <f t="shared" si="1"/>
        <v>0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46023</v>
      </c>
      <c r="F12" s="171"/>
      <c r="G12" s="182">
        <f>'A.2.Plantilla_NuevaContratacion'!F12</f>
        <v>1</v>
      </c>
      <c r="H12" s="181">
        <f>'A.2.0_TablaAntigüedad_NVContr'!L13</f>
        <v>3</v>
      </c>
      <c r="I12" s="183">
        <f>'A.2.0_TablaAntigüedad_NVContr'!Z13</f>
        <v>30.22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453.29999999999995</v>
      </c>
      <c r="O12" s="183">
        <f>'A.0_Tablas salariales SC'!K96</f>
        <v>26362.059999999998</v>
      </c>
      <c r="P12" s="183">
        <f>(O12+N12)*G12+'A.0_Tablas salariales SC'!$R$109*(100%-G12)</f>
        <v>26815.359999999997</v>
      </c>
      <c r="Q12" s="492">
        <f>IF(D12=100,'A.0_Tablas salariales SC'!$F$227,IF(D12=150,'A.0_Tablas salariales SC'!$F$228,IF(D12=189,'A.0_Tablas salariales SC'!$F$229,IF(D12=400,'A.0_Tablas salariales SC'!$F$230,IF(D12=450,'A.0_Tablas salariales SC'!$F$231,IF(D12=401,'A.0_Tablas salariales SC'!$F$232,IF(D12=451,'A.0_Tablas salariales SC'!$F$233,'A.0_Tablas salariales SC'!$F$227)))))))</f>
        <v>0.376</v>
      </c>
      <c r="R12" s="183">
        <f t="shared" si="0"/>
        <v>10082.575359999999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0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46023</v>
      </c>
      <c r="F14" s="171"/>
      <c r="G14" s="182">
        <f>'A.2.Plantilla_NuevaContratacion'!F14</f>
        <v>1</v>
      </c>
      <c r="H14" s="181">
        <f>'A.2.0_TablaAntigüedad_NVContr'!L15</f>
        <v>3</v>
      </c>
      <c r="I14" s="183">
        <f>'A.2.0_TablaAntigüedad_NVContr'!Z15</f>
        <v>30.22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453.29999999999995</v>
      </c>
      <c r="O14" s="183">
        <f>'A.0_Tablas salariales SC'!K98</f>
        <v>27417.909999999996</v>
      </c>
      <c r="P14" s="183">
        <f>(O14+N14)*G14+'A.0_Tablas salariales SC'!$R$109*(100%-G14)</f>
        <v>27871.209999999995</v>
      </c>
      <c r="Q14" s="184">
        <f>IF(D14=100,'A.0_Tablas salariales SC'!$F$215,IF(D14=150,'A.0_Tablas salariales SC'!$F$216,IF(D14=189,'A.0_Tablas salariales SC'!$F$217,IF(D14=400,'A.0_Tablas salariales SC'!$F$218,IF(D14=450,'A.0_Tablas salariales SC'!$F$219,IF(D14=401,'A.0_Tablas salariales SC'!$F$220,IF(D14=451,'A.0_Tablas salariales SC'!$F$221,'A.0_Tablas salariales SC'!$F$215)))))))</f>
        <v>0.34499999999999997</v>
      </c>
      <c r="R14" s="183">
        <f t="shared" si="0"/>
        <v>9615.5674499999968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46023</v>
      </c>
      <c r="F15" s="171"/>
      <c r="G15" s="182">
        <f>'A.2.Plantilla_NuevaContratacion'!F15</f>
        <v>1</v>
      </c>
      <c r="H15" s="181">
        <f>'A.2.0_TablaAntigüedad_NVContr'!L16</f>
        <v>3</v>
      </c>
      <c r="I15" s="183">
        <f>'A.2.0_TablaAntigüedad_NVContr'!Z16</f>
        <v>30.22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453.29999999999995</v>
      </c>
      <c r="O15" s="183">
        <f>'A.0_Tablas salariales SC'!K97</f>
        <v>27417.909999999996</v>
      </c>
      <c r="P15" s="183">
        <f>(O15+N15)*G15+'A.0_Tablas salariales SC'!$R$109*(100%-G15)</f>
        <v>27871.209999999995</v>
      </c>
      <c r="Q15" s="184">
        <f>IF(D15=100,'A.0_Tablas salariales SC'!$F$215,IF(D15=150,'A.0_Tablas salariales SC'!$F$216,IF(D15=189,'A.0_Tablas salariales SC'!$F$217,IF(D15=400,'A.0_Tablas salariales SC'!$F$218,IF(D15=450,'A.0_Tablas salariales SC'!$F$219,IF(D15=401,'A.0_Tablas salariales SC'!$F$220,IF(D15=451,'A.0_Tablas salariales SC'!$F$221,'A.0_Tablas salariales SC'!$F$215)))))))</f>
        <v>0.34499999999999997</v>
      </c>
      <c r="R15" s="183">
        <f t="shared" si="0"/>
        <v>9615.5674499999968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46023</v>
      </c>
      <c r="F17" s="171"/>
      <c r="G17" s="182">
        <f>'A.2.Plantilla_NuevaContratacion'!F17</f>
        <v>1</v>
      </c>
      <c r="H17" s="181">
        <f>'A.2.0_TablaAntigüedad_NVContr'!L18</f>
        <v>3</v>
      </c>
      <c r="I17" s="183">
        <f>'A.2.0_TablaAntigüedad_NVContr'!Z18</f>
        <v>41.71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625.65</v>
      </c>
      <c r="O17" s="183">
        <f>'A.0_Tablas salariales SC'!K105</f>
        <v>32904.009999999995</v>
      </c>
      <c r="P17" s="183">
        <f>(O17+N17)*G17+'A.0_Tablas salariales SC'!$R$109*(100%-G17)</f>
        <v>33529.659999999996</v>
      </c>
      <c r="Q17" s="184">
        <f>IF(D17=100,'A.0_Tablas salariales SC'!$F$215,IF(D17=150,'A.0_Tablas salariales SC'!$F$216,IF(D17=189,'A.0_Tablas salariales SC'!$F$217,IF(D17=400,'A.0_Tablas salariales SC'!$F$218,IF(D17=450,'A.0_Tablas salariales SC'!$F$219,IF(D17=401,'A.0_Tablas salariales SC'!$F$220,IF(D17=451,'A.0_Tablas salariales SC'!$F$221,'A.0_Tablas salariales SC'!$F$215)))))))</f>
        <v>0.34499999999999997</v>
      </c>
      <c r="R17" s="183">
        <f t="shared" si="0"/>
        <v>11567.732699999999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46023</v>
      </c>
      <c r="F18" s="171"/>
      <c r="G18" s="182">
        <f>'A.2.Plantilla_NuevaContratacion'!F18</f>
        <v>1</v>
      </c>
      <c r="H18" s="181">
        <f>'A.2.0_TablaAntigüedad_NVContr'!L19</f>
        <v>3</v>
      </c>
      <c r="I18" s="183">
        <f>'A.2.0_TablaAntigüedad_NVContr'!Z19</f>
        <v>41.71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625.65</v>
      </c>
      <c r="O18" s="183">
        <f>'A.0_Tablas salariales SC'!K106</f>
        <v>29783.560000000009</v>
      </c>
      <c r="P18" s="183">
        <f>(O18+N18)*G18+'A.0_Tablas salariales SC'!$R$109*(100%-G18)</f>
        <v>30409.21000000001</v>
      </c>
      <c r="Q18" s="184">
        <f>IF(D18=100,'A.0_Tablas salariales SC'!$F$215,IF(D18=150,'A.0_Tablas salariales SC'!$F$216,IF(D18=189,'A.0_Tablas salariales SC'!$F$217,IF(D18=400,'A.0_Tablas salariales SC'!$F$218,IF(D18=450,'A.0_Tablas salariales SC'!$F$219,IF(D18=401,'A.0_Tablas salariales SC'!$F$220,IF(D18=451,'A.0_Tablas salariales SC'!$F$221,'A.0_Tablas salariales SC'!$F$215)))))))</f>
        <v>0.34499999999999997</v>
      </c>
      <c r="R18" s="183">
        <f t="shared" si="0"/>
        <v>10491.177450000003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46023</v>
      </c>
      <c r="F19" s="171"/>
      <c r="G19" s="182">
        <f>'A.2.Plantilla_NuevaContratacion'!F19</f>
        <v>1</v>
      </c>
      <c r="H19" s="181">
        <f>'A.2.0_TablaAntigüedad_NVContr'!L20</f>
        <v>3</v>
      </c>
      <c r="I19" s="183">
        <f>'A.2.0_TablaAntigüedad_NVContr'!Z20</f>
        <v>41.71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625.65</v>
      </c>
      <c r="O19" s="183">
        <f>'A.0_Tablas salariales SC'!K107</f>
        <v>32135.26</v>
      </c>
      <c r="P19" s="183">
        <f>(O19+N19)*G19+'A.0_Tablas salariales SC'!$R$109*(100%-G19)</f>
        <v>32760.91</v>
      </c>
      <c r="Q19" s="184">
        <f>IF(D19=100,'A.0_Tablas salariales SC'!$F$215,IF(D19=150,'A.0_Tablas salariales SC'!$F$216,IF(D19=189,'A.0_Tablas salariales SC'!$F$217,IF(D19=400,'A.0_Tablas salariales SC'!$F$218,IF(D19=450,'A.0_Tablas salariales SC'!$F$219,IF(D19=401,'A.0_Tablas salariales SC'!$F$220,IF(D19=451,'A.0_Tablas salariales SC'!$F$221,'A.0_Tablas salariales SC'!$F$215)))))))</f>
        <v>0.34499999999999997</v>
      </c>
      <c r="R19" s="183">
        <f t="shared" si="0"/>
        <v>11302.513949999999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46023</v>
      </c>
      <c r="F20" s="171"/>
      <c r="G20" s="182">
        <f>'A.2.Plantilla_NuevaContratacion'!F20</f>
        <v>1</v>
      </c>
      <c r="H20" s="181">
        <f>'A.2.0_TablaAntigüedad_NVContr'!L21</f>
        <v>3</v>
      </c>
      <c r="I20" s="183">
        <f>'A.2.0_TablaAntigüedad_NVContr'!Z21</f>
        <v>41.71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625.65</v>
      </c>
      <c r="O20" s="183">
        <f>'A.0_Tablas salariales SC'!K108</f>
        <v>34278.610000000008</v>
      </c>
      <c r="P20" s="183">
        <f>(O20+N20)*G20+'A.0_Tablas salariales SC'!$R$109*(100%-G20)</f>
        <v>34904.260000000009</v>
      </c>
      <c r="Q20" s="184">
        <f>IF(D20=100,'A.0_Tablas salariales SC'!$F$215,IF(D20=150,'A.0_Tablas salariales SC'!$F$216,IF(D20=189,'A.0_Tablas salariales SC'!$F$217,IF(D20=400,'A.0_Tablas salariales SC'!$F$218,IF(D20=450,'A.0_Tablas salariales SC'!$F$219,IF(D20=401,'A.0_Tablas salariales SC'!$F$220,IF(D20=451,'A.0_Tablas salariales SC'!$F$221,'A.0_Tablas salariales SC'!$F$215)))))))</f>
        <v>0.34499999999999997</v>
      </c>
      <c r="R20" s="183">
        <f t="shared" si="0"/>
        <v>12041.969700000001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46023</v>
      </c>
      <c r="F21" s="171"/>
      <c r="G21" s="182">
        <f>'A.2.Plantilla_NuevaContratacion'!F21</f>
        <v>1</v>
      </c>
      <c r="H21" s="181">
        <f>'A.2.0_TablaAntigüedad_NVContr'!L22</f>
        <v>3</v>
      </c>
      <c r="I21" s="183">
        <f>'A.2.0_TablaAntigüedad_NVContr'!Z22</f>
        <v>41.71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625.65</v>
      </c>
      <c r="O21" s="183">
        <f>'A.0_Tablas salariales SC'!K109</f>
        <v>38774.409999999996</v>
      </c>
      <c r="P21" s="183">
        <f>(O21+N21)*G21+'A.0_Tablas salariales SC'!$R$109*(100%-G21)</f>
        <v>39400.06</v>
      </c>
      <c r="Q21" s="184">
        <f>IF(D21=100,'A.0_Tablas salariales SC'!$F$215,IF(D21=150,'A.0_Tablas salariales SC'!$F$216,IF(D21=189,'A.0_Tablas salariales SC'!$F$217,IF(D21=400,'A.0_Tablas salariales SC'!$F$218,IF(D21=450,'A.0_Tablas salariales SC'!$F$219,IF(D21=401,'A.0_Tablas salariales SC'!$F$220,IF(D21=451,'A.0_Tablas salariales SC'!$F$221,'A.0_Tablas salariales SC'!$F$215)))))))</f>
        <v>0.34499999999999997</v>
      </c>
      <c r="R21" s="183">
        <f t="shared" si="0"/>
        <v>13593.020699999997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46023</v>
      </c>
      <c r="F23" s="171"/>
      <c r="G23" s="182">
        <f>'A.2.Plantilla_NuevaContratacion'!F23</f>
        <v>1</v>
      </c>
      <c r="H23" s="181">
        <f>'A.2.0_TablaAntigüedad_NVContr'!L24</f>
        <v>3</v>
      </c>
      <c r="I23" s="183">
        <f>'A.2.0_TablaAntigüedad_NVContr'!Z24</f>
        <v>32.72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490.79999999999995</v>
      </c>
      <c r="O23" s="183">
        <f>'A.0_Tablas salariales SC'!K99</f>
        <v>19709.560000000001</v>
      </c>
      <c r="P23" s="183">
        <f>(O23+N23)*G23+'A.0_Tablas salariales SC'!$R$109*(100%-G23)</f>
        <v>20200.36</v>
      </c>
      <c r="Q23" s="184">
        <f>IF(D23=100,'A.0_Tablas salariales SC'!$F$215,IF(D23=150,'A.0_Tablas salariales SC'!$F$216,IF(D23=189,'A.0_Tablas salariales SC'!$F$217,IF(D23=400,'A.0_Tablas salariales SC'!$F$218,IF(D23=450,'A.0_Tablas salariales SC'!$F$219,IF(D23=401,'A.0_Tablas salariales SC'!$F$220,IF(D23=451,'A.0_Tablas salariales SC'!$F$221,'A.0_Tablas salariales SC'!$F$215)))))))</f>
        <v>0.34499999999999997</v>
      </c>
      <c r="R23" s="183">
        <f t="shared" si="0"/>
        <v>6969.1241999999993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46023</v>
      </c>
      <c r="F24" s="171"/>
      <c r="G24" s="182">
        <f>'A.2.Plantilla_NuevaContratacion'!F24</f>
        <v>1</v>
      </c>
      <c r="H24" s="181">
        <f>'A.2.0_TablaAntigüedad_NVContr'!L25</f>
        <v>3</v>
      </c>
      <c r="I24" s="183">
        <f>'A.2.0_TablaAntigüedad_NVContr'!Z25</f>
        <v>32.72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490.79999999999995</v>
      </c>
      <c r="O24" s="183">
        <f>'A.0_Tablas salariales SC'!K101</f>
        <v>25287.16</v>
      </c>
      <c r="P24" s="183">
        <f>(O24+N24)*G24+'A.0_Tablas salariales SC'!$R$109*(100%-G24)</f>
        <v>25777.96</v>
      </c>
      <c r="Q24" s="184">
        <f>IF(D24=100,'A.0_Tablas salariales SC'!$F$215,IF(D24=150,'A.0_Tablas salariales SC'!$F$216,IF(D24=189,'A.0_Tablas salariales SC'!$F$217,IF(D24=400,'A.0_Tablas salariales SC'!$F$218,IF(D24=450,'A.0_Tablas salariales SC'!$F$219,IF(D24=401,'A.0_Tablas salariales SC'!$F$220,IF(D24=451,'A.0_Tablas salariales SC'!$F$221,'A.0_Tablas salariales SC'!$F$215)))))))</f>
        <v>0.34499999999999997</v>
      </c>
      <c r="R24" s="183">
        <f t="shared" si="0"/>
        <v>8893.3961999999992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46023</v>
      </c>
      <c r="F25" s="171"/>
      <c r="G25" s="182">
        <f>'A.2.Plantilla_NuevaContratacion'!F25</f>
        <v>1</v>
      </c>
      <c r="H25" s="181">
        <f>'A.2.0_TablaAntigüedad_NVContr'!L26</f>
        <v>3</v>
      </c>
      <c r="I25" s="183">
        <f>'A.2.0_TablaAntigüedad_NVContr'!Z26</f>
        <v>32.72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490.79999999999995</v>
      </c>
      <c r="O25" s="183">
        <f>'A.0_Tablas salariales SC'!K102</f>
        <v>26270.109999999997</v>
      </c>
      <c r="P25" s="183">
        <f>(O25+N25)*G25+'A.0_Tablas salariales SC'!$R$109*(100%-G25)</f>
        <v>26760.909999999996</v>
      </c>
      <c r="Q25" s="184">
        <f>IF(D25=100,'A.0_Tablas salariales SC'!$F$215,IF(D25=150,'A.0_Tablas salariales SC'!$F$216,IF(D25=189,'A.0_Tablas salariales SC'!$F$217,IF(D25=400,'A.0_Tablas salariales SC'!$F$218,IF(D25=450,'A.0_Tablas salariales SC'!$F$219,IF(D25=401,'A.0_Tablas salariales SC'!$F$220,IF(D25=451,'A.0_Tablas salariales SC'!$F$221,'A.0_Tablas salariales SC'!$F$215)))))))</f>
        <v>0.34499999999999997</v>
      </c>
      <c r="R25" s="183">
        <f t="shared" si="0"/>
        <v>9232.5139499999987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46023</v>
      </c>
      <c r="F26" s="171"/>
      <c r="G26" s="182">
        <f>'A.2.Plantilla_NuevaContratacion'!F26</f>
        <v>1</v>
      </c>
      <c r="H26" s="181">
        <f>'A.2.0_TablaAntigüedad_NVContr'!L27</f>
        <v>3</v>
      </c>
      <c r="I26" s="183">
        <f>'A.2.0_TablaAntigüedad_NVContr'!Z27</f>
        <v>32.72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490.79999999999995</v>
      </c>
      <c r="O26" s="183">
        <f>'A.0_Tablas salariales SC'!K103</f>
        <v>28043.11</v>
      </c>
      <c r="P26" s="183">
        <f>(O26+N26)*G26+'A.0_Tablas salariales SC'!$R$109*(100%-G26)</f>
        <v>28533.91</v>
      </c>
      <c r="Q26" s="184">
        <f>IF(D26=100,'A.0_Tablas salariales SC'!$F$215,IF(D26=150,'A.0_Tablas salariales SC'!$F$216,IF(D26=189,'A.0_Tablas salariales SC'!$F$217,IF(D26=400,'A.0_Tablas salariales SC'!$F$218,IF(D26=450,'A.0_Tablas salariales SC'!$F$219,IF(D26=401,'A.0_Tablas salariales SC'!$F$220,IF(D26=451,'A.0_Tablas salariales SC'!$F$221,'A.0_Tablas salariales SC'!$F$215)))))))</f>
        <v>0.34499999999999997</v>
      </c>
      <c r="R26" s="183">
        <f t="shared" si="0"/>
        <v>9844.19895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46023</v>
      </c>
      <c r="F27" s="171"/>
      <c r="G27" s="182">
        <f>'A.2.Plantilla_NuevaContratacion'!F27</f>
        <v>1</v>
      </c>
      <c r="H27" s="181">
        <f>'A.2.0_TablaAntigüedad_NVContr'!L28</f>
        <v>3</v>
      </c>
      <c r="I27" s="183">
        <f>'A.2.0_TablaAntigüedad_NVContr'!Z28</f>
        <v>32.72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490.79999999999995</v>
      </c>
      <c r="O27" s="183">
        <f>'A.0_Tablas salariales SC'!K104</f>
        <v>29626.51</v>
      </c>
      <c r="P27" s="183">
        <f>(O27+N27)*G27+'A.0_Tablas salariales SC'!$R$109*(100%-G27)</f>
        <v>30117.309999999998</v>
      </c>
      <c r="Q27" s="184">
        <f>IF(D27=100,'A.0_Tablas salariales SC'!$F$215,IF(D27=150,'A.0_Tablas salariales SC'!$F$216,IF(D27=189,'A.0_Tablas salariales SC'!$F$217,IF(D27=400,'A.0_Tablas salariales SC'!$F$218,IF(D27=450,'A.0_Tablas salariales SC'!$F$219,IF(D27=401,'A.0_Tablas salariales SC'!$F$220,IF(D27=451,'A.0_Tablas salariales SC'!$F$221,'A.0_Tablas salariales SC'!$F$215)))))))</f>
        <v>0.34499999999999997</v>
      </c>
      <c r="R27" s="183">
        <f t="shared" si="0"/>
        <v>10390.471949999999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46023</v>
      </c>
      <c r="F29" s="171"/>
      <c r="G29" s="182">
        <f>'A.2.Plantilla_NuevaContratacion'!F29</f>
        <v>1</v>
      </c>
      <c r="H29" s="181">
        <f>'A.2.0_TablaAntigüedad_NVContr'!L30</f>
        <v>3</v>
      </c>
      <c r="I29" s="183">
        <f>'A.2.0_TablaAntigüedad_NVContr'!Z30</f>
        <v>30.22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453.29999999999995</v>
      </c>
      <c r="O29" s="183">
        <f>'A.0_Tablas salariales SC'!K93</f>
        <v>25091.410000000003</v>
      </c>
      <c r="P29" s="183">
        <f>(O29+N29)*G29+'A.0_Tablas salariales SC'!$R$109*(100%-G29)</f>
        <v>25544.710000000003</v>
      </c>
      <c r="Q29" s="184">
        <f>IF(D29=100,'A.0_Tablas salariales SC'!$F$215,IF(D29=150,'A.0_Tablas salariales SC'!$F$216,IF(D29=189,'A.0_Tablas salariales SC'!$F$217,IF(D29=400,'A.0_Tablas salariales SC'!$F$218,IF(D29=450,'A.0_Tablas salariales SC'!$F$219,IF(D29=401,'A.0_Tablas salariales SC'!$F$220,IF(D29=451,'A.0_Tablas salariales SC'!$F$221,'A.0_Tablas salariales SC'!$F$215)))))))</f>
        <v>0.34499999999999997</v>
      </c>
      <c r="R29" s="183">
        <f t="shared" si="0"/>
        <v>8812.9249500000005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46023</v>
      </c>
      <c r="F30" s="171"/>
      <c r="G30" s="182">
        <f>'A.2.Plantilla_NuevaContratacion'!F30</f>
        <v>1</v>
      </c>
      <c r="H30" s="181">
        <f>'A.2.0_TablaAntigüedad_NVContr'!L31</f>
        <v>3</v>
      </c>
      <c r="I30" s="183">
        <f>'A.2.0_TablaAntigüedad_NVContr'!Z31</f>
        <v>30.22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453.29999999999995</v>
      </c>
      <c r="O30" s="183">
        <f>'A.0_Tablas salariales SC'!K92</f>
        <v>24309.910000000003</v>
      </c>
      <c r="P30" s="183">
        <f>(O30+N30)*G30+'A.0_Tablas salariales SC'!$R$109*(100%-G30)</f>
        <v>24763.210000000003</v>
      </c>
      <c r="Q30" s="184">
        <f>IF(D30=100,'A.0_Tablas salariales SC'!$F$215,IF(D30=150,'A.0_Tablas salariales SC'!$F$216,IF(D30=189,'A.0_Tablas salariales SC'!$F$217,IF(D30=400,'A.0_Tablas salariales SC'!$F$218,IF(D30=450,'A.0_Tablas salariales SC'!$F$219,IF(D30=401,'A.0_Tablas salariales SC'!$F$220,IF(D30=451,'A.0_Tablas salariales SC'!$F$221,'A.0_Tablas salariales SC'!$F$215)))))))</f>
        <v>0.34499999999999997</v>
      </c>
      <c r="R30" s="183">
        <f t="shared" si="0"/>
        <v>8543.3074500000002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0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K6 A8:K8 A10:K10 A13:K13 A16:K16 A22:K22 A28:K28">
    <cfRule type="cellIs" dxfId="49" priority="10" operator="equal">
      <formula>0</formula>
    </cfRule>
  </conditionalFormatting>
  <conditionalFormatting sqref="G7:G9">
    <cfRule type="cellIs" dxfId="48" priority="11" operator="equal">
      <formula>0</formula>
    </cfRule>
  </conditionalFormatting>
  <conditionalFormatting sqref="G11:K12">
    <cfRule type="cellIs" dxfId="47" priority="5" operator="equal">
      <formula>0</formula>
    </cfRule>
  </conditionalFormatting>
  <conditionalFormatting sqref="G5:S5">
    <cfRule type="cellIs" dxfId="46" priority="1" operator="equal">
      <formula>0</formula>
    </cfRule>
  </conditionalFormatting>
  <conditionalFormatting sqref="H7:K7 H9:K9 G14:K15 G17:K21 G23:K27 G29:K30">
    <cfRule type="cellIs" dxfId="45" priority="6" operator="equal">
      <formula>0</formula>
    </cfRule>
  </conditionalFormatting>
  <conditionalFormatting sqref="L6:S30">
    <cfRule type="cellIs" dxfId="44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51D6-11B7-4ED4-A099-95EAB05CD3B3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9" sqref="N5 N7 N9 N11 N12 N14 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1025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962</v>
      </c>
      <c r="I3" s="241" t="s">
        <v>963</v>
      </c>
      <c r="J3" s="241" t="s">
        <v>964</v>
      </c>
      <c r="K3" s="241" t="s">
        <v>1005</v>
      </c>
      <c r="L3" s="241" t="s">
        <v>1103</v>
      </c>
      <c r="M3" s="241" t="s">
        <v>965</v>
      </c>
      <c r="N3" s="241" t="s">
        <v>966</v>
      </c>
      <c r="O3" s="241" t="s">
        <v>967</v>
      </c>
      <c r="P3" s="241" t="s">
        <v>968</v>
      </c>
      <c r="Q3" s="241" t="s">
        <v>969</v>
      </c>
      <c r="R3" s="241" t="s">
        <v>970</v>
      </c>
      <c r="S3" s="241" t="s">
        <v>971</v>
      </c>
      <c r="T3" s="241" t="s">
        <v>972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Año'!$D$14=2028),(1+'Caracteristicas Contrato'!$E$18)^(1),1))))</f>
        <v>1.08243216</v>
      </c>
      <c r="L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</f>
        <v>1.08243216</v>
      </c>
      <c r="M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</f>
        <v>1.08243216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46023</v>
      </c>
      <c r="F5" s="171"/>
      <c r="G5" s="182">
        <f>'A.2.Plantilla_NuevaContratacion'!F5</f>
        <v>1</v>
      </c>
      <c r="H5" s="181">
        <f>'A.2.0_TablaAntigüedad_NVContr'!M6</f>
        <v>4</v>
      </c>
      <c r="I5" s="183">
        <f>'A.2.0_TablaAntigüedad_NVContr'!AA6</f>
        <v>31.73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475.95</v>
      </c>
      <c r="O5" s="183">
        <f>'A.0_Tablas salariales SC'!K117</f>
        <v>24314.069999999992</v>
      </c>
      <c r="P5" s="183">
        <f>(O5+N5)*G5+'A.0_Tablas salariales SC'!$R$136*(100%-G5)</f>
        <v>24790.019999999993</v>
      </c>
      <c r="Q5" s="184">
        <f>IF(D5=100,'A.0_Tablas salariales SC'!$G$215,IF(D5=150,'A.0_Tablas salariales SC'!$G$216,IF(D5=189,'A.0_Tablas salariales SC'!$G$217,IF(D5=400,'A.0_Tablas salariales SC'!$G$218,IF(D5=450,'A.0_Tablas salariales SC'!$G$219,IF(D5=401,'A.0_Tablas salariales SC'!$G$220,IF(D5=451,'A.0_Tablas salariales SC'!$G$221,'A.0_Tablas salariales SC'!$G$215)))))))</f>
        <v>0.34584999999999999</v>
      </c>
      <c r="R5" s="183">
        <f>Q5*P5</f>
        <v>8573.6284169999981</v>
      </c>
      <c r="S5" s="183">
        <f>(R5+P5)*A5</f>
        <v>0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0</v>
      </c>
    </row>
    <row r="7" spans="1:20">
      <c r="A7" s="427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46023</v>
      </c>
      <c r="F7" s="171"/>
      <c r="G7" s="182">
        <f>'A.2.Plantilla_NuevaContratacion'!F7</f>
        <v>1</v>
      </c>
      <c r="H7" s="181">
        <f>'A.2.0_TablaAntigüedad_NVContr'!M8</f>
        <v>4</v>
      </c>
      <c r="I7" s="183">
        <f>'A.2.0_TablaAntigüedad_NVContr'!AA8</f>
        <v>31.73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475.95</v>
      </c>
      <c r="O7" s="183">
        <f>'A.0_Tablas salariales SC'!K118</f>
        <v>25525.020000000004</v>
      </c>
      <c r="P7" s="183">
        <f>(O7+N7)*G7+'A.0_Tablas salariales SC'!$R$136*(100%-G7)</f>
        <v>26000.970000000005</v>
      </c>
      <c r="Q7" s="184">
        <f>IF(D7=100,'A.0_Tablas salariales SC'!$G$215,IF(D7=150,'A.0_Tablas salariales SC'!$G$216,IF(D7=189,'A.0_Tablas salariales SC'!$G$217,IF(D7=400,'A.0_Tablas salariales SC'!$G$218,IF(D7=450,'A.0_Tablas salariales SC'!$G$219,IF(D7=401,'A.0_Tablas salariales SC'!$G$220,IF(D7=451,'A.0_Tablas salariales SC'!$G$221,'A.0_Tablas salariales SC'!$G$215)))))))</f>
        <v>0.34584999999999999</v>
      </c>
      <c r="R7" s="183">
        <f t="shared" ref="R7:R30" si="0">Q7*P7</f>
        <v>8992.4354745000019</v>
      </c>
      <c r="S7" s="183">
        <f t="shared" ref="S7:S30" si="1">(R7+P7)*A7</f>
        <v>0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0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46023</v>
      </c>
      <c r="F9" s="171"/>
      <c r="G9" s="182">
        <f>'A.2.Plantilla_NuevaContratacion'!F9</f>
        <v>1</v>
      </c>
      <c r="H9" s="181">
        <f>'A.2.0_TablaAntigüedad_NVContr'!M10</f>
        <v>4</v>
      </c>
      <c r="I9" s="183">
        <f>'A.2.0_TablaAntigüedad_NVContr'!AA10</f>
        <v>31.73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475.95</v>
      </c>
      <c r="O9" s="183">
        <f>'A.0_Tablas salariales SC'!K121</f>
        <v>26469.119999999999</v>
      </c>
      <c r="P9" s="183">
        <f>(O9+N9)*G9+'A.0_Tablas salariales SC'!$R$136*(100%-G9)</f>
        <v>26945.07</v>
      </c>
      <c r="Q9" s="184">
        <f>IF(D9=100,'A.0_Tablas salariales SC'!$G$215,IF(D9=150,'A.0_Tablas salariales SC'!$G$216,IF(D9=189,'A.0_Tablas salariales SC'!$G$217,IF(D9=400,'A.0_Tablas salariales SC'!$G$218,IF(D9=450,'A.0_Tablas salariales SC'!$G$219,IF(D9=401,'A.0_Tablas salariales SC'!$G$220,IF(D9=451,'A.0_Tablas salariales SC'!$G$221,'A.0_Tablas salariales SC'!$G$215)))))))</f>
        <v>0.34584999999999999</v>
      </c>
      <c r="R9" s="183">
        <f t="shared" si="0"/>
        <v>9318.9524595000003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46023</v>
      </c>
      <c r="F11" s="171"/>
      <c r="G11" s="182">
        <f>'A.2.Plantilla_NuevaContratacion'!F11</f>
        <v>1</v>
      </c>
      <c r="H11" s="181">
        <f>'A.2.0_TablaAntigüedad_NVContr'!M12</f>
        <v>4</v>
      </c>
      <c r="I11" s="183">
        <f>'A.2.0_TablaAntigüedad_NVContr'!AA12</f>
        <v>31.73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475.95</v>
      </c>
      <c r="O11" s="183">
        <f>'A.0_Tablas salariales SC'!K122</f>
        <v>27680.07</v>
      </c>
      <c r="P11" s="183">
        <f>(O11+N11)*G11+'A.0_Tablas salariales SC'!$R$136*(100%-G11)</f>
        <v>28156.02</v>
      </c>
      <c r="Q11" s="184">
        <f>IF(D11=100,'A.0_Tablas salariales SC'!$G$215,IF(D11=150,'A.0_Tablas salariales SC'!$G$216,IF(D11=189,'A.0_Tablas salariales SC'!$G$217,IF(D11=400,'A.0_Tablas salariales SC'!$G$218,IF(D11=450,'A.0_Tablas salariales SC'!$G$219,IF(D11=401,'A.0_Tablas salariales SC'!$G$220,IF(D11=451,'A.0_Tablas salariales SC'!$G$221,'A.0_Tablas salariales SC'!$G$215)))))))</f>
        <v>0.34584999999999999</v>
      </c>
      <c r="R11" s="183">
        <f t="shared" si="0"/>
        <v>9737.7595170000004</v>
      </c>
      <c r="S11" s="183">
        <f t="shared" si="1"/>
        <v>0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46023</v>
      </c>
      <c r="F12" s="171"/>
      <c r="G12" s="182">
        <f>'A.2.Plantilla_NuevaContratacion'!F12</f>
        <v>1</v>
      </c>
      <c r="H12" s="181">
        <f>'A.2.0_TablaAntigüedad_NVContr'!M13</f>
        <v>4</v>
      </c>
      <c r="I12" s="183">
        <f>'A.2.0_TablaAntigüedad_NVContr'!AA13</f>
        <v>31.73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475.95</v>
      </c>
      <c r="O12" s="183">
        <f>'A.0_Tablas salariales SC'!K123</f>
        <v>27680.07</v>
      </c>
      <c r="P12" s="183">
        <f>(O12+N12)*G12+'A.0_Tablas salariales SC'!$R$136*(100%-G12)</f>
        <v>28156.02</v>
      </c>
      <c r="Q12" s="492">
        <f>IF(D12=100,'A.0_Tablas salariales SC'!$G$227,IF(D12=150,'A.0_Tablas salariales SC'!$G$228,IF(D12=189,'A.0_Tablas salariales SC'!$G$229,IF(D12=400,'A.0_Tablas salariales SC'!$G$230,IF(D12=450,'A.0_Tablas salariales SC'!$G$231,IF(D12=401,'A.0_Tablas salariales SC'!$G$232,IF(D12=451,'A.0_Tablas salariales SC'!$G$233,'A.0_Tablas salariales SC'!$G$227)))))))</f>
        <v>0.37685000000000002</v>
      </c>
      <c r="R12" s="183">
        <f t="shared" si="0"/>
        <v>10610.596137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0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46023</v>
      </c>
      <c r="F14" s="171"/>
      <c r="G14" s="182">
        <f>'A.2.Plantilla_NuevaContratacion'!F14</f>
        <v>1</v>
      </c>
      <c r="H14" s="181">
        <f>'A.2.0_TablaAntigüedad_NVContr'!M15</f>
        <v>4</v>
      </c>
      <c r="I14" s="183">
        <f>'A.2.0_TablaAntigüedad_NVContr'!AA15</f>
        <v>31.73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475.95</v>
      </c>
      <c r="O14" s="183">
        <f>'A.0_Tablas salariales SC'!K125</f>
        <v>28788.720000000001</v>
      </c>
      <c r="P14" s="183">
        <f>(O14+N14)*G14+'A.0_Tablas salariales SC'!$R$136*(100%-G14)</f>
        <v>29264.670000000002</v>
      </c>
      <c r="Q14" s="184">
        <f>IF(D14=100,'A.0_Tablas salariales SC'!$G$215,IF(D14=150,'A.0_Tablas salariales SC'!$G$216,IF(D14=189,'A.0_Tablas salariales SC'!$G$217,IF(D14=400,'A.0_Tablas salariales SC'!$G$218,IF(D14=450,'A.0_Tablas salariales SC'!$G$219,IF(D14=401,'A.0_Tablas salariales SC'!$G$220,IF(D14=451,'A.0_Tablas salariales SC'!$G$221,'A.0_Tablas salariales SC'!$G$215)))))))</f>
        <v>0.34584999999999999</v>
      </c>
      <c r="R14" s="183">
        <f t="shared" si="0"/>
        <v>10121.1861195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46023</v>
      </c>
      <c r="F15" s="171"/>
      <c r="G15" s="182">
        <f>'A.2.Plantilla_NuevaContratacion'!F15</f>
        <v>1</v>
      </c>
      <c r="H15" s="181">
        <f>'A.2.0_TablaAntigüedad_NVContr'!M16</f>
        <v>4</v>
      </c>
      <c r="I15" s="183">
        <f>'A.2.0_TablaAntigüedad_NVContr'!AA16</f>
        <v>31.73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475.95</v>
      </c>
      <c r="O15" s="183">
        <f>'A.0_Tablas salariales SC'!K124</f>
        <v>28788.720000000001</v>
      </c>
      <c r="P15" s="183">
        <f>(O15+N15)*G15+'A.0_Tablas salariales SC'!$R$136*(100%-G15)</f>
        <v>29264.670000000002</v>
      </c>
      <c r="Q15" s="184">
        <f>IF(D15=100,'A.0_Tablas salariales SC'!$G$215,IF(D15=150,'A.0_Tablas salariales SC'!$G$216,IF(D15=189,'A.0_Tablas salariales SC'!$G$217,IF(D15=400,'A.0_Tablas salariales SC'!$G$218,IF(D15=450,'A.0_Tablas salariales SC'!$G$219,IF(D15=401,'A.0_Tablas salariales SC'!$G$220,IF(D15=451,'A.0_Tablas salariales SC'!$G$221,'A.0_Tablas salariales SC'!$G$215)))))))</f>
        <v>0.34584999999999999</v>
      </c>
      <c r="R15" s="183">
        <f t="shared" si="0"/>
        <v>10121.1861195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46023</v>
      </c>
      <c r="F17" s="171"/>
      <c r="G17" s="182">
        <f>'A.2.Plantilla_NuevaContratacion'!F17</f>
        <v>1</v>
      </c>
      <c r="H17" s="181">
        <f>'A.2.0_TablaAntigüedad_NVContr'!M18</f>
        <v>4</v>
      </c>
      <c r="I17" s="183">
        <f>'A.2.0_TablaAntigüedad_NVContr'!AA18</f>
        <v>43.79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656.85</v>
      </c>
      <c r="O17" s="183">
        <f>'A.0_Tablas salariales SC'!K132</f>
        <v>34549.17</v>
      </c>
      <c r="P17" s="183">
        <f>(O17+N17)*G17+'A.0_Tablas salariales SC'!$R$136*(100%-G17)</f>
        <v>35206.019999999997</v>
      </c>
      <c r="Q17" s="184">
        <f>IF(D17=100,'A.0_Tablas salariales SC'!$G$215,IF(D17=150,'A.0_Tablas salariales SC'!$G$216,IF(D17=189,'A.0_Tablas salariales SC'!$G$217,IF(D17=400,'A.0_Tablas salariales SC'!$G$218,IF(D17=450,'A.0_Tablas salariales SC'!$G$219,IF(D17=401,'A.0_Tablas salariales SC'!$G$220,IF(D17=451,'A.0_Tablas salariales SC'!$G$221,'A.0_Tablas salariales SC'!$G$215)))))))</f>
        <v>0.34584999999999999</v>
      </c>
      <c r="R17" s="183">
        <f t="shared" si="0"/>
        <v>12176.002016999999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46023</v>
      </c>
      <c r="F18" s="171"/>
      <c r="G18" s="182">
        <f>'A.2.Plantilla_NuevaContratacion'!F18</f>
        <v>1</v>
      </c>
      <c r="H18" s="181">
        <f>'A.2.0_TablaAntigüedad_NVContr'!M19</f>
        <v>4</v>
      </c>
      <c r="I18" s="183">
        <f>'A.2.0_TablaAntigüedad_NVContr'!AA19</f>
        <v>43.79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656.85</v>
      </c>
      <c r="O18" s="183">
        <f>'A.0_Tablas salariales SC'!K133</f>
        <v>31272.719999999994</v>
      </c>
      <c r="P18" s="183">
        <f>(O18+N18)*G18+'A.0_Tablas salariales SC'!$R$136*(100%-G18)</f>
        <v>31929.569999999992</v>
      </c>
      <c r="Q18" s="184">
        <f>IF(D18=100,'A.0_Tablas salariales SC'!$G$215,IF(D18=150,'A.0_Tablas salariales SC'!$G$216,IF(D18=189,'A.0_Tablas salariales SC'!$G$217,IF(D18=400,'A.0_Tablas salariales SC'!$G$218,IF(D18=450,'A.0_Tablas salariales SC'!$G$219,IF(D18=401,'A.0_Tablas salariales SC'!$G$220,IF(D18=451,'A.0_Tablas salariales SC'!$G$221,'A.0_Tablas salariales SC'!$G$215)))))))</f>
        <v>0.34584999999999999</v>
      </c>
      <c r="R18" s="183">
        <f t="shared" si="0"/>
        <v>11042.841784499997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46023</v>
      </c>
      <c r="F19" s="171"/>
      <c r="G19" s="182">
        <f>'A.2.Plantilla_NuevaContratacion'!F19</f>
        <v>1</v>
      </c>
      <c r="H19" s="181">
        <f>'A.2.0_TablaAntigüedad_NVContr'!M20</f>
        <v>4</v>
      </c>
      <c r="I19" s="183">
        <f>'A.2.0_TablaAntigüedad_NVContr'!AA20</f>
        <v>43.79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656.85</v>
      </c>
      <c r="O19" s="183">
        <f>'A.0_Tablas salariales SC'!K134</f>
        <v>33742.020000000004</v>
      </c>
      <c r="P19" s="183">
        <f>(O19+N19)*G19+'A.0_Tablas salariales SC'!$R$136*(100%-G19)</f>
        <v>34398.870000000003</v>
      </c>
      <c r="Q19" s="184">
        <f>IF(D19=100,'A.0_Tablas salariales SC'!$G$215,IF(D19=150,'A.0_Tablas salariales SC'!$G$216,IF(D19=189,'A.0_Tablas salariales SC'!$G$217,IF(D19=400,'A.0_Tablas salariales SC'!$G$218,IF(D19=450,'A.0_Tablas salariales SC'!$G$219,IF(D19=401,'A.0_Tablas salariales SC'!$G$220,IF(D19=451,'A.0_Tablas salariales SC'!$G$221,'A.0_Tablas salariales SC'!$G$215)))))))</f>
        <v>0.34584999999999999</v>
      </c>
      <c r="R19" s="183">
        <f t="shared" si="0"/>
        <v>11896.849189500001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46023</v>
      </c>
      <c r="F20" s="171"/>
      <c r="G20" s="182">
        <f>'A.2.Plantilla_NuevaContratacion'!F20</f>
        <v>1</v>
      </c>
      <c r="H20" s="181">
        <f>'A.2.0_TablaAntigüedad_NVContr'!M21</f>
        <v>4</v>
      </c>
      <c r="I20" s="183">
        <f>'A.2.0_TablaAntigüedad_NVContr'!AA21</f>
        <v>43.79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656.85</v>
      </c>
      <c r="O20" s="183">
        <f>'A.0_Tablas salariales SC'!K135</f>
        <v>35992.619999999995</v>
      </c>
      <c r="P20" s="183">
        <f>(O20+N20)*G20+'A.0_Tablas salariales SC'!$R$136*(100%-G20)</f>
        <v>36649.469999999994</v>
      </c>
      <c r="Q20" s="184">
        <f>IF(D20=100,'A.0_Tablas salariales SC'!$G$215,IF(D20=150,'A.0_Tablas salariales SC'!$G$216,IF(D20=189,'A.0_Tablas salariales SC'!$G$217,IF(D20=400,'A.0_Tablas salariales SC'!$G$218,IF(D20=450,'A.0_Tablas salariales SC'!$G$219,IF(D20=401,'A.0_Tablas salariales SC'!$G$220,IF(D20=451,'A.0_Tablas salariales SC'!$G$221,'A.0_Tablas salariales SC'!$G$215)))))))</f>
        <v>0.34584999999999999</v>
      </c>
      <c r="R20" s="183">
        <f t="shared" si="0"/>
        <v>12675.219199499998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46023</v>
      </c>
      <c r="F21" s="171"/>
      <c r="G21" s="182">
        <f>'A.2.Plantilla_NuevaContratacion'!F21</f>
        <v>1</v>
      </c>
      <c r="H21" s="181">
        <f>'A.2.0_TablaAntigüedad_NVContr'!M22</f>
        <v>4</v>
      </c>
      <c r="I21" s="183">
        <f>'A.2.0_TablaAntigüedad_NVContr'!AA22</f>
        <v>43.79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656.85</v>
      </c>
      <c r="O21" s="183">
        <f>'A.0_Tablas salariales SC'!K136</f>
        <v>40713.120000000003</v>
      </c>
      <c r="P21" s="183">
        <f>(O21+N21)*G21+'A.0_Tablas salariales SC'!$R$136*(100%-G21)</f>
        <v>41369.97</v>
      </c>
      <c r="Q21" s="184">
        <f>IF(D21=100,'A.0_Tablas salariales SC'!$G$215,IF(D21=150,'A.0_Tablas salariales SC'!$G$216,IF(D21=189,'A.0_Tablas salariales SC'!$G$217,IF(D21=400,'A.0_Tablas salariales SC'!$G$218,IF(D21=450,'A.0_Tablas salariales SC'!$G$219,IF(D21=401,'A.0_Tablas salariales SC'!$G$220,IF(D21=451,'A.0_Tablas salariales SC'!$G$221,'A.0_Tablas salariales SC'!$G$215)))))))</f>
        <v>0.34584999999999999</v>
      </c>
      <c r="R21" s="183">
        <f t="shared" si="0"/>
        <v>14307.8041245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46023</v>
      </c>
      <c r="F23" s="171"/>
      <c r="G23" s="182">
        <f>'A.2.Plantilla_NuevaContratacion'!F23</f>
        <v>1</v>
      </c>
      <c r="H23" s="181">
        <f>'A.2.0_TablaAntigüedad_NVContr'!M24</f>
        <v>4</v>
      </c>
      <c r="I23" s="183">
        <f>'A.2.0_TablaAntigüedad_NVContr'!AA24</f>
        <v>34.36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515.4</v>
      </c>
      <c r="O23" s="183">
        <f>'A.0_Tablas salariales SC'!K126</f>
        <v>20695.020000000004</v>
      </c>
      <c r="P23" s="183">
        <f>(O23+N23)*G23+'A.0_Tablas salariales SC'!$R$136*(100%-G23)</f>
        <v>21210.420000000006</v>
      </c>
      <c r="Q23" s="184">
        <f>IF(D23=100,'A.0_Tablas salariales SC'!$G$215,IF(D23=150,'A.0_Tablas salariales SC'!$G$216,IF(D23=189,'A.0_Tablas salariales SC'!$G$217,IF(D23=400,'A.0_Tablas salariales SC'!$G$218,IF(D23=450,'A.0_Tablas salariales SC'!$G$219,IF(D23=401,'A.0_Tablas salariales SC'!$G$220,IF(D23=451,'A.0_Tablas salariales SC'!$G$221,'A.0_Tablas salariales SC'!$G$215)))))))</f>
        <v>0.34584999999999999</v>
      </c>
      <c r="R23" s="183">
        <f t="shared" si="0"/>
        <v>7335.6237570000021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46023</v>
      </c>
      <c r="F24" s="171"/>
      <c r="G24" s="182">
        <f>'A.2.Plantilla_NuevaContratacion'!F24</f>
        <v>1</v>
      </c>
      <c r="H24" s="181">
        <f>'A.2.0_TablaAntigüedad_NVContr'!M25</f>
        <v>4</v>
      </c>
      <c r="I24" s="183">
        <f>'A.2.0_TablaAntigüedad_NVContr'!AA25</f>
        <v>34.36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515.4</v>
      </c>
      <c r="O24" s="183">
        <f>'A.0_Tablas salariales SC'!K128</f>
        <v>26551.469999999994</v>
      </c>
      <c r="P24" s="183">
        <f>(O24+N24)*G24+'A.0_Tablas salariales SC'!$R$136*(100%-G24)</f>
        <v>27066.869999999995</v>
      </c>
      <c r="Q24" s="184">
        <f>IF(D24=100,'A.0_Tablas salariales SC'!$G$215,IF(D24=150,'A.0_Tablas salariales SC'!$G$216,IF(D24=189,'A.0_Tablas salariales SC'!$G$217,IF(D24=400,'A.0_Tablas salariales SC'!$G$218,IF(D24=450,'A.0_Tablas salariales SC'!$G$219,IF(D24=401,'A.0_Tablas salariales SC'!$G$220,IF(D24=451,'A.0_Tablas salariales SC'!$G$221,'A.0_Tablas salariales SC'!$G$215)))))))</f>
        <v>0.34584999999999999</v>
      </c>
      <c r="R24" s="183">
        <f t="shared" si="0"/>
        <v>9361.0769894999976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46023</v>
      </c>
      <c r="F25" s="171"/>
      <c r="G25" s="182">
        <f>'A.2.Plantilla_NuevaContratacion'!F25</f>
        <v>1</v>
      </c>
      <c r="H25" s="181">
        <f>'A.2.0_TablaAntigüedad_NVContr'!M26</f>
        <v>4</v>
      </c>
      <c r="I25" s="183">
        <f>'A.2.0_TablaAntigüedad_NVContr'!AA26</f>
        <v>34.36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515.4</v>
      </c>
      <c r="O25" s="183">
        <f>'A.0_Tablas salariales SC'!K129</f>
        <v>27583.62</v>
      </c>
      <c r="P25" s="183">
        <f>(O25+N25)*G25+'A.0_Tablas salariales SC'!$R$136*(100%-G25)</f>
        <v>28099.02</v>
      </c>
      <c r="Q25" s="184">
        <f>IF(D25=100,'A.0_Tablas salariales SC'!$G$215,IF(D25=150,'A.0_Tablas salariales SC'!$G$216,IF(D25=189,'A.0_Tablas salariales SC'!$G$217,IF(D25=400,'A.0_Tablas salariales SC'!$G$218,IF(D25=450,'A.0_Tablas salariales SC'!$G$219,IF(D25=401,'A.0_Tablas salariales SC'!$G$220,IF(D25=451,'A.0_Tablas salariales SC'!$G$221,'A.0_Tablas salariales SC'!$G$215)))))))</f>
        <v>0.34584999999999999</v>
      </c>
      <c r="R25" s="183">
        <f t="shared" si="0"/>
        <v>9718.0460669999993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46023</v>
      </c>
      <c r="F26" s="171"/>
      <c r="G26" s="182">
        <f>'A.2.Plantilla_NuevaContratacion'!F26</f>
        <v>1</v>
      </c>
      <c r="H26" s="181">
        <f>'A.2.0_TablaAntigüedad_NVContr'!M27</f>
        <v>4</v>
      </c>
      <c r="I26" s="183">
        <f>'A.2.0_TablaAntigüedad_NVContr'!AA27</f>
        <v>34.36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515.4</v>
      </c>
      <c r="O26" s="183">
        <f>'A.0_Tablas salariales SC'!K130</f>
        <v>29445.27</v>
      </c>
      <c r="P26" s="183">
        <f>(O26+N26)*G26+'A.0_Tablas salariales SC'!$R$136*(100%-G26)</f>
        <v>29960.670000000002</v>
      </c>
      <c r="Q26" s="184">
        <f>IF(D26=100,'A.0_Tablas salariales SC'!$G$215,IF(D26=150,'A.0_Tablas salariales SC'!$G$216,IF(D26=189,'A.0_Tablas salariales SC'!$G$217,IF(D26=400,'A.0_Tablas salariales SC'!$G$218,IF(D26=450,'A.0_Tablas salariales SC'!$G$219,IF(D26=401,'A.0_Tablas salariales SC'!$G$220,IF(D26=451,'A.0_Tablas salariales SC'!$G$221,'A.0_Tablas salariales SC'!$G$215)))))))</f>
        <v>0.34584999999999999</v>
      </c>
      <c r="R26" s="183">
        <f t="shared" si="0"/>
        <v>10361.897719500001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46023</v>
      </c>
      <c r="F27" s="171"/>
      <c r="G27" s="182">
        <f>'A.2.Plantilla_NuevaContratacion'!F27</f>
        <v>1</v>
      </c>
      <c r="H27" s="181">
        <f>'A.2.0_TablaAntigüedad_NVContr'!M28</f>
        <v>4</v>
      </c>
      <c r="I27" s="183">
        <f>'A.2.0_TablaAntigüedad_NVContr'!AA28</f>
        <v>34.36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515.4</v>
      </c>
      <c r="O27" s="183">
        <f>'A.0_Tablas salariales SC'!K131</f>
        <v>31107.719999999994</v>
      </c>
      <c r="P27" s="183">
        <f>(O27+N27)*G27+'A.0_Tablas salariales SC'!$R$136*(100%-G27)</f>
        <v>31623.119999999995</v>
      </c>
      <c r="Q27" s="184">
        <f>IF(D27=100,'A.0_Tablas salariales SC'!$G$215,IF(D27=150,'A.0_Tablas salariales SC'!$G$216,IF(D27=189,'A.0_Tablas salariales SC'!$G$217,IF(D27=400,'A.0_Tablas salariales SC'!$G$218,IF(D27=450,'A.0_Tablas salariales SC'!$G$219,IF(D27=401,'A.0_Tablas salariales SC'!$G$220,IF(D27=451,'A.0_Tablas salariales SC'!$G$221,'A.0_Tablas salariales SC'!$G$215)))))))</f>
        <v>0.34584999999999999</v>
      </c>
      <c r="R27" s="183">
        <f t="shared" si="0"/>
        <v>10936.856051999997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46023</v>
      </c>
      <c r="F29" s="171"/>
      <c r="G29" s="182">
        <f>'A.2.Plantilla_NuevaContratacion'!F29</f>
        <v>1</v>
      </c>
      <c r="H29" s="181">
        <f>'A.2.0_TablaAntigüedad_NVContr'!M30</f>
        <v>4</v>
      </c>
      <c r="I29" s="183">
        <f>'A.2.0_TablaAntigüedad_NVContr'!AA30</f>
        <v>31.73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475.95</v>
      </c>
      <c r="O29" s="183">
        <f>'A.0_Tablas salariales SC'!K120</f>
        <v>26345.970000000005</v>
      </c>
      <c r="P29" s="183">
        <f>(O29+N29)*G29+'A.0_Tablas salariales SC'!$R$136*(100%-G29)</f>
        <v>26821.920000000006</v>
      </c>
      <c r="Q29" s="184">
        <f>IF(D29=100,'A.0_Tablas salariales SC'!$G$215,IF(D29=150,'A.0_Tablas salariales SC'!$G$216,IF(D29=189,'A.0_Tablas salariales SC'!$G$217,IF(D29=400,'A.0_Tablas salariales SC'!$G$218,IF(D29=450,'A.0_Tablas salariales SC'!$G$219,IF(D29=401,'A.0_Tablas salariales SC'!$G$220,IF(D29=451,'A.0_Tablas salariales SC'!$G$221,'A.0_Tablas salariales SC'!$G$215)))))))</f>
        <v>0.34584999999999999</v>
      </c>
      <c r="R29" s="183">
        <f t="shared" si="0"/>
        <v>9276.3610320000025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46023</v>
      </c>
      <c r="F30" s="171"/>
      <c r="G30" s="182">
        <f>'A.2.Plantilla_NuevaContratacion'!F30</f>
        <v>1</v>
      </c>
      <c r="H30" s="181">
        <f>'A.2.0_TablaAntigüedad_NVContr'!M31</f>
        <v>4</v>
      </c>
      <c r="I30" s="183">
        <f>'A.2.0_TablaAntigüedad_NVContr'!AA31</f>
        <v>31.73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475.95</v>
      </c>
      <c r="O30" s="183">
        <f>'A.0_Tablas salariales SC'!K119</f>
        <v>25525.47</v>
      </c>
      <c r="P30" s="183">
        <f>(O30+N30)*G30+'A.0_Tablas salariales SC'!$R$136*(100%-G30)</f>
        <v>26001.420000000002</v>
      </c>
      <c r="Q30" s="184">
        <f>IF(D30=100,'A.0_Tablas salariales SC'!$G$215,IF(D30=150,'A.0_Tablas salariales SC'!$G$216,IF(D30=189,'A.0_Tablas salariales SC'!$G$217,IF(D30=400,'A.0_Tablas salariales SC'!$G$218,IF(D30=450,'A.0_Tablas salariales SC'!$G$219,IF(D30=401,'A.0_Tablas salariales SC'!$G$220,IF(D30=451,'A.0_Tablas salariales SC'!$G$221,'A.0_Tablas salariales SC'!$G$215)))))))</f>
        <v>0.34584999999999999</v>
      </c>
      <c r="R30" s="183">
        <f t="shared" si="0"/>
        <v>8992.5911070000002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0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K6 A8:K8 A10:K10 A13:K13 A16:K16 A22:K22 A28:K28">
    <cfRule type="cellIs" dxfId="43" priority="11" operator="equal">
      <formula>0</formula>
    </cfRule>
  </conditionalFormatting>
  <conditionalFormatting sqref="G7:G9">
    <cfRule type="cellIs" dxfId="42" priority="12" operator="equal">
      <formula>0</formula>
    </cfRule>
  </conditionalFormatting>
  <conditionalFormatting sqref="G11:K12">
    <cfRule type="cellIs" dxfId="41" priority="5" operator="equal">
      <formula>0</formula>
    </cfRule>
  </conditionalFormatting>
  <conditionalFormatting sqref="G5:S5">
    <cfRule type="cellIs" dxfId="40" priority="1" operator="equal">
      <formula>0</formula>
    </cfRule>
  </conditionalFormatting>
  <conditionalFormatting sqref="H7:K7 H9:K9 G14:K15 G17:K21 G23:K27 G29:K30">
    <cfRule type="cellIs" dxfId="39" priority="6" operator="equal">
      <formula>0</formula>
    </cfRule>
  </conditionalFormatting>
  <conditionalFormatting sqref="L6:S30">
    <cfRule type="cellIs" dxfId="38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1FD0-564D-4764-AB34-668AA77F5EDA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7" sqref="N5 N7 N9 N11:N12 N14: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1026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975</v>
      </c>
      <c r="I3" s="241" t="s">
        <v>976</v>
      </c>
      <c r="J3" s="241" t="s">
        <v>977</v>
      </c>
      <c r="K3" s="241" t="s">
        <v>1006</v>
      </c>
      <c r="L3" s="241" t="s">
        <v>1103</v>
      </c>
      <c r="M3" s="241" t="s">
        <v>978</v>
      </c>
      <c r="N3" s="241" t="s">
        <v>979</v>
      </c>
      <c r="O3" s="241" t="s">
        <v>980</v>
      </c>
      <c r="P3" s="241" t="s">
        <v>981</v>
      </c>
      <c r="Q3" s="241" t="s">
        <v>982</v>
      </c>
      <c r="R3" s="241" t="s">
        <v>983</v>
      </c>
      <c r="S3" s="241" t="s">
        <v>984</v>
      </c>
      <c r="T3" s="241" t="s">
        <v>985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L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M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46023</v>
      </c>
      <c r="F5" s="171"/>
      <c r="G5" s="182">
        <f>'A.2.Plantilla_NuevaContratacion'!F5</f>
        <v>1</v>
      </c>
      <c r="H5" s="181">
        <f>'A.2.0_TablaAntigüedad_NVContr'!N6</f>
        <v>5</v>
      </c>
      <c r="I5" s="183">
        <f>'A.2.0_TablaAntigüedad_NVContr'!AB6</f>
        <v>32.681899999999999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490.2285</v>
      </c>
      <c r="O5" s="183">
        <f>'A.0_Tablas salariales SC'!K145</f>
        <v>25016.492099999999</v>
      </c>
      <c r="P5" s="183">
        <f>(O5+N5)*G5+'A.0_Tablas salariales SC'!$R$164*(100%-G5)</f>
        <v>25506.720600000001</v>
      </c>
      <c r="Q5" s="184">
        <f>IF(D5=100,'A.0_Tablas salariales SC'!$H$215,IF(D5=150,'A.0_Tablas salariales SC'!$H$216,IF(D5=189,'A.0_Tablas salariales SC'!$H$217,IF(D5=400,'A.0_Tablas salariales SC'!$H$218,IF(D5=450,'A.0_Tablas salariales SC'!$H$219,IF(D5=401,'A.0_Tablas salariales SC'!$H$220,IF(D5=451,'A.0_Tablas salariales SC'!$H$221,'A.0_Tablas salariales SC'!$H$215)))))))</f>
        <v>0.34670000000000001</v>
      </c>
      <c r="R5" s="183">
        <f>Q5*P5</f>
        <v>8843.18003202</v>
      </c>
      <c r="S5" s="183">
        <f>(R5+P5)*A5</f>
        <v>0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0</v>
      </c>
    </row>
    <row r="7" spans="1:20">
      <c r="A7" s="427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46023</v>
      </c>
      <c r="F7" s="171"/>
      <c r="G7" s="182">
        <f>'A.2.Plantilla_NuevaContratacion'!F7</f>
        <v>1</v>
      </c>
      <c r="H7" s="181">
        <f>'A.2.0_TablaAntigüedad_NVContr'!N8</f>
        <v>5</v>
      </c>
      <c r="I7" s="183">
        <f>'A.2.0_TablaAntigüedad_NVContr'!AB8</f>
        <v>32.681899999999999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490.2285</v>
      </c>
      <c r="O7" s="183">
        <f>'A.0_Tablas salariales SC'!K146</f>
        <v>26263.770600000003</v>
      </c>
      <c r="P7" s="183">
        <f>(O7+N7)*G7+'A.0_Tablas salariales SC'!$R$164*(100%-G7)</f>
        <v>26753.999100000005</v>
      </c>
      <c r="Q7" s="184">
        <f>IF(D7=100,'A.0_Tablas salariales SC'!$H$215,IF(D7=150,'A.0_Tablas salariales SC'!$H$216,IF(D7=189,'A.0_Tablas salariales SC'!$H$217,IF(D7=400,'A.0_Tablas salariales SC'!$H$218,IF(D7=450,'A.0_Tablas salariales SC'!$H$219,IF(D7=401,'A.0_Tablas salariales SC'!$H$220,IF(D7=451,'A.0_Tablas salariales SC'!$H$221,'A.0_Tablas salariales SC'!$H$215)))))))</f>
        <v>0.34670000000000001</v>
      </c>
      <c r="R7" s="183">
        <f t="shared" ref="R7:R30" si="0">Q7*P7</f>
        <v>9275.6114879700017</v>
      </c>
      <c r="S7" s="183">
        <f t="shared" ref="S7:S30" si="1">(R7+P7)*A7</f>
        <v>0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0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46023</v>
      </c>
      <c r="F9" s="171"/>
      <c r="G9" s="182">
        <f>'A.2.Plantilla_NuevaContratacion'!F9</f>
        <v>1</v>
      </c>
      <c r="H9" s="181">
        <f>'A.2.0_TablaAntigüedad_NVContr'!N10</f>
        <v>5</v>
      </c>
      <c r="I9" s="183">
        <f>'A.2.0_TablaAntigüedad_NVContr'!AB10</f>
        <v>32.681899999999999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490.2285</v>
      </c>
      <c r="O9" s="183">
        <f>'A.0_Tablas salariales SC'!K149</f>
        <v>27236.193600000002</v>
      </c>
      <c r="P9" s="183">
        <f>(O9+N9)*G9+'A.0_Tablas salariales SC'!$R$164*(100%-G9)</f>
        <v>27726.422100000003</v>
      </c>
      <c r="Q9" s="184">
        <f>IF(D9=100,'A.0_Tablas salariales SC'!$H$215,IF(D9=150,'A.0_Tablas salariales SC'!$H$216,IF(D9=189,'A.0_Tablas salariales SC'!$H$217,IF(D9=400,'A.0_Tablas salariales SC'!$H$218,IF(D9=450,'A.0_Tablas salariales SC'!$H$219,IF(D9=401,'A.0_Tablas salariales SC'!$H$220,IF(D9=451,'A.0_Tablas salariales SC'!$H$221,'A.0_Tablas salariales SC'!$H$215)))))))</f>
        <v>0.34670000000000001</v>
      </c>
      <c r="R9" s="183">
        <f t="shared" si="0"/>
        <v>9612.7505420700018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46023</v>
      </c>
      <c r="F11" s="171"/>
      <c r="G11" s="182">
        <f>'A.2.Plantilla_NuevaContratacion'!F11</f>
        <v>1</v>
      </c>
      <c r="H11" s="181">
        <f>'A.2.0_TablaAntigüedad_NVContr'!N12</f>
        <v>5</v>
      </c>
      <c r="I11" s="183">
        <f>'A.2.0_TablaAntigüedad_NVContr'!AB12</f>
        <v>32.681899999999999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490.2285</v>
      </c>
      <c r="O11" s="183">
        <f>'A.0_Tablas salariales SC'!K150</f>
        <v>28483.472100000006</v>
      </c>
      <c r="P11" s="183">
        <f>(O11+N11)*G11+'A.0_Tablas salariales SC'!$R$164*(100%-G11)</f>
        <v>28973.700600000007</v>
      </c>
      <c r="Q11" s="184">
        <f>IF(D11=100,'A.0_Tablas salariales SC'!$H$215,IF(D11=150,'A.0_Tablas salariales SC'!$H$216,IF(D11=189,'A.0_Tablas salariales SC'!$H$217,IF(D11=400,'A.0_Tablas salariales SC'!$H$218,IF(D11=450,'A.0_Tablas salariales SC'!$H$219,IF(D11=401,'A.0_Tablas salariales SC'!$H$220,IF(D11=451,'A.0_Tablas salariales SC'!$H$221,'A.0_Tablas salariales SC'!$H$215)))))))</f>
        <v>0.34670000000000001</v>
      </c>
      <c r="R11" s="183">
        <f t="shared" si="0"/>
        <v>10045.181998020003</v>
      </c>
      <c r="S11" s="183">
        <f t="shared" si="1"/>
        <v>0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46023</v>
      </c>
      <c r="F12" s="171"/>
      <c r="G12" s="182">
        <f>'A.2.Plantilla_NuevaContratacion'!F12</f>
        <v>1</v>
      </c>
      <c r="H12" s="181">
        <f>'A.2.0_TablaAntigüedad_NVContr'!N13</f>
        <v>5</v>
      </c>
      <c r="I12" s="183">
        <f>'A.2.0_TablaAntigüedad_NVContr'!AB13</f>
        <v>32.681899999999999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490.2285</v>
      </c>
      <c r="O12" s="183">
        <f>'A.0_Tablas salariales SC'!K151</f>
        <v>28483.472100000006</v>
      </c>
      <c r="P12" s="183">
        <f>(O12+N12)*G12+'A.0_Tablas salariales SC'!$R$164*(100%-G12)</f>
        <v>28973.700600000007</v>
      </c>
      <c r="Q12" s="492">
        <f>IF(D12=100,'A.0_Tablas salariales SC'!$H$227,IF(D12=150,'A.0_Tablas salariales SC'!$H$228,IF(D12=189,'A.0_Tablas salariales SC'!$H$229,IF(D12=400,'A.0_Tablas salariales SC'!$H$230,IF(D12=450,'A.0_Tablas salariales SC'!$H$231,IF(D12=401,'A.0_Tablas salariales SC'!$H$232,IF(D12=451,'A.0_Tablas salariales SC'!$H$233,'A.0_Tablas salariales SC'!$H$227)))))))</f>
        <v>0.37770000000000004</v>
      </c>
      <c r="R12" s="183">
        <f t="shared" si="0"/>
        <v>10943.366716620003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0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46023</v>
      </c>
      <c r="F14" s="171"/>
      <c r="G14" s="182">
        <f>'A.2.Plantilla_NuevaContratacion'!F14</f>
        <v>1</v>
      </c>
      <c r="H14" s="181">
        <f>'A.2.0_TablaAntigüedad_NVContr'!N15</f>
        <v>5</v>
      </c>
      <c r="I14" s="183">
        <f>'A.2.0_TablaAntigüedad_NVContr'!AB15</f>
        <v>32.681899999999999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490.2285</v>
      </c>
      <c r="O14" s="183">
        <f>'A.0_Tablas salariales SC'!K153</f>
        <v>29625.381600000008</v>
      </c>
      <c r="P14" s="183">
        <f>(O14+N14)*G14+'A.0_Tablas salariales SC'!$R$164*(100%-G14)</f>
        <v>30115.610100000009</v>
      </c>
      <c r="Q14" s="184">
        <f>IF(D14=100,'A.0_Tablas salariales SC'!$H$215,IF(D14=150,'A.0_Tablas salariales SC'!$H$216,IF(D14=189,'A.0_Tablas salariales SC'!$H$217,IF(D14=400,'A.0_Tablas salariales SC'!$H$218,IF(D14=450,'A.0_Tablas salariales SC'!$H$219,IF(D14=401,'A.0_Tablas salariales SC'!$H$220,IF(D14=451,'A.0_Tablas salariales SC'!$H$221,'A.0_Tablas salariales SC'!$H$215)))))))</f>
        <v>0.34670000000000001</v>
      </c>
      <c r="R14" s="183">
        <f t="shared" si="0"/>
        <v>10441.082021670003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46023</v>
      </c>
      <c r="F15" s="171"/>
      <c r="G15" s="182">
        <f>'A.2.Plantilla_NuevaContratacion'!F15</f>
        <v>1</v>
      </c>
      <c r="H15" s="181">
        <f>'A.2.0_TablaAntigüedad_NVContr'!N16</f>
        <v>5</v>
      </c>
      <c r="I15" s="183">
        <f>'A.2.0_TablaAntigüedad_NVContr'!AB16</f>
        <v>32.681899999999999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490.2285</v>
      </c>
      <c r="O15" s="183">
        <f>'A.0_Tablas salariales SC'!K152</f>
        <v>29625.381600000008</v>
      </c>
      <c r="P15" s="183">
        <f>(O15+N15)*G15+'A.0_Tablas salariales SC'!$R$164*(100%-G15)</f>
        <v>30115.610100000009</v>
      </c>
      <c r="Q15" s="184">
        <f>IF(D15=100,'A.0_Tablas salariales SC'!$H$215,IF(D15=150,'A.0_Tablas salariales SC'!$H$216,IF(D15=189,'A.0_Tablas salariales SC'!$H$217,IF(D15=400,'A.0_Tablas salariales SC'!$H$218,IF(D15=450,'A.0_Tablas salariales SC'!$H$219,IF(D15=401,'A.0_Tablas salariales SC'!$H$220,IF(D15=451,'A.0_Tablas salariales SC'!$H$221,'A.0_Tablas salariales SC'!$H$215)))))))</f>
        <v>0.34670000000000001</v>
      </c>
      <c r="R15" s="183">
        <f t="shared" si="0"/>
        <v>10441.082021670003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46023</v>
      </c>
      <c r="F17" s="171"/>
      <c r="G17" s="182">
        <f>'A.2.Plantilla_NuevaContratacion'!F17</f>
        <v>1</v>
      </c>
      <c r="H17" s="181">
        <f>'A.2.0_TablaAntigüedad_NVContr'!N18</f>
        <v>5</v>
      </c>
      <c r="I17" s="183">
        <f>'A.2.0_TablaAntigüedad_NVContr'!AB18</f>
        <v>45.103700000000003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676.55550000000005</v>
      </c>
      <c r="O17" s="183">
        <f>'A.0_Tablas salariales SC'!K160</f>
        <v>35558.645100000002</v>
      </c>
      <c r="P17" s="183">
        <f>(O17+N17)*G17+'A.0_Tablas salariales SC'!$R$164*(100%-G17)</f>
        <v>36235.200600000004</v>
      </c>
      <c r="Q17" s="184">
        <f>IF(D17=100,'A.0_Tablas salariales SC'!$H$215,IF(D17=150,'A.0_Tablas salariales SC'!$H$216,IF(D17=189,'A.0_Tablas salariales SC'!$H$217,IF(D17=400,'A.0_Tablas salariales SC'!$H$218,IF(D17=450,'A.0_Tablas salariales SC'!$H$219,IF(D17=401,'A.0_Tablas salariales SC'!$H$220,IF(D17=451,'A.0_Tablas salariales SC'!$H$221,'A.0_Tablas salariales SC'!$H$215)))))))</f>
        <v>0.34670000000000001</v>
      </c>
      <c r="R17" s="183">
        <f t="shared" si="0"/>
        <v>12562.744048020002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46023</v>
      </c>
      <c r="F18" s="171"/>
      <c r="G18" s="182">
        <f>'A.2.Plantilla_NuevaContratacion'!F18</f>
        <v>1</v>
      </c>
      <c r="H18" s="181">
        <f>'A.2.0_TablaAntigüedad_NVContr'!N19</f>
        <v>5</v>
      </c>
      <c r="I18" s="183">
        <f>'A.2.0_TablaAntigüedad_NVContr'!AB19</f>
        <v>45.103700000000003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676.55550000000005</v>
      </c>
      <c r="O18" s="183">
        <f>'A.0_Tablas salariales SC'!K161</f>
        <v>32183.901600000005</v>
      </c>
      <c r="P18" s="183">
        <f>(O18+N18)*G18+'A.0_Tablas salariales SC'!$R$164*(100%-G18)</f>
        <v>32860.457100000007</v>
      </c>
      <c r="Q18" s="184">
        <f>IF(D18=100,'A.0_Tablas salariales SC'!$H$215,IF(D18=150,'A.0_Tablas salariales SC'!$H$216,IF(D18=189,'A.0_Tablas salariales SC'!$H$217,IF(D18=400,'A.0_Tablas salariales SC'!$H$218,IF(D18=450,'A.0_Tablas salariales SC'!$H$219,IF(D18=401,'A.0_Tablas salariales SC'!$H$220,IF(D18=451,'A.0_Tablas salariales SC'!$H$221,'A.0_Tablas salariales SC'!$H$215)))))))</f>
        <v>0.34670000000000001</v>
      </c>
      <c r="R18" s="183">
        <f t="shared" si="0"/>
        <v>11392.720476570003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46023</v>
      </c>
      <c r="F19" s="171"/>
      <c r="G19" s="182">
        <f>'A.2.Plantilla_NuevaContratacion'!F19</f>
        <v>1</v>
      </c>
      <c r="H19" s="181">
        <f>'A.2.0_TablaAntigüedad_NVContr'!N20</f>
        <v>5</v>
      </c>
      <c r="I19" s="183">
        <f>'A.2.0_TablaAntigüedad_NVContr'!AB20</f>
        <v>45.103700000000003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676.55550000000005</v>
      </c>
      <c r="O19" s="183">
        <f>'A.0_Tablas salariales SC'!K162</f>
        <v>34727.280600000006</v>
      </c>
      <c r="P19" s="183">
        <f>(O19+N19)*G19+'A.0_Tablas salariales SC'!$R$164*(100%-G19)</f>
        <v>35403.836100000008</v>
      </c>
      <c r="Q19" s="184">
        <f>IF(D19=100,'A.0_Tablas salariales SC'!$H$215,IF(D19=150,'A.0_Tablas salariales SC'!$H$216,IF(D19=189,'A.0_Tablas salariales SC'!$H$217,IF(D19=400,'A.0_Tablas salariales SC'!$H$218,IF(D19=450,'A.0_Tablas salariales SC'!$H$219,IF(D19=401,'A.0_Tablas salariales SC'!$H$220,IF(D19=451,'A.0_Tablas salariales SC'!$H$221,'A.0_Tablas salariales SC'!$H$215)))))))</f>
        <v>0.34670000000000001</v>
      </c>
      <c r="R19" s="183">
        <f t="shared" si="0"/>
        <v>12274.509975870003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46023</v>
      </c>
      <c r="F20" s="171"/>
      <c r="G20" s="182">
        <f>'A.2.Plantilla_NuevaContratacion'!F20</f>
        <v>1</v>
      </c>
      <c r="H20" s="181">
        <f>'A.2.0_TablaAntigüedad_NVContr'!N21</f>
        <v>5</v>
      </c>
      <c r="I20" s="183">
        <f>'A.2.0_TablaAntigüedad_NVContr'!AB21</f>
        <v>45.103700000000003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676.55550000000005</v>
      </c>
      <c r="O20" s="183">
        <f>'A.0_Tablas salariales SC'!K163</f>
        <v>37045.3986</v>
      </c>
      <c r="P20" s="183">
        <f>(O20+N20)*G20+'A.0_Tablas salariales SC'!$R$164*(100%-G20)</f>
        <v>37721.954100000003</v>
      </c>
      <c r="Q20" s="184">
        <f>IF(D20=100,'A.0_Tablas salariales SC'!$H$215,IF(D20=150,'A.0_Tablas salariales SC'!$H$216,IF(D20=189,'A.0_Tablas salariales SC'!$H$217,IF(D20=400,'A.0_Tablas salariales SC'!$H$218,IF(D20=450,'A.0_Tablas salariales SC'!$H$219,IF(D20=401,'A.0_Tablas salariales SC'!$H$220,IF(D20=451,'A.0_Tablas salariales SC'!$H$221,'A.0_Tablas salariales SC'!$H$215)))))))</f>
        <v>0.34670000000000001</v>
      </c>
      <c r="R20" s="183">
        <f t="shared" si="0"/>
        <v>13078.201486470001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46023</v>
      </c>
      <c r="F21" s="171"/>
      <c r="G21" s="182">
        <f>'A.2.Plantilla_NuevaContratacion'!F21</f>
        <v>1</v>
      </c>
      <c r="H21" s="181">
        <f>'A.2.0_TablaAntigüedad_NVContr'!N22</f>
        <v>5</v>
      </c>
      <c r="I21" s="183">
        <f>'A.2.0_TablaAntigüedad_NVContr'!AB22</f>
        <v>45.103700000000003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676.55550000000005</v>
      </c>
      <c r="O21" s="183">
        <f>'A.0_Tablas salariales SC'!K164</f>
        <v>41907.513600000013</v>
      </c>
      <c r="P21" s="183">
        <f>(O21+N21)*G21+'A.0_Tablas salariales SC'!$R$164*(100%-G21)</f>
        <v>42584.069100000015</v>
      </c>
      <c r="Q21" s="184">
        <f>IF(D21=100,'A.0_Tablas salariales SC'!$H$215,IF(D21=150,'A.0_Tablas salariales SC'!$H$216,IF(D21=189,'A.0_Tablas salariales SC'!$H$217,IF(D21=400,'A.0_Tablas salariales SC'!$H$218,IF(D21=450,'A.0_Tablas salariales SC'!$H$219,IF(D21=401,'A.0_Tablas salariales SC'!$H$220,IF(D21=451,'A.0_Tablas salariales SC'!$H$221,'A.0_Tablas salariales SC'!$H$215)))))))</f>
        <v>0.34670000000000001</v>
      </c>
      <c r="R21" s="183">
        <f t="shared" si="0"/>
        <v>14763.896756970005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46023</v>
      </c>
      <c r="F23" s="171"/>
      <c r="G23" s="182">
        <f>'A.2.Plantilla_NuevaContratacion'!F23</f>
        <v>1</v>
      </c>
      <c r="H23" s="181">
        <f>'A.2.0_TablaAntigüedad_NVContr'!N24</f>
        <v>5</v>
      </c>
      <c r="I23" s="183">
        <f>'A.2.0_TablaAntigüedad_NVContr'!AB24</f>
        <v>35.390799999999999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530.86199999999997</v>
      </c>
      <c r="O23" s="183">
        <f>'A.0_Tablas salariales SC'!K154</f>
        <v>21288.870600000002</v>
      </c>
      <c r="P23" s="183">
        <f>(O23+N23)*G23+'A.0_Tablas salariales SC'!$R$164*(100%-G23)</f>
        <v>21819.732600000003</v>
      </c>
      <c r="Q23" s="184">
        <f>IF(D23=100,'A.0_Tablas salariales SC'!$H$215,IF(D23=150,'A.0_Tablas salariales SC'!$H$216,IF(D23=189,'A.0_Tablas salariales SC'!$H$217,IF(D23=400,'A.0_Tablas salariales SC'!$H$218,IF(D23=450,'A.0_Tablas salariales SC'!$H$219,IF(D23=401,'A.0_Tablas salariales SC'!$H$220,IF(D23=451,'A.0_Tablas salariales SC'!$H$221,'A.0_Tablas salariales SC'!$H$215)))))))</f>
        <v>0.34670000000000001</v>
      </c>
      <c r="R23" s="183">
        <f t="shared" si="0"/>
        <v>7564.9012924200015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46023</v>
      </c>
      <c r="F24" s="171"/>
      <c r="G24" s="182">
        <f>'A.2.Plantilla_NuevaContratacion'!F24</f>
        <v>1</v>
      </c>
      <c r="H24" s="181">
        <f>'A.2.0_TablaAntigüedad_NVContr'!N25</f>
        <v>5</v>
      </c>
      <c r="I24" s="183">
        <f>'A.2.0_TablaAntigüedad_NVContr'!AB25</f>
        <v>35.390799999999999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530.86199999999997</v>
      </c>
      <c r="O24" s="183">
        <f>'A.0_Tablas salariales SC'!K156</f>
        <v>27321.0141</v>
      </c>
      <c r="P24" s="183">
        <f>(O24+N24)*G24+'A.0_Tablas salariales SC'!$R$164*(100%-G24)</f>
        <v>27851.876100000001</v>
      </c>
      <c r="Q24" s="184">
        <f>IF(D24=100,'A.0_Tablas salariales SC'!$H$215,IF(D24=150,'A.0_Tablas salariales SC'!$H$216,IF(D24=189,'A.0_Tablas salariales SC'!$H$217,IF(D24=400,'A.0_Tablas salariales SC'!$H$218,IF(D24=450,'A.0_Tablas salariales SC'!$H$219,IF(D24=401,'A.0_Tablas salariales SC'!$H$220,IF(D24=451,'A.0_Tablas salariales SC'!$H$221,'A.0_Tablas salariales SC'!$H$215)))))))</f>
        <v>0.34670000000000001</v>
      </c>
      <c r="R24" s="183">
        <f t="shared" si="0"/>
        <v>9656.2454438700006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46023</v>
      </c>
      <c r="F25" s="171"/>
      <c r="G25" s="182">
        <f>'A.2.Plantilla_NuevaContratacion'!F25</f>
        <v>1</v>
      </c>
      <c r="H25" s="181">
        <f>'A.2.0_TablaAntigüedad_NVContr'!N26</f>
        <v>5</v>
      </c>
      <c r="I25" s="183">
        <f>'A.2.0_TablaAntigüedad_NVContr'!AB26</f>
        <v>35.390799999999999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530.86199999999997</v>
      </c>
      <c r="O25" s="183">
        <f>'A.0_Tablas salariales SC'!K157</f>
        <v>28384.128599999996</v>
      </c>
      <c r="P25" s="183">
        <f>(O25+N25)*G25+'A.0_Tablas salariales SC'!$R$164*(100%-G25)</f>
        <v>28914.990599999997</v>
      </c>
      <c r="Q25" s="184">
        <f>IF(D25=100,'A.0_Tablas salariales SC'!$H$215,IF(D25=150,'A.0_Tablas salariales SC'!$H$216,IF(D25=189,'A.0_Tablas salariales SC'!$H$217,IF(D25=400,'A.0_Tablas salariales SC'!$H$218,IF(D25=450,'A.0_Tablas salariales SC'!$H$219,IF(D25=401,'A.0_Tablas salariales SC'!$H$220,IF(D25=451,'A.0_Tablas salariales SC'!$H$221,'A.0_Tablas salariales SC'!$H$215)))))))</f>
        <v>0.34670000000000001</v>
      </c>
      <c r="R25" s="183">
        <f t="shared" si="0"/>
        <v>10024.827241019999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46023</v>
      </c>
      <c r="F26" s="171"/>
      <c r="G26" s="182">
        <f>'A.2.Plantilla_NuevaContratacion'!F26</f>
        <v>1</v>
      </c>
      <c r="H26" s="181">
        <f>'A.2.0_TablaAntigüedad_NVContr'!N27</f>
        <v>5</v>
      </c>
      <c r="I26" s="183">
        <f>'A.2.0_TablaAntigüedad_NVContr'!AB27</f>
        <v>35.390799999999999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530.86199999999997</v>
      </c>
      <c r="O26" s="183">
        <f>'A.0_Tablas salariales SC'!K158</f>
        <v>30301.628100000005</v>
      </c>
      <c r="P26" s="183">
        <f>(O26+N26)*G26+'A.0_Tablas salariales SC'!$R$164*(100%-G26)</f>
        <v>30832.490100000006</v>
      </c>
      <c r="Q26" s="184">
        <f>IF(D26=100,'A.0_Tablas salariales SC'!$H$215,IF(D26=150,'A.0_Tablas salariales SC'!$H$216,IF(D26=189,'A.0_Tablas salariales SC'!$H$217,IF(D26=400,'A.0_Tablas salariales SC'!$H$218,IF(D26=450,'A.0_Tablas salariales SC'!$H$219,IF(D26=401,'A.0_Tablas salariales SC'!$H$220,IF(D26=451,'A.0_Tablas salariales SC'!$H$221,'A.0_Tablas salariales SC'!$H$215)))))))</f>
        <v>0.34670000000000001</v>
      </c>
      <c r="R26" s="183">
        <f t="shared" si="0"/>
        <v>10689.624317670003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46023</v>
      </c>
      <c r="F27" s="171"/>
      <c r="G27" s="182">
        <f>'A.2.Plantilla_NuevaContratacion'!F27</f>
        <v>1</v>
      </c>
      <c r="H27" s="181">
        <f>'A.2.0_TablaAntigüedad_NVContr'!N28</f>
        <v>5</v>
      </c>
      <c r="I27" s="183">
        <f>'A.2.0_TablaAntigüedad_NVContr'!AB28</f>
        <v>35.390799999999999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530.86199999999997</v>
      </c>
      <c r="O27" s="183">
        <f>'A.0_Tablas salariales SC'!K159</f>
        <v>32013.951599999997</v>
      </c>
      <c r="P27" s="183">
        <f>(O27+N27)*G27+'A.0_Tablas salariales SC'!$R$164*(100%-G27)</f>
        <v>32544.813599999998</v>
      </c>
      <c r="Q27" s="184">
        <f>IF(D27=100,'A.0_Tablas salariales SC'!$H$215,IF(D27=150,'A.0_Tablas salariales SC'!$H$216,IF(D27=189,'A.0_Tablas salariales SC'!$H$217,IF(D27=400,'A.0_Tablas salariales SC'!$H$218,IF(D27=450,'A.0_Tablas salariales SC'!$H$219,IF(D27=401,'A.0_Tablas salariales SC'!$H$220,IF(D27=451,'A.0_Tablas salariales SC'!$H$221,'A.0_Tablas salariales SC'!$H$215)))))))</f>
        <v>0.34670000000000001</v>
      </c>
      <c r="R27" s="183">
        <f t="shared" si="0"/>
        <v>11283.28687512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46023</v>
      </c>
      <c r="F29" s="171"/>
      <c r="G29" s="182">
        <f>'A.2.Plantilla_NuevaContratacion'!F29</f>
        <v>1</v>
      </c>
      <c r="H29" s="181">
        <f>'A.2.0_TablaAntigüedad_NVContr'!N30</f>
        <v>5</v>
      </c>
      <c r="I29" s="183">
        <f>'A.2.0_TablaAntigüedad_NVContr'!AB30</f>
        <v>32.681899999999999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490.2285</v>
      </c>
      <c r="O29" s="183">
        <f>'A.0_Tablas salariales SC'!K148</f>
        <v>27109.349099999996</v>
      </c>
      <c r="P29" s="183">
        <f>(O29+N29)*G29+'A.0_Tablas salariales SC'!$R$164*(100%-G29)</f>
        <v>27599.577599999997</v>
      </c>
      <c r="Q29" s="184">
        <f>IF(D29=100,'A.0_Tablas salariales SC'!$H$215,IF(D29=150,'A.0_Tablas salariales SC'!$H$216,IF(D29=189,'A.0_Tablas salariales SC'!$H$217,IF(D29=400,'A.0_Tablas salariales SC'!$H$218,IF(D29=450,'A.0_Tablas salariales SC'!$H$219,IF(D29=401,'A.0_Tablas salariales SC'!$H$220,IF(D29=451,'A.0_Tablas salariales SC'!$H$221,'A.0_Tablas salariales SC'!$H$215)))))))</f>
        <v>0.34670000000000001</v>
      </c>
      <c r="R29" s="183">
        <f t="shared" si="0"/>
        <v>9568.7735539199984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46023</v>
      </c>
      <c r="F30" s="171"/>
      <c r="G30" s="182">
        <f>'A.2.Plantilla_NuevaContratacion'!F30</f>
        <v>1</v>
      </c>
      <c r="H30" s="181">
        <f>'A.2.0_TablaAntigüedad_NVContr'!N31</f>
        <v>5</v>
      </c>
      <c r="I30" s="183">
        <f>'A.2.0_TablaAntigüedad_NVContr'!AB31</f>
        <v>32.681899999999999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490.2285</v>
      </c>
      <c r="O30" s="183">
        <f>'A.0_Tablas salariales SC'!K147</f>
        <v>26264.234100000009</v>
      </c>
      <c r="P30" s="183">
        <f>(O30+N30)*G30+'A.0_Tablas salariales SC'!$R$164*(100%-G30)</f>
        <v>26754.46260000001</v>
      </c>
      <c r="Q30" s="184">
        <f>IF(D30=100,'A.0_Tablas salariales SC'!$H$215,IF(D30=150,'A.0_Tablas salariales SC'!$H$216,IF(D30=189,'A.0_Tablas salariales SC'!$H$217,IF(D30=400,'A.0_Tablas salariales SC'!$H$218,IF(D30=450,'A.0_Tablas salariales SC'!$H$219,IF(D30=401,'A.0_Tablas salariales SC'!$H$220,IF(D30=451,'A.0_Tablas salariales SC'!$H$221,'A.0_Tablas salariales SC'!$H$215)))))))</f>
        <v>0.34670000000000001</v>
      </c>
      <c r="R30" s="183">
        <f t="shared" si="0"/>
        <v>9275.7721834200038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0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S6 A8:S8 A10:S10 A13:S13 A16:S16 A22:S22 A28:S28">
    <cfRule type="cellIs" dxfId="37" priority="5" operator="equal">
      <formula>0</formula>
    </cfRule>
  </conditionalFormatting>
  <conditionalFormatting sqref="G7:G9">
    <cfRule type="cellIs" dxfId="36" priority="14" operator="equal">
      <formula>0</formula>
    </cfRule>
  </conditionalFormatting>
  <conditionalFormatting sqref="G5:S5">
    <cfRule type="cellIs" dxfId="35" priority="2" operator="equal">
      <formula>0</formula>
    </cfRule>
  </conditionalFormatting>
  <conditionalFormatting sqref="H7:S7 H9:S9 G11:S12 G14:S15 G17:S21 G23:S27 G29:S30">
    <cfRule type="cellIs" dxfId="34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E4F6-C4EA-43EA-97D1-287DA9B68518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7" sqref="N5 N7 N9 N11:N12 N14: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1027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987</v>
      </c>
      <c r="I3" s="241" t="s">
        <v>988</v>
      </c>
      <c r="J3" s="241" t="s">
        <v>989</v>
      </c>
      <c r="K3" s="241" t="s">
        <v>1007</v>
      </c>
      <c r="L3" s="241" t="s">
        <v>1103</v>
      </c>
      <c r="M3" s="241" t="s">
        <v>990</v>
      </c>
      <c r="N3" s="241" t="s">
        <v>991</v>
      </c>
      <c r="O3" s="241" t="s">
        <v>992</v>
      </c>
      <c r="P3" s="241" t="s">
        <v>993</v>
      </c>
      <c r="Q3" s="241" t="s">
        <v>994</v>
      </c>
      <c r="R3" s="241" t="s">
        <v>995</v>
      </c>
      <c r="S3" s="241" t="s">
        <v>996</v>
      </c>
      <c r="T3" s="241" t="s">
        <v>997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L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M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46023</v>
      </c>
      <c r="F5" s="171"/>
      <c r="G5" s="182">
        <f>'A.2.Plantilla_NuevaContratacion'!F5</f>
        <v>1</v>
      </c>
      <c r="H5" s="181">
        <f>'A.2.0_TablaAntigüedad_NVContr'!O6</f>
        <v>6</v>
      </c>
      <c r="I5" s="183">
        <f>'A.2.0_TablaAntigüedad_NVContr'!AC6</f>
        <v>93.295546000000002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1399.43319</v>
      </c>
      <c r="O5" s="183">
        <f>'A.0_Tablas salariales SC'!K173</f>
        <v>25739.986863000006</v>
      </c>
      <c r="P5" s="183">
        <f>(O5+N5)*G5+'A.0_Tablas salariales SC'!$R$192*(100%-G5)</f>
        <v>27139.420053000005</v>
      </c>
      <c r="Q5" s="184">
        <f>IF(D5=100,'A.0_Tablas salariales SC'!$I$215,IF(D5=150,'A.0_Tablas salariales SC'!$I$216,IF(D5=189,'A.0_Tablas salariales SC'!$I$217,IF(D5=400,'A.0_Tablas salariales SC'!$I$218,IF(D5=450,'A.0_Tablas salariales SC'!$I$219,IF(D5=401,'A.0_Tablas salariales SC'!$I$220,IF(D5=451,'A.0_Tablas salariales SC'!$I$221,'A.0_Tablas salariales SC'!$I$215)))))))</f>
        <v>0.34755000000000003</v>
      </c>
      <c r="R5" s="183">
        <f>Q5*P5</f>
        <v>9432.3054394201517</v>
      </c>
      <c r="S5" s="183">
        <f>(R5+P5)*A5</f>
        <v>0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0</v>
      </c>
    </row>
    <row r="7" spans="1:20">
      <c r="A7" s="427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46023</v>
      </c>
      <c r="F7" s="171"/>
      <c r="G7" s="182">
        <f>'A.2.Plantilla_NuevaContratacion'!F7</f>
        <v>1</v>
      </c>
      <c r="H7" s="181">
        <f>'A.2.0_TablaAntigüedad_NVContr'!O8</f>
        <v>6</v>
      </c>
      <c r="I7" s="183">
        <f>'A.2.0_TablaAntigüedad_NVContr'!AC8</f>
        <v>93.295546000000002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1399.43319</v>
      </c>
      <c r="O7" s="183">
        <f>'A.0_Tablas salariales SC'!K174</f>
        <v>27024.683718</v>
      </c>
      <c r="P7" s="183">
        <f>(O7+N7)*G7+'A.0_Tablas salariales SC'!$R$192*(100%-G7)</f>
        <v>28424.116908</v>
      </c>
      <c r="Q7" s="184">
        <f>IF(D7=100,'A.0_Tablas salariales SC'!$I$215,IF(D7=150,'A.0_Tablas salariales SC'!$I$216,IF(D7=189,'A.0_Tablas salariales SC'!$I$217,IF(D7=400,'A.0_Tablas salariales SC'!$I$218,IF(D7=450,'A.0_Tablas salariales SC'!$I$219,IF(D7=401,'A.0_Tablas salariales SC'!$I$220,IF(D7=451,'A.0_Tablas salariales SC'!$I$221,'A.0_Tablas salariales SC'!$I$215)))))))</f>
        <v>0.34755000000000003</v>
      </c>
      <c r="R7" s="183">
        <f t="shared" ref="R7:R30" si="0">Q7*P7</f>
        <v>9878.8018313754001</v>
      </c>
      <c r="S7" s="183">
        <f t="shared" ref="S7:S30" si="1">(R7+P7)*A7</f>
        <v>0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0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46023</v>
      </c>
      <c r="F9" s="171"/>
      <c r="G9" s="182">
        <f>'A.2.Plantilla_NuevaContratacion'!F9</f>
        <v>1</v>
      </c>
      <c r="H9" s="181">
        <f>'A.2.0_TablaAntigüedad_NVContr'!O10</f>
        <v>6</v>
      </c>
      <c r="I9" s="183">
        <f>'A.2.0_TablaAntigüedad_NVContr'!AC10</f>
        <v>93.295546000000002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1399.43319</v>
      </c>
      <c r="O9" s="183">
        <f>'A.0_Tablas salariales SC'!K177</f>
        <v>28026.279407999995</v>
      </c>
      <c r="P9" s="183">
        <f>(O9+N9)*G9+'A.0_Tablas salariales SC'!$R$192*(100%-G9)</f>
        <v>29425.712597999995</v>
      </c>
      <c r="Q9" s="184">
        <f>IF(D9=100,'A.0_Tablas salariales SC'!$I$215,IF(D9=150,'A.0_Tablas salariales SC'!$I$216,IF(D9=189,'A.0_Tablas salariales SC'!$I$217,IF(D9=400,'A.0_Tablas salariales SC'!$I$218,IF(D9=450,'A.0_Tablas salariales SC'!$I$219,IF(D9=401,'A.0_Tablas salariales SC'!$I$220,IF(D9=451,'A.0_Tablas salariales SC'!$I$221,'A.0_Tablas salariales SC'!$I$215)))))))</f>
        <v>0.34755000000000003</v>
      </c>
      <c r="R9" s="183">
        <f t="shared" si="0"/>
        <v>10226.906413434899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46023</v>
      </c>
      <c r="F11" s="171"/>
      <c r="G11" s="182">
        <f>'A.2.Plantilla_NuevaContratacion'!F11</f>
        <v>1</v>
      </c>
      <c r="H11" s="181">
        <f>'A.2.0_TablaAntigüedad_NVContr'!O12</f>
        <v>6</v>
      </c>
      <c r="I11" s="183">
        <f>'A.2.0_TablaAntigüedad_NVContr'!AC12</f>
        <v>93.295546000000002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1399.43319</v>
      </c>
      <c r="O11" s="183">
        <f>'A.0_Tablas salariales SC'!K178</f>
        <v>29310.976263000004</v>
      </c>
      <c r="P11" s="183">
        <f>(O11+N11)*G11+'A.0_Tablas salariales SC'!$R$192*(100%-G11)</f>
        <v>30710.409453000004</v>
      </c>
      <c r="Q11" s="184">
        <f>IF(D11=100,'A.0_Tablas salariales SC'!$I$215,IF(D11=150,'A.0_Tablas salariales SC'!$I$216,IF(D11=189,'A.0_Tablas salariales SC'!$I$217,IF(D11=400,'A.0_Tablas salariales SC'!$I$218,IF(D11=450,'A.0_Tablas salariales SC'!$I$219,IF(D11=401,'A.0_Tablas salariales SC'!$I$220,IF(D11=451,'A.0_Tablas salariales SC'!$I$221,'A.0_Tablas salariales SC'!$I$215)))))))</f>
        <v>0.34755000000000003</v>
      </c>
      <c r="R11" s="183">
        <f t="shared" si="0"/>
        <v>10673.402805390153</v>
      </c>
      <c r="S11" s="183">
        <f t="shared" si="1"/>
        <v>0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46023</v>
      </c>
      <c r="F12" s="171"/>
      <c r="G12" s="182">
        <f>'A.2.Plantilla_NuevaContratacion'!F12</f>
        <v>1</v>
      </c>
      <c r="H12" s="181">
        <f>'A.2.0_TablaAntigüedad_NVContr'!O13</f>
        <v>6</v>
      </c>
      <c r="I12" s="183">
        <f>'A.2.0_TablaAntigüedad_NVContr'!AC13</f>
        <v>93.295546000000002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1399.43319</v>
      </c>
      <c r="O12" s="183">
        <f>'A.0_Tablas salariales SC'!K179</f>
        <v>29310.976263000004</v>
      </c>
      <c r="P12" s="183">
        <f>(O12+N12)*G12+'A.0_Tablas salariales SC'!$R$192*(100%-G12)</f>
        <v>30710.409453000004</v>
      </c>
      <c r="Q12" s="492">
        <f>IF(D12=100,'A.0_Tablas salariales SC'!$I$227,IF(D12=150,'A.0_Tablas salariales SC'!$I$228,IF(D12=189,'A.0_Tablas salariales SC'!$I$229,IF(D12=400,'A.0_Tablas salariales SC'!$I$230,IF(D12=450,'A.0_Tablas salariales SC'!$I$231,IF(D12=401,'A.0_Tablas salariales SC'!$I$232,IF(D12=451,'A.0_Tablas salariales SC'!$I$233,'A.0_Tablas salariales SC'!$I$227)))))))</f>
        <v>0.37855000000000005</v>
      </c>
      <c r="R12" s="183">
        <f t="shared" si="0"/>
        <v>11625.425498433153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0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46023</v>
      </c>
      <c r="F14" s="171"/>
      <c r="G14" s="182">
        <f>'A.2.Plantilla_NuevaContratacion'!F14</f>
        <v>1</v>
      </c>
      <c r="H14" s="181">
        <f>'A.2.0_TablaAntigüedad_NVContr'!O15</f>
        <v>6</v>
      </c>
      <c r="I14" s="183">
        <f>'A.2.0_TablaAntigüedad_NVContr'!AC15</f>
        <v>93.295546000000002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1399.43319</v>
      </c>
      <c r="O14" s="183">
        <f>'A.0_Tablas salariales SC'!K181</f>
        <v>30487.143048000009</v>
      </c>
      <c r="P14" s="183">
        <f>(O14+N14)*G14+'A.0_Tablas salariales SC'!$R$192*(100%-G14)</f>
        <v>31886.576238000009</v>
      </c>
      <c r="Q14" s="184">
        <f>IF(D14=100,'A.0_Tablas salariales SC'!$I$215,IF(D14=150,'A.0_Tablas salariales SC'!$I$216,IF(D14=189,'A.0_Tablas salariales SC'!$I$217,IF(D14=400,'A.0_Tablas salariales SC'!$I$218,IF(D14=450,'A.0_Tablas salariales SC'!$I$219,IF(D14=401,'A.0_Tablas salariales SC'!$I$220,IF(D14=451,'A.0_Tablas salariales SC'!$I$221,'A.0_Tablas salariales SC'!$I$215)))))))</f>
        <v>0.34755000000000003</v>
      </c>
      <c r="R14" s="183">
        <f t="shared" si="0"/>
        <v>11082.179571516905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46023</v>
      </c>
      <c r="F15" s="171"/>
      <c r="G15" s="182">
        <f>'A.2.Plantilla_NuevaContratacion'!F15</f>
        <v>1</v>
      </c>
      <c r="H15" s="181">
        <f>'A.2.0_TablaAntigüedad_NVContr'!O16</f>
        <v>6</v>
      </c>
      <c r="I15" s="183">
        <f>'A.2.0_TablaAntigüedad_NVContr'!AC16</f>
        <v>93.295546000000002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1399.43319</v>
      </c>
      <c r="O15" s="183">
        <f>'A.0_Tablas salariales SC'!K180</f>
        <v>30487.143048000009</v>
      </c>
      <c r="P15" s="183">
        <f>(O15+N15)*G15+'A.0_Tablas salariales SC'!$R$192*(100%-G15)</f>
        <v>31886.576238000009</v>
      </c>
      <c r="Q15" s="184">
        <f>IF(D15=100,'A.0_Tablas salariales SC'!$I$215,IF(D15=150,'A.0_Tablas salariales SC'!$I$216,IF(D15=189,'A.0_Tablas salariales SC'!$I$217,IF(D15=400,'A.0_Tablas salariales SC'!$I$218,IF(D15=450,'A.0_Tablas salariales SC'!$I$219,IF(D15=401,'A.0_Tablas salariales SC'!$I$220,IF(D15=451,'A.0_Tablas salariales SC'!$I$221,'A.0_Tablas salariales SC'!$I$215)))))))</f>
        <v>0.34755000000000003</v>
      </c>
      <c r="R15" s="183">
        <f t="shared" si="0"/>
        <v>11082.179571516905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46023</v>
      </c>
      <c r="F17" s="171"/>
      <c r="G17" s="182">
        <f>'A.2.Plantilla_NuevaContratacion'!F17</f>
        <v>1</v>
      </c>
      <c r="H17" s="181">
        <f>'A.2.0_TablaAntigüedad_NVContr'!O18</f>
        <v>6</v>
      </c>
      <c r="I17" s="183">
        <f>'A.2.0_TablaAntigüedad_NVContr'!AC18</f>
        <v>127.796014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1916.94021</v>
      </c>
      <c r="O17" s="183">
        <f>'A.0_Tablas salariales SC'!K188</f>
        <v>36598.404452999996</v>
      </c>
      <c r="P17" s="183">
        <f>(O17+N17)*G17+'A.0_Tablas salariales SC'!$R$192*(100%-G17)</f>
        <v>38515.344662999996</v>
      </c>
      <c r="Q17" s="184">
        <f>IF(D17=100,'A.0_Tablas salariales SC'!$I$215,IF(D17=150,'A.0_Tablas salariales SC'!$I$216,IF(D17=189,'A.0_Tablas salariales SC'!$I$217,IF(D17=400,'A.0_Tablas salariales SC'!$I$218,IF(D17=450,'A.0_Tablas salariales SC'!$I$219,IF(D17=401,'A.0_Tablas salariales SC'!$I$220,IF(D17=451,'A.0_Tablas salariales SC'!$I$221,'A.0_Tablas salariales SC'!$I$215)))))))</f>
        <v>0.34755000000000003</v>
      </c>
      <c r="R17" s="183">
        <f t="shared" si="0"/>
        <v>13386.00803762565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46023</v>
      </c>
      <c r="F18" s="171"/>
      <c r="G18" s="182">
        <f>'A.2.Plantilla_NuevaContratacion'!F18</f>
        <v>1</v>
      </c>
      <c r="H18" s="181">
        <f>'A.2.0_TablaAntigüedad_NVContr'!O19</f>
        <v>6</v>
      </c>
      <c r="I18" s="183">
        <f>'A.2.0_TablaAntigüedad_NVContr'!AC19</f>
        <v>127.796014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1916.94021</v>
      </c>
      <c r="O18" s="183">
        <f>'A.0_Tablas salariales SC'!K189</f>
        <v>33122.418648000006</v>
      </c>
      <c r="P18" s="183">
        <f>(O18+N18)*G18+'A.0_Tablas salariales SC'!$R$192*(100%-G18)</f>
        <v>35039.358858000007</v>
      </c>
      <c r="Q18" s="184">
        <f>IF(D18=100,'A.0_Tablas salariales SC'!$I$215,IF(D18=150,'A.0_Tablas salariales SC'!$I$216,IF(D18=189,'A.0_Tablas salariales SC'!$I$217,IF(D18=400,'A.0_Tablas salariales SC'!$I$218,IF(D18=450,'A.0_Tablas salariales SC'!$I$219,IF(D18=401,'A.0_Tablas salariales SC'!$I$220,IF(D18=451,'A.0_Tablas salariales SC'!$I$221,'A.0_Tablas salariales SC'!$I$215)))))))</f>
        <v>0.34755000000000003</v>
      </c>
      <c r="R18" s="183">
        <f t="shared" si="0"/>
        <v>12177.929171097903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46023</v>
      </c>
      <c r="F19" s="171"/>
      <c r="G19" s="182">
        <f>'A.2.Plantilla_NuevaContratacion'!F19</f>
        <v>1</v>
      </c>
      <c r="H19" s="181">
        <f>'A.2.0_TablaAntigüedad_NVContr'!O20</f>
        <v>6</v>
      </c>
      <c r="I19" s="183">
        <f>'A.2.0_TablaAntigüedad_NVContr'!AC20</f>
        <v>127.796014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1916.94021</v>
      </c>
      <c r="O19" s="183">
        <f>'A.0_Tablas salariales SC'!K190</f>
        <v>35742.099018000008</v>
      </c>
      <c r="P19" s="183">
        <f>(O19+N19)*G19+'A.0_Tablas salariales SC'!$R$192*(100%-G19)</f>
        <v>37659.039228000009</v>
      </c>
      <c r="Q19" s="184">
        <f>IF(D19=100,'A.0_Tablas salariales SC'!$I$215,IF(D19=150,'A.0_Tablas salariales SC'!$I$216,IF(D19=189,'A.0_Tablas salariales SC'!$I$217,IF(D19=400,'A.0_Tablas salariales SC'!$I$218,IF(D19=450,'A.0_Tablas salariales SC'!$I$219,IF(D19=401,'A.0_Tablas salariales SC'!$I$220,IF(D19=451,'A.0_Tablas salariales SC'!$I$221,'A.0_Tablas salariales SC'!$I$215)))))))</f>
        <v>0.34755000000000003</v>
      </c>
      <c r="R19" s="183">
        <f t="shared" si="0"/>
        <v>13088.399083691404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46023</v>
      </c>
      <c r="F20" s="171"/>
      <c r="G20" s="182">
        <f>'A.2.Plantilla_NuevaContratacion'!F20</f>
        <v>1</v>
      </c>
      <c r="H20" s="181">
        <f>'A.2.0_TablaAntigüedad_NVContr'!O21</f>
        <v>6</v>
      </c>
      <c r="I20" s="183">
        <f>'A.2.0_TablaAntigüedad_NVContr'!AC21</f>
        <v>127.796014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1916.94021</v>
      </c>
      <c r="O20" s="183">
        <f>'A.0_Tablas salariales SC'!K191</f>
        <v>38129.760558000009</v>
      </c>
      <c r="P20" s="183">
        <f>(O20+N20)*G20+'A.0_Tablas salariales SC'!$R$192*(100%-G20)</f>
        <v>40046.70076800001</v>
      </c>
      <c r="Q20" s="184">
        <f>IF(D20=100,'A.0_Tablas salariales SC'!$I$215,IF(D20=150,'A.0_Tablas salariales SC'!$I$216,IF(D20=189,'A.0_Tablas salariales SC'!$I$217,IF(D20=400,'A.0_Tablas salariales SC'!$I$218,IF(D20=450,'A.0_Tablas salariales SC'!$I$219,IF(D20=401,'A.0_Tablas salariales SC'!$I$220,IF(D20=451,'A.0_Tablas salariales SC'!$I$221,'A.0_Tablas salariales SC'!$I$215)))))))</f>
        <v>0.34755000000000003</v>
      </c>
      <c r="R20" s="183">
        <f t="shared" si="0"/>
        <v>13918.230851918404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46023</v>
      </c>
      <c r="F21" s="171"/>
      <c r="G21" s="182">
        <f>'A.2.Plantilla_NuevaContratacion'!F21</f>
        <v>1</v>
      </c>
      <c r="H21" s="181">
        <f>'A.2.0_TablaAntigüedad_NVContr'!O22</f>
        <v>6</v>
      </c>
      <c r="I21" s="183">
        <f>'A.2.0_TablaAntigüedad_NVContr'!AC22</f>
        <v>127.796014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1916.94021</v>
      </c>
      <c r="O21" s="183">
        <f>'A.0_Tablas salariales SC'!K192</f>
        <v>43137.73900799999</v>
      </c>
      <c r="P21" s="183">
        <f>(O21+N21)*G21+'A.0_Tablas salariales SC'!$R$192*(100%-G21)</f>
        <v>45054.67921799999</v>
      </c>
      <c r="Q21" s="184">
        <f>IF(D21=100,'A.0_Tablas salariales SC'!$I$215,IF(D21=150,'A.0_Tablas salariales SC'!$I$216,IF(D21=189,'A.0_Tablas salariales SC'!$I$217,IF(D21=400,'A.0_Tablas salariales SC'!$I$218,IF(D21=450,'A.0_Tablas salariales SC'!$I$219,IF(D21=401,'A.0_Tablas salariales SC'!$I$220,IF(D21=451,'A.0_Tablas salariales SC'!$I$221,'A.0_Tablas salariales SC'!$I$215)))))))</f>
        <v>0.34755000000000003</v>
      </c>
      <c r="R21" s="183">
        <f t="shared" si="0"/>
        <v>15658.753762215898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46023</v>
      </c>
      <c r="F23" s="171"/>
      <c r="G23" s="182">
        <f>'A.2.Plantilla_NuevaContratacion'!F23</f>
        <v>1</v>
      </c>
      <c r="H23" s="181">
        <f>'A.2.0_TablaAntigüedad_NVContr'!O24</f>
        <v>6</v>
      </c>
      <c r="I23" s="183">
        <f>'A.2.0_TablaAntigüedad_NVContr'!AC24</f>
        <v>100.75367300000001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1511.3050950000002</v>
      </c>
      <c r="O23" s="183">
        <f>'A.0_Tablas salariales SC'!K182</f>
        <v>21900.536717999996</v>
      </c>
      <c r="P23" s="183">
        <f>(O23+N23)*G23+'A.0_Tablas salariales SC'!$R$192*(100%-G23)</f>
        <v>23411.841812999995</v>
      </c>
      <c r="Q23" s="184">
        <f>IF(D23=100,'A.0_Tablas salariales SC'!$I$215,IF(D23=150,'A.0_Tablas salariales SC'!$I$216,IF(D23=189,'A.0_Tablas salariales SC'!$I$217,IF(D23=400,'A.0_Tablas salariales SC'!$I$218,IF(D23=450,'A.0_Tablas salariales SC'!$I$219,IF(D23=401,'A.0_Tablas salariales SC'!$I$220,IF(D23=451,'A.0_Tablas salariales SC'!$I$221,'A.0_Tablas salariales SC'!$I$215)))))))</f>
        <v>0.34755000000000003</v>
      </c>
      <c r="R23" s="183">
        <f t="shared" si="0"/>
        <v>8136.7856221081493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46023</v>
      </c>
      <c r="F24" s="171"/>
      <c r="G24" s="182">
        <f>'A.2.Plantilla_NuevaContratacion'!F24</f>
        <v>1</v>
      </c>
      <c r="H24" s="181">
        <f>'A.2.0_TablaAntigüedad_NVContr'!O25</f>
        <v>6</v>
      </c>
      <c r="I24" s="183">
        <f>'A.2.0_TablaAntigüedad_NVContr'!AC25</f>
        <v>100.75367300000001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1511.3050950000002</v>
      </c>
      <c r="O24" s="183">
        <f>'A.0_Tablas salariales SC'!K184</f>
        <v>28113.644522999995</v>
      </c>
      <c r="P24" s="183">
        <f>(O24+N24)*G24+'A.0_Tablas salariales SC'!$R$192*(100%-G24)</f>
        <v>29624.949617999995</v>
      </c>
      <c r="Q24" s="184">
        <f>IF(D24=100,'A.0_Tablas salariales SC'!$I$215,IF(D24=150,'A.0_Tablas salariales SC'!$I$216,IF(D24=189,'A.0_Tablas salariales SC'!$I$217,IF(D24=400,'A.0_Tablas salariales SC'!$I$218,IF(D24=450,'A.0_Tablas salariales SC'!$I$219,IF(D24=401,'A.0_Tablas salariales SC'!$I$220,IF(D24=451,'A.0_Tablas salariales SC'!$I$221,'A.0_Tablas salariales SC'!$I$215)))))))</f>
        <v>0.34755000000000003</v>
      </c>
      <c r="R24" s="183">
        <f t="shared" si="0"/>
        <v>10296.151239735898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46023</v>
      </c>
      <c r="F25" s="171"/>
      <c r="G25" s="182">
        <f>'A.2.Plantilla_NuevaContratacion'!F25</f>
        <v>1</v>
      </c>
      <c r="H25" s="181">
        <f>'A.2.0_TablaAntigüedad_NVContr'!O26</f>
        <v>6</v>
      </c>
      <c r="I25" s="183">
        <f>'A.2.0_TablaAntigüedad_NVContr'!AC26</f>
        <v>100.75367300000001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1511.3050950000002</v>
      </c>
      <c r="O25" s="183">
        <f>'A.0_Tablas salariales SC'!K185</f>
        <v>29208.652457999997</v>
      </c>
      <c r="P25" s="183">
        <f>(O25+N25)*G25+'A.0_Tablas salariales SC'!$R$192*(100%-G25)</f>
        <v>30719.957552999997</v>
      </c>
      <c r="Q25" s="184">
        <f>IF(D25=100,'A.0_Tablas salariales SC'!$I$215,IF(D25=150,'A.0_Tablas salariales SC'!$I$216,IF(D25=189,'A.0_Tablas salariales SC'!$I$217,IF(D25=400,'A.0_Tablas salariales SC'!$I$218,IF(D25=450,'A.0_Tablas salariales SC'!$I$219,IF(D25=401,'A.0_Tablas salariales SC'!$I$220,IF(D25=451,'A.0_Tablas salariales SC'!$I$221,'A.0_Tablas salariales SC'!$I$215)))))))</f>
        <v>0.34755000000000003</v>
      </c>
      <c r="R25" s="183">
        <f t="shared" si="0"/>
        <v>10676.721247545149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46023</v>
      </c>
      <c r="F26" s="171"/>
      <c r="G26" s="182">
        <f>'A.2.Plantilla_NuevaContratacion'!F26</f>
        <v>1</v>
      </c>
      <c r="H26" s="181">
        <f>'A.2.0_TablaAntigüedad_NVContr'!O27</f>
        <v>6</v>
      </c>
      <c r="I26" s="183">
        <f>'A.2.0_TablaAntigüedad_NVContr'!AC27</f>
        <v>100.75367300000001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1511.3050950000002</v>
      </c>
      <c r="O26" s="183">
        <f>'A.0_Tablas salariales SC'!K186</f>
        <v>31183.676943000006</v>
      </c>
      <c r="P26" s="183">
        <f>(O26+N26)*G26+'A.0_Tablas salariales SC'!$R$192*(100%-G26)</f>
        <v>32694.982038000006</v>
      </c>
      <c r="Q26" s="184">
        <f>IF(D26=100,'A.0_Tablas salariales SC'!$I$215,IF(D26=150,'A.0_Tablas salariales SC'!$I$216,IF(D26=189,'A.0_Tablas salariales SC'!$I$217,IF(D26=400,'A.0_Tablas salariales SC'!$I$218,IF(D26=450,'A.0_Tablas salariales SC'!$I$219,IF(D26=401,'A.0_Tablas salariales SC'!$I$220,IF(D26=451,'A.0_Tablas salariales SC'!$I$221,'A.0_Tablas salariales SC'!$I$215)))))))</f>
        <v>0.34755000000000003</v>
      </c>
      <c r="R26" s="183">
        <f t="shared" si="0"/>
        <v>11363.141007306902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46023</v>
      </c>
      <c r="F27" s="171"/>
      <c r="G27" s="182">
        <f>'A.2.Plantilla_NuevaContratacion'!F27</f>
        <v>1</v>
      </c>
      <c r="H27" s="181">
        <f>'A.2.0_TablaAntigüedad_NVContr'!O28</f>
        <v>6</v>
      </c>
      <c r="I27" s="183">
        <f>'A.2.0_TablaAntigüedad_NVContr'!AC28</f>
        <v>100.75367300000001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1511.3050950000002</v>
      </c>
      <c r="O27" s="183">
        <f>'A.0_Tablas salariales SC'!K187</f>
        <v>32947.370148000002</v>
      </c>
      <c r="P27" s="183">
        <f>(O27+N27)*G27+'A.0_Tablas salariales SC'!$R$192*(100%-G27)</f>
        <v>34458.675243000005</v>
      </c>
      <c r="Q27" s="184">
        <f>IF(D27=100,'A.0_Tablas salariales SC'!$I$215,IF(D27=150,'A.0_Tablas salariales SC'!$I$216,IF(D27=189,'A.0_Tablas salariales SC'!$I$217,IF(D27=400,'A.0_Tablas salariales SC'!$I$218,IF(D27=450,'A.0_Tablas salariales SC'!$I$219,IF(D27=401,'A.0_Tablas salariales SC'!$I$220,IF(D27=451,'A.0_Tablas salariales SC'!$I$221,'A.0_Tablas salariales SC'!$I$215)))))))</f>
        <v>0.34755000000000003</v>
      </c>
      <c r="R27" s="183">
        <f t="shared" si="0"/>
        <v>11976.112580704652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46023</v>
      </c>
      <c r="F29" s="171"/>
      <c r="G29" s="182">
        <f>'A.2.Plantilla_NuevaContratacion'!F29</f>
        <v>1</v>
      </c>
      <c r="H29" s="181">
        <f>'A.2.0_TablaAntigüedad_NVContr'!O30</f>
        <v>6</v>
      </c>
      <c r="I29" s="183">
        <f>'A.2.0_TablaAntigüedad_NVContr'!AC30</f>
        <v>93.295546000000002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1399.43319</v>
      </c>
      <c r="O29" s="183">
        <f>'A.0_Tablas salariales SC'!K176</f>
        <v>27895.629572999998</v>
      </c>
      <c r="P29" s="183">
        <f>(O29+N29)*G29+'A.0_Tablas salariales SC'!$R$192*(100%-G29)</f>
        <v>29295.062762999998</v>
      </c>
      <c r="Q29" s="184">
        <f>IF(D29=100,'A.0_Tablas salariales SC'!$I$215,IF(D29=150,'A.0_Tablas salariales SC'!$I$216,IF(D29=189,'A.0_Tablas salariales SC'!$I$217,IF(D29=400,'A.0_Tablas salariales SC'!$I$218,IF(D29=450,'A.0_Tablas salariales SC'!$I$219,IF(D29=401,'A.0_Tablas salariales SC'!$I$220,IF(D29=451,'A.0_Tablas salariales SC'!$I$221,'A.0_Tablas salariales SC'!$I$215)))))))</f>
        <v>0.34755000000000003</v>
      </c>
      <c r="R29" s="183">
        <f t="shared" si="0"/>
        <v>10181.499063280649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46023</v>
      </c>
      <c r="F30" s="171"/>
      <c r="G30" s="182">
        <f>'A.2.Plantilla_NuevaContratacion'!F30</f>
        <v>1</v>
      </c>
      <c r="H30" s="181">
        <f>'A.2.0_TablaAntigüedad_NVContr'!O31</f>
        <v>6</v>
      </c>
      <c r="I30" s="183">
        <f>'A.2.0_TablaAntigüedad_NVContr'!AC31</f>
        <v>93.295546000000002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1399.43319</v>
      </c>
      <c r="O30" s="183">
        <f>'A.0_Tablas salariales SC'!K175</f>
        <v>27025.161122999998</v>
      </c>
      <c r="P30" s="183">
        <f>(O30+N30)*G30+'A.0_Tablas salariales SC'!$R$192*(100%-G30)</f>
        <v>28424.594312999998</v>
      </c>
      <c r="Q30" s="184">
        <f>IF(D30=100,'A.0_Tablas salariales SC'!$I$215,IF(D30=150,'A.0_Tablas salariales SC'!$I$216,IF(D30=189,'A.0_Tablas salariales SC'!$I$217,IF(D30=400,'A.0_Tablas salariales SC'!$I$218,IF(D30=450,'A.0_Tablas salariales SC'!$I$219,IF(D30=401,'A.0_Tablas salariales SC'!$I$220,IF(D30=451,'A.0_Tablas salariales SC'!$I$221,'A.0_Tablas salariales SC'!$I$215)))))))</f>
        <v>0.34755000000000003</v>
      </c>
      <c r="R30" s="183">
        <f t="shared" si="0"/>
        <v>9878.9677534831499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0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S6 A8:S8 A10:S10 A13:S13 A16:S16 A22:S22 A28:S28">
    <cfRule type="cellIs" dxfId="33" priority="5" operator="equal">
      <formula>0</formula>
    </cfRule>
  </conditionalFormatting>
  <conditionalFormatting sqref="G7:G9">
    <cfRule type="cellIs" dxfId="32" priority="13" operator="equal">
      <formula>0</formula>
    </cfRule>
  </conditionalFormatting>
  <conditionalFormatting sqref="G5:S5">
    <cfRule type="cellIs" dxfId="31" priority="2" operator="equal">
      <formula>0</formula>
    </cfRule>
  </conditionalFormatting>
  <conditionalFormatting sqref="H7:S7 H9:S9 G11:S12 G14:S15 G17:S21 G23:S27 G29:S30">
    <cfRule type="cellIs" dxfId="30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1454817346722"/>
  </sheetPr>
  <dimension ref="A1:AI53"/>
  <sheetViews>
    <sheetView zoomScale="73" zoomScaleNormal="73" workbookViewId="0">
      <selection activeCell="N3" sqref="N3"/>
    </sheetView>
  </sheetViews>
  <sheetFormatPr baseColWidth="10" defaultColWidth="11" defaultRowHeight="13.2"/>
  <cols>
    <col min="2" max="2" width="18" customWidth="1"/>
    <col min="3" max="3" width="15" customWidth="1"/>
    <col min="4" max="4" width="23.5546875" customWidth="1"/>
    <col min="5" max="5" width="24" customWidth="1"/>
    <col min="6" max="6" width="13.33203125" customWidth="1"/>
    <col min="7" max="7" width="50.6640625" customWidth="1"/>
    <col min="8" max="8" width="21.33203125" customWidth="1"/>
    <col min="9" max="10" width="16.44140625" customWidth="1"/>
    <col min="11" max="11" width="13.109375" style="152" customWidth="1"/>
    <col min="12" max="12" width="15.33203125" style="152" customWidth="1"/>
    <col min="13" max="13" width="11.109375" style="2" customWidth="1"/>
    <col min="14" max="14" width="13.44140625" style="2" customWidth="1"/>
    <col min="15" max="16" width="13.44140625" style="152" customWidth="1"/>
    <col min="17" max="17" width="11.5546875" style="2" customWidth="1"/>
    <col min="18" max="18" width="12" style="2" customWidth="1"/>
    <col min="19" max="20" width="13.44140625" style="152" customWidth="1"/>
    <col min="21" max="21" width="12.44140625" style="2" customWidth="1"/>
    <col min="22" max="22" width="12" style="2" customWidth="1"/>
    <col min="23" max="23" width="13.33203125" style="152" customWidth="1"/>
    <col min="24" max="24" width="14.6640625" style="152" customWidth="1"/>
    <col min="25" max="25" width="11.33203125" style="2" customWidth="1"/>
    <col min="26" max="26" width="12" style="2" customWidth="1"/>
    <col min="27" max="27" width="14.88671875" style="152" customWidth="1"/>
    <col min="28" max="28" width="14.109375" style="152" customWidth="1"/>
    <col min="29" max="29" width="12.33203125" style="2" customWidth="1"/>
    <col min="30" max="32" width="14.33203125" style="2" customWidth="1"/>
    <col min="33" max="33" width="13.6640625" style="2" customWidth="1"/>
    <col min="34" max="34" width="27" style="2" customWidth="1"/>
    <col min="35" max="35" width="45" customWidth="1"/>
  </cols>
  <sheetData>
    <row r="1" spans="1:35" ht="30" customHeight="1">
      <c r="M1" s="159"/>
      <c r="N1" s="159">
        <v>45291</v>
      </c>
      <c r="Q1" s="159"/>
      <c r="R1" s="159">
        <v>45657</v>
      </c>
      <c r="U1" s="159"/>
      <c r="V1" s="159">
        <v>46022</v>
      </c>
      <c r="Y1" s="159"/>
      <c r="Z1" s="159">
        <v>46387</v>
      </c>
      <c r="AC1" s="159"/>
    </row>
    <row r="2" spans="1:35" ht="30" customHeight="1">
      <c r="A2" s="153" t="s">
        <v>200</v>
      </c>
      <c r="B2" s="153" t="s">
        <v>201</v>
      </c>
      <c r="C2" s="153" t="s">
        <v>202</v>
      </c>
      <c r="D2" s="153" t="s">
        <v>203</v>
      </c>
      <c r="E2" s="153" t="s">
        <v>204</v>
      </c>
      <c r="F2" s="153" t="s">
        <v>205</v>
      </c>
      <c r="G2" s="153" t="s">
        <v>206</v>
      </c>
      <c r="H2" s="153" t="s">
        <v>207</v>
      </c>
      <c r="I2" s="153" t="s">
        <v>208</v>
      </c>
      <c r="J2" s="153" t="s">
        <v>209</v>
      </c>
      <c r="K2" s="160" t="s">
        <v>210</v>
      </c>
      <c r="L2" s="160" t="s">
        <v>211</v>
      </c>
      <c r="M2" s="161" t="s">
        <v>212</v>
      </c>
      <c r="N2" s="153" t="s">
        <v>213</v>
      </c>
      <c r="O2" s="160" t="s">
        <v>210</v>
      </c>
      <c r="P2" s="160" t="s">
        <v>211</v>
      </c>
      <c r="Q2" s="161" t="s">
        <v>212</v>
      </c>
      <c r="R2" s="153" t="s">
        <v>214</v>
      </c>
      <c r="S2" s="160" t="s">
        <v>210</v>
      </c>
      <c r="T2" s="160" t="s">
        <v>211</v>
      </c>
      <c r="U2" s="161" t="s">
        <v>212</v>
      </c>
      <c r="V2" s="153" t="s">
        <v>215</v>
      </c>
      <c r="W2" s="160" t="s">
        <v>210</v>
      </c>
      <c r="X2" s="160" t="s">
        <v>211</v>
      </c>
      <c r="Y2" s="161" t="s">
        <v>212</v>
      </c>
      <c r="Z2" s="153" t="s">
        <v>216</v>
      </c>
      <c r="AA2" s="160" t="s">
        <v>210</v>
      </c>
      <c r="AB2" s="160" t="s">
        <v>211</v>
      </c>
      <c r="AC2" s="161" t="s">
        <v>212</v>
      </c>
      <c r="AD2" s="153" t="s">
        <v>217</v>
      </c>
      <c r="AE2" s="153" t="s">
        <v>218</v>
      </c>
      <c r="AF2" s="153" t="s">
        <v>219</v>
      </c>
      <c r="AG2" s="153" t="s">
        <v>220</v>
      </c>
      <c r="AH2" s="153" t="s">
        <v>221</v>
      </c>
      <c r="AI2" s="153" t="s">
        <v>222</v>
      </c>
    </row>
    <row r="3" spans="1:35" ht="30" customHeight="1">
      <c r="A3" s="154">
        <v>1</v>
      </c>
      <c r="B3" s="154" t="s">
        <v>223</v>
      </c>
      <c r="C3" s="155">
        <v>40110</v>
      </c>
      <c r="D3" s="156" t="s">
        <v>224</v>
      </c>
      <c r="E3" s="154" t="s">
        <v>225</v>
      </c>
      <c r="F3" s="154">
        <v>100</v>
      </c>
      <c r="G3" s="157" t="s">
        <v>226</v>
      </c>
      <c r="H3" s="158" t="e">
        <f>+#REF!</f>
        <v>#REF!</v>
      </c>
      <c r="I3" s="158">
        <v>39897.42</v>
      </c>
      <c r="J3" s="158" t="e">
        <f>+I3/H3</f>
        <v>#REF!</v>
      </c>
      <c r="K3" s="162">
        <f>7.39*12</f>
        <v>88.679999999999993</v>
      </c>
      <c r="L3" s="162">
        <f>2.89*11</f>
        <v>31.790000000000003</v>
      </c>
      <c r="M3" s="163">
        <v>375</v>
      </c>
      <c r="N3" s="163">
        <f>(+N$1-C3)/365</f>
        <v>14.194520547945206</v>
      </c>
      <c r="O3" s="162">
        <f>K3*0.019+K3</f>
        <v>90.364919999999998</v>
      </c>
      <c r="P3" s="162">
        <f>2.95*11</f>
        <v>32.450000000000003</v>
      </c>
      <c r="Q3" s="163">
        <v>750</v>
      </c>
      <c r="R3" s="163">
        <f t="shared" ref="R3:R38" si="0">(+R$1-C3)/365</f>
        <v>15.197260273972603</v>
      </c>
      <c r="S3" s="162">
        <f>O3*0.019+O3</f>
        <v>92.081853479999992</v>
      </c>
      <c r="T3" s="162">
        <f>P3*0.022+P3</f>
        <v>33.163900000000005</v>
      </c>
      <c r="U3" s="163">
        <v>1125</v>
      </c>
      <c r="V3" s="163">
        <f t="shared" ref="V3:V38" si="1">(+V$1-C3)/365</f>
        <v>16.197260273972603</v>
      </c>
      <c r="W3" s="162">
        <f>S3*0.019+S3</f>
        <v>93.831408696119993</v>
      </c>
      <c r="X3" s="162">
        <f>T3*0.022+T3</f>
        <v>33.893505800000007</v>
      </c>
      <c r="Y3" s="163">
        <v>1425</v>
      </c>
      <c r="Z3" s="164">
        <f t="shared" ref="Z3:Z38" si="2">(+Z$1-C3)/365</f>
        <v>17.197260273972603</v>
      </c>
      <c r="AA3" s="165">
        <f>W3*0.019+W3</f>
        <v>95.614205461346273</v>
      </c>
      <c r="AB3" s="165">
        <f>X3*0.022+X3</f>
        <v>34.639162927600005</v>
      </c>
      <c r="AC3" s="163">
        <f>Y3*0.019+Y3</f>
        <v>1452.075</v>
      </c>
      <c r="AD3" s="158" t="e">
        <f t="shared" ref="AD3:AD34" si="3">H3+K3+L3+M3</f>
        <v>#REF!</v>
      </c>
      <c r="AE3" s="158" t="e">
        <f t="shared" ref="AE3:AE34" si="4">H3+O3+P3+Q3</f>
        <v>#REF!</v>
      </c>
      <c r="AF3" s="158" t="e">
        <f t="shared" ref="AF3:AF34" si="5">H3+S3+T3+U3</f>
        <v>#REF!</v>
      </c>
      <c r="AG3" s="158" t="e">
        <f t="shared" ref="AG3:AG34" si="6">H3+W3+X3+Y3</f>
        <v>#REF!</v>
      </c>
      <c r="AH3" s="158" t="e">
        <f t="shared" ref="AH3:AH34" si="7">(+SUM(AD3:AG3)/4)*J3</f>
        <v>#REF!</v>
      </c>
      <c r="AI3" s="166"/>
    </row>
    <row r="4" spans="1:35" ht="30" customHeight="1">
      <c r="A4" s="154">
        <v>2</v>
      </c>
      <c r="B4" s="154" t="s">
        <v>223</v>
      </c>
      <c r="C4" s="155">
        <v>38932</v>
      </c>
      <c r="D4" s="156" t="s">
        <v>227</v>
      </c>
      <c r="E4" s="154" t="s">
        <v>225</v>
      </c>
      <c r="F4" s="154">
        <v>100</v>
      </c>
      <c r="G4" s="157" t="s">
        <v>226</v>
      </c>
      <c r="H4" s="158" t="e">
        <f>+#REF!</f>
        <v>#REF!</v>
      </c>
      <c r="I4" s="158">
        <v>39897.42</v>
      </c>
      <c r="J4" s="158" t="e">
        <f>+I4/H4</f>
        <v>#REF!</v>
      </c>
      <c r="K4" s="162">
        <f>7.39*12</f>
        <v>88.679999999999993</v>
      </c>
      <c r="L4" s="162">
        <f>2.89*11</f>
        <v>31.790000000000003</v>
      </c>
      <c r="M4" s="163">
        <v>375</v>
      </c>
      <c r="N4" s="163">
        <f t="shared" ref="N4:N40" si="8">(+N$1-C4)/365</f>
        <v>17.421917808219177</v>
      </c>
      <c r="O4" s="162">
        <f>K4*0.019+K4</f>
        <v>90.364919999999998</v>
      </c>
      <c r="P4" s="162">
        <f>2.95*11</f>
        <v>32.450000000000003</v>
      </c>
      <c r="Q4" s="163">
        <v>750</v>
      </c>
      <c r="R4" s="163">
        <f t="shared" si="0"/>
        <v>18.424657534246574</v>
      </c>
      <c r="S4" s="162">
        <f>O4*0.019+O4</f>
        <v>92.081853479999992</v>
      </c>
      <c r="T4" s="162">
        <f>P4*0.022+P4</f>
        <v>33.163900000000005</v>
      </c>
      <c r="U4" s="163">
        <v>1125</v>
      </c>
      <c r="V4" s="163">
        <f t="shared" si="1"/>
        <v>19.424657534246574</v>
      </c>
      <c r="W4" s="162">
        <f>S4*0.019+S4</f>
        <v>93.831408696119993</v>
      </c>
      <c r="X4" s="162">
        <f>T4*0.022+T4</f>
        <v>33.893505800000007</v>
      </c>
      <c r="Y4" s="163">
        <v>1425</v>
      </c>
      <c r="Z4" s="164">
        <f t="shared" si="2"/>
        <v>20.424657534246574</v>
      </c>
      <c r="AA4" s="165">
        <f>W4*0.019+W4</f>
        <v>95.614205461346273</v>
      </c>
      <c r="AB4" s="165">
        <f>X4*0.022+X4</f>
        <v>34.639162927600005</v>
      </c>
      <c r="AC4" s="163">
        <f>Y4*0.019+Y4</f>
        <v>1452.075</v>
      </c>
      <c r="AD4" s="158" t="e">
        <f t="shared" si="3"/>
        <v>#REF!</v>
      </c>
      <c r="AE4" s="158" t="e">
        <f t="shared" si="4"/>
        <v>#REF!</v>
      </c>
      <c r="AF4" s="158" t="e">
        <f t="shared" si="5"/>
        <v>#REF!</v>
      </c>
      <c r="AG4" s="158" t="e">
        <f t="shared" si="6"/>
        <v>#REF!</v>
      </c>
      <c r="AH4" s="158" t="e">
        <f t="shared" si="7"/>
        <v>#REF!</v>
      </c>
      <c r="AI4" s="166"/>
    </row>
    <row r="5" spans="1:35" ht="30" customHeight="1">
      <c r="A5" s="154">
        <v>3</v>
      </c>
      <c r="B5" s="154" t="s">
        <v>223</v>
      </c>
      <c r="C5" s="155">
        <v>38749</v>
      </c>
      <c r="D5" s="156" t="s">
        <v>227</v>
      </c>
      <c r="E5" s="154" t="s">
        <v>225</v>
      </c>
      <c r="F5" s="154">
        <v>100</v>
      </c>
      <c r="G5" s="157" t="s">
        <v>226</v>
      </c>
      <c r="H5" s="158" t="e">
        <f>+#REF!</f>
        <v>#REF!</v>
      </c>
      <c r="I5" s="158">
        <v>29196.86</v>
      </c>
      <c r="J5" s="158" t="e">
        <f t="shared" ref="J5:J52" si="9">+I5/H5</f>
        <v>#REF!</v>
      </c>
      <c r="K5" s="162">
        <f>7.39*12</f>
        <v>88.679999999999993</v>
      </c>
      <c r="L5" s="162">
        <f t="shared" ref="L5:L52" si="10">2.89*11</f>
        <v>31.790000000000003</v>
      </c>
      <c r="M5" s="163">
        <v>375</v>
      </c>
      <c r="N5" s="163">
        <f t="shared" si="8"/>
        <v>17.923287671232877</v>
      </c>
      <c r="O5" s="162">
        <f t="shared" ref="O5:O40" si="11">K5*0.019+K5</f>
        <v>90.364919999999998</v>
      </c>
      <c r="P5" s="162">
        <f t="shared" ref="P5:P52" si="12">2.95*11</f>
        <v>32.450000000000003</v>
      </c>
      <c r="Q5" s="163">
        <v>750</v>
      </c>
      <c r="R5" s="163">
        <f t="shared" si="0"/>
        <v>18.926027397260274</v>
      </c>
      <c r="S5" s="162">
        <f t="shared" ref="S5:S49" si="13">O5*0.019+O5</f>
        <v>92.081853479999992</v>
      </c>
      <c r="T5" s="162">
        <f t="shared" ref="T5:T52" si="14">P5*0.022+P5</f>
        <v>33.163900000000005</v>
      </c>
      <c r="U5" s="163">
        <v>1125</v>
      </c>
      <c r="V5" s="163">
        <f t="shared" si="1"/>
        <v>19.926027397260274</v>
      </c>
      <c r="W5" s="162">
        <f t="shared" ref="W5:W52" si="15">S5*0.019+S5</f>
        <v>93.831408696119993</v>
      </c>
      <c r="X5" s="162">
        <f t="shared" ref="X5:X52" si="16">T5*0.022+T5</f>
        <v>33.893505800000007</v>
      </c>
      <c r="Y5" s="163">
        <v>1425</v>
      </c>
      <c r="Z5" s="164">
        <f t="shared" si="2"/>
        <v>20.926027397260274</v>
      </c>
      <c r="AA5" s="165">
        <f t="shared" ref="AA5:AA52" si="17">W5*0.019+W5</f>
        <v>95.614205461346273</v>
      </c>
      <c r="AB5" s="165">
        <f t="shared" ref="AB5:AB52" si="18">X5*0.022+X5</f>
        <v>34.639162927600005</v>
      </c>
      <c r="AC5" s="163">
        <f t="shared" ref="AC5:AC52" si="19">Y5*0.019+Y5</f>
        <v>1452.075</v>
      </c>
      <c r="AD5" s="158" t="e">
        <f t="shared" si="3"/>
        <v>#REF!</v>
      </c>
      <c r="AE5" s="158" t="e">
        <f t="shared" si="4"/>
        <v>#REF!</v>
      </c>
      <c r="AF5" s="158" t="e">
        <f t="shared" si="5"/>
        <v>#REF!</v>
      </c>
      <c r="AG5" s="158" t="e">
        <f t="shared" si="6"/>
        <v>#REF!</v>
      </c>
      <c r="AH5" s="158" t="e">
        <f t="shared" si="7"/>
        <v>#REF!</v>
      </c>
      <c r="AI5" s="166"/>
    </row>
    <row r="6" spans="1:35" ht="30" customHeight="1">
      <c r="A6" s="154">
        <v>4</v>
      </c>
      <c r="B6" s="154" t="s">
        <v>223</v>
      </c>
      <c r="C6" s="155">
        <v>38749</v>
      </c>
      <c r="D6" s="156" t="s">
        <v>227</v>
      </c>
      <c r="E6" s="154" t="s">
        <v>225</v>
      </c>
      <c r="F6" s="154">
        <v>100</v>
      </c>
      <c r="G6" s="157" t="s">
        <v>226</v>
      </c>
      <c r="H6" s="158" t="e">
        <f>+#REF!</f>
        <v>#REF!</v>
      </c>
      <c r="I6" s="158">
        <v>30437.01</v>
      </c>
      <c r="J6" s="158" t="e">
        <f t="shared" si="9"/>
        <v>#REF!</v>
      </c>
      <c r="K6" s="162">
        <f>7.39*12</f>
        <v>88.679999999999993</v>
      </c>
      <c r="L6" s="162">
        <f t="shared" si="10"/>
        <v>31.790000000000003</v>
      </c>
      <c r="M6" s="163">
        <v>375</v>
      </c>
      <c r="N6" s="163">
        <f t="shared" si="8"/>
        <v>17.923287671232877</v>
      </c>
      <c r="O6" s="162">
        <f t="shared" si="11"/>
        <v>90.364919999999998</v>
      </c>
      <c r="P6" s="162">
        <f t="shared" si="12"/>
        <v>32.450000000000003</v>
      </c>
      <c r="Q6" s="163">
        <v>750</v>
      </c>
      <c r="R6" s="163">
        <f t="shared" si="0"/>
        <v>18.926027397260274</v>
      </c>
      <c r="S6" s="162">
        <f t="shared" si="13"/>
        <v>92.081853479999992</v>
      </c>
      <c r="T6" s="162">
        <f t="shared" si="14"/>
        <v>33.163900000000005</v>
      </c>
      <c r="U6" s="163">
        <v>1125</v>
      </c>
      <c r="V6" s="163">
        <f t="shared" si="1"/>
        <v>19.926027397260274</v>
      </c>
      <c r="W6" s="162">
        <f t="shared" si="15"/>
        <v>93.831408696119993</v>
      </c>
      <c r="X6" s="162">
        <f t="shared" si="16"/>
        <v>33.893505800000007</v>
      </c>
      <c r="Y6" s="163">
        <v>1425</v>
      </c>
      <c r="Z6" s="164">
        <f t="shared" si="2"/>
        <v>20.926027397260274</v>
      </c>
      <c r="AA6" s="165">
        <f t="shared" si="17"/>
        <v>95.614205461346273</v>
      </c>
      <c r="AB6" s="165">
        <f t="shared" si="18"/>
        <v>34.639162927600005</v>
      </c>
      <c r="AC6" s="163">
        <f t="shared" si="19"/>
        <v>1452.075</v>
      </c>
      <c r="AD6" s="158" t="e">
        <f t="shared" si="3"/>
        <v>#REF!</v>
      </c>
      <c r="AE6" s="158" t="e">
        <f t="shared" si="4"/>
        <v>#REF!</v>
      </c>
      <c r="AF6" s="158" t="e">
        <f t="shared" si="5"/>
        <v>#REF!</v>
      </c>
      <c r="AG6" s="158" t="e">
        <f t="shared" si="6"/>
        <v>#REF!</v>
      </c>
      <c r="AH6" s="158" t="e">
        <f t="shared" si="7"/>
        <v>#REF!</v>
      </c>
      <c r="AI6" s="166"/>
    </row>
    <row r="7" spans="1:35" ht="30" customHeight="1">
      <c r="A7" s="154">
        <v>5</v>
      </c>
      <c r="B7" s="154" t="s">
        <v>223</v>
      </c>
      <c r="C7" s="155">
        <v>38932</v>
      </c>
      <c r="D7" s="156" t="s">
        <v>227</v>
      </c>
      <c r="E7" s="154" t="s">
        <v>225</v>
      </c>
      <c r="F7" s="154">
        <v>100</v>
      </c>
      <c r="G7" s="157" t="s">
        <v>226</v>
      </c>
      <c r="H7" s="158" t="e">
        <f>+#REF!</f>
        <v>#REF!</v>
      </c>
      <c r="I7" s="158">
        <v>29196.86</v>
      </c>
      <c r="J7" s="158" t="e">
        <f t="shared" si="9"/>
        <v>#REF!</v>
      </c>
      <c r="K7" s="162">
        <f>7.39*12</f>
        <v>88.679999999999993</v>
      </c>
      <c r="L7" s="162">
        <f t="shared" si="10"/>
        <v>31.790000000000003</v>
      </c>
      <c r="M7" s="163">
        <v>375</v>
      </c>
      <c r="N7" s="163">
        <f t="shared" si="8"/>
        <v>17.421917808219177</v>
      </c>
      <c r="O7" s="162">
        <f t="shared" si="11"/>
        <v>90.364919999999998</v>
      </c>
      <c r="P7" s="162">
        <f t="shared" si="12"/>
        <v>32.450000000000003</v>
      </c>
      <c r="Q7" s="163">
        <v>750</v>
      </c>
      <c r="R7" s="163">
        <f t="shared" si="0"/>
        <v>18.424657534246574</v>
      </c>
      <c r="S7" s="162">
        <f t="shared" si="13"/>
        <v>92.081853479999992</v>
      </c>
      <c r="T7" s="162">
        <f t="shared" si="14"/>
        <v>33.163900000000005</v>
      </c>
      <c r="U7" s="163">
        <v>1125</v>
      </c>
      <c r="V7" s="163">
        <f t="shared" si="1"/>
        <v>19.424657534246574</v>
      </c>
      <c r="W7" s="162">
        <f t="shared" si="15"/>
        <v>93.831408696119993</v>
      </c>
      <c r="X7" s="162">
        <f t="shared" si="16"/>
        <v>33.893505800000007</v>
      </c>
      <c r="Y7" s="163">
        <v>1425</v>
      </c>
      <c r="Z7" s="164">
        <f t="shared" si="2"/>
        <v>20.424657534246574</v>
      </c>
      <c r="AA7" s="165">
        <f t="shared" si="17"/>
        <v>95.614205461346273</v>
      </c>
      <c r="AB7" s="165">
        <f t="shared" si="18"/>
        <v>34.639162927600005</v>
      </c>
      <c r="AC7" s="163">
        <f t="shared" si="19"/>
        <v>1452.075</v>
      </c>
      <c r="AD7" s="158" t="e">
        <f t="shared" si="3"/>
        <v>#REF!</v>
      </c>
      <c r="AE7" s="158" t="e">
        <f t="shared" si="4"/>
        <v>#REF!</v>
      </c>
      <c r="AF7" s="158" t="e">
        <f t="shared" si="5"/>
        <v>#REF!</v>
      </c>
      <c r="AG7" s="158" t="e">
        <f t="shared" si="6"/>
        <v>#REF!</v>
      </c>
      <c r="AH7" s="158" t="e">
        <f t="shared" si="7"/>
        <v>#REF!</v>
      </c>
      <c r="AI7" s="154" t="s">
        <v>228</v>
      </c>
    </row>
    <row r="8" spans="1:35" ht="30" customHeight="1">
      <c r="A8" s="154">
        <v>6</v>
      </c>
      <c r="B8" s="154" t="s">
        <v>223</v>
      </c>
      <c r="C8" s="155">
        <v>38749</v>
      </c>
      <c r="D8" s="156" t="s">
        <v>227</v>
      </c>
      <c r="E8" s="154" t="s">
        <v>225</v>
      </c>
      <c r="F8" s="154">
        <v>100</v>
      </c>
      <c r="G8" s="157" t="s">
        <v>226</v>
      </c>
      <c r="H8" s="158" t="e">
        <f>+#REF!</f>
        <v>#REF!</v>
      </c>
      <c r="I8" s="158">
        <v>27374.19</v>
      </c>
      <c r="J8" s="158" t="e">
        <f t="shared" si="9"/>
        <v>#REF!</v>
      </c>
      <c r="K8" s="162">
        <f>7*12</f>
        <v>84</v>
      </c>
      <c r="L8" s="162">
        <f t="shared" si="10"/>
        <v>31.790000000000003</v>
      </c>
      <c r="M8" s="163">
        <v>375</v>
      </c>
      <c r="N8" s="163">
        <f t="shared" si="8"/>
        <v>17.923287671232877</v>
      </c>
      <c r="O8" s="162">
        <f t="shared" si="11"/>
        <v>85.596000000000004</v>
      </c>
      <c r="P8" s="162">
        <f t="shared" si="12"/>
        <v>32.450000000000003</v>
      </c>
      <c r="Q8" s="163">
        <v>750</v>
      </c>
      <c r="R8" s="163">
        <f t="shared" si="0"/>
        <v>18.926027397260274</v>
      </c>
      <c r="S8" s="162">
        <f t="shared" si="13"/>
        <v>87.222324</v>
      </c>
      <c r="T8" s="162">
        <f t="shared" si="14"/>
        <v>33.163900000000005</v>
      </c>
      <c r="U8" s="163">
        <v>1125</v>
      </c>
      <c r="V8" s="163">
        <f t="shared" si="1"/>
        <v>19.926027397260274</v>
      </c>
      <c r="W8" s="162">
        <f t="shared" si="15"/>
        <v>88.879548155999998</v>
      </c>
      <c r="X8" s="162">
        <f t="shared" si="16"/>
        <v>33.893505800000007</v>
      </c>
      <c r="Y8" s="163">
        <v>1425</v>
      </c>
      <c r="Z8" s="164">
        <f t="shared" si="2"/>
        <v>20.926027397260274</v>
      </c>
      <c r="AA8" s="165">
        <f t="shared" si="17"/>
        <v>90.568259570964003</v>
      </c>
      <c r="AB8" s="165">
        <f t="shared" si="18"/>
        <v>34.639162927600005</v>
      </c>
      <c r="AC8" s="163">
        <f t="shared" si="19"/>
        <v>1452.075</v>
      </c>
      <c r="AD8" s="158" t="e">
        <f t="shared" si="3"/>
        <v>#REF!</v>
      </c>
      <c r="AE8" s="158" t="e">
        <f t="shared" si="4"/>
        <v>#REF!</v>
      </c>
      <c r="AF8" s="158" t="e">
        <f t="shared" si="5"/>
        <v>#REF!</v>
      </c>
      <c r="AG8" s="158" t="e">
        <f t="shared" si="6"/>
        <v>#REF!</v>
      </c>
      <c r="AH8" s="158" t="e">
        <f t="shared" si="7"/>
        <v>#REF!</v>
      </c>
      <c r="AI8" s="166"/>
    </row>
    <row r="9" spans="1:35" ht="30" customHeight="1">
      <c r="A9" s="154">
        <v>7</v>
      </c>
      <c r="B9" s="154" t="s">
        <v>223</v>
      </c>
      <c r="C9" s="155">
        <v>38749</v>
      </c>
      <c r="D9" s="156" t="s">
        <v>227</v>
      </c>
      <c r="E9" s="154" t="s">
        <v>225</v>
      </c>
      <c r="F9" s="154">
        <v>100</v>
      </c>
      <c r="G9" s="157" t="s">
        <v>226</v>
      </c>
      <c r="H9" s="158" t="e">
        <f>+#REF!</f>
        <v>#REF!</v>
      </c>
      <c r="I9" s="158">
        <v>35588.75</v>
      </c>
      <c r="J9" s="158" t="e">
        <f t="shared" si="9"/>
        <v>#REF!</v>
      </c>
      <c r="K9" s="162">
        <f>5.82*12</f>
        <v>69.84</v>
      </c>
      <c r="L9" s="162">
        <f t="shared" si="10"/>
        <v>31.790000000000003</v>
      </c>
      <c r="M9" s="163">
        <v>375</v>
      </c>
      <c r="N9" s="163">
        <f t="shared" si="8"/>
        <v>17.923287671232877</v>
      </c>
      <c r="O9" s="162">
        <f t="shared" si="11"/>
        <v>71.166960000000003</v>
      </c>
      <c r="P9" s="162">
        <f t="shared" si="12"/>
        <v>32.450000000000003</v>
      </c>
      <c r="Q9" s="163">
        <v>750</v>
      </c>
      <c r="R9" s="163">
        <f t="shared" si="0"/>
        <v>18.926027397260274</v>
      </c>
      <c r="S9" s="162">
        <f t="shared" si="13"/>
        <v>72.519132240000005</v>
      </c>
      <c r="T9" s="162">
        <f t="shared" si="14"/>
        <v>33.163900000000005</v>
      </c>
      <c r="U9" s="163">
        <v>1125</v>
      </c>
      <c r="V9" s="163">
        <f t="shared" si="1"/>
        <v>19.926027397260274</v>
      </c>
      <c r="W9" s="162">
        <f t="shared" si="15"/>
        <v>73.896995752560002</v>
      </c>
      <c r="X9" s="162">
        <f t="shared" si="16"/>
        <v>33.893505800000007</v>
      </c>
      <c r="Y9" s="163">
        <v>1425</v>
      </c>
      <c r="Z9" s="164">
        <f t="shared" si="2"/>
        <v>20.926027397260274</v>
      </c>
      <c r="AA9" s="165">
        <f t="shared" si="17"/>
        <v>75.301038671858649</v>
      </c>
      <c r="AB9" s="165">
        <f t="shared" si="18"/>
        <v>34.639162927600005</v>
      </c>
      <c r="AC9" s="163">
        <f t="shared" si="19"/>
        <v>1452.075</v>
      </c>
      <c r="AD9" s="158" t="e">
        <f t="shared" si="3"/>
        <v>#REF!</v>
      </c>
      <c r="AE9" s="158" t="e">
        <f t="shared" si="4"/>
        <v>#REF!</v>
      </c>
      <c r="AF9" s="158" t="e">
        <f t="shared" si="5"/>
        <v>#REF!</v>
      </c>
      <c r="AG9" s="158" t="e">
        <f t="shared" si="6"/>
        <v>#REF!</v>
      </c>
      <c r="AH9" s="158" t="e">
        <f t="shared" si="7"/>
        <v>#REF!</v>
      </c>
      <c r="AI9" s="166"/>
    </row>
    <row r="10" spans="1:35" ht="30" customHeight="1">
      <c r="A10" s="154">
        <v>8</v>
      </c>
      <c r="B10" s="154" t="s">
        <v>223</v>
      </c>
      <c r="C10" s="155">
        <v>38789</v>
      </c>
      <c r="D10" s="156" t="s">
        <v>227</v>
      </c>
      <c r="E10" s="154" t="s">
        <v>225</v>
      </c>
      <c r="F10" s="154">
        <v>100</v>
      </c>
      <c r="G10" s="157" t="s">
        <v>226</v>
      </c>
      <c r="H10" s="158" t="e">
        <f>+#REF!</f>
        <v>#REF!</v>
      </c>
      <c r="I10" s="158">
        <v>29387.1</v>
      </c>
      <c r="J10" s="158" t="e">
        <f t="shared" si="9"/>
        <v>#REF!</v>
      </c>
      <c r="K10" s="162">
        <f>5.82*12</f>
        <v>69.84</v>
      </c>
      <c r="L10" s="162">
        <f t="shared" si="10"/>
        <v>31.790000000000003</v>
      </c>
      <c r="M10" s="163">
        <v>375</v>
      </c>
      <c r="N10" s="163">
        <f t="shared" si="8"/>
        <v>17.813698630136987</v>
      </c>
      <c r="O10" s="162">
        <f t="shared" si="11"/>
        <v>71.166960000000003</v>
      </c>
      <c r="P10" s="162">
        <f t="shared" si="12"/>
        <v>32.450000000000003</v>
      </c>
      <c r="Q10" s="163">
        <v>750</v>
      </c>
      <c r="R10" s="163">
        <f t="shared" si="0"/>
        <v>18.816438356164383</v>
      </c>
      <c r="S10" s="162">
        <f t="shared" si="13"/>
        <v>72.519132240000005</v>
      </c>
      <c r="T10" s="162">
        <f t="shared" si="14"/>
        <v>33.163900000000005</v>
      </c>
      <c r="U10" s="163">
        <v>1125</v>
      </c>
      <c r="V10" s="163">
        <f t="shared" si="1"/>
        <v>19.816438356164383</v>
      </c>
      <c r="W10" s="162">
        <f t="shared" si="15"/>
        <v>73.896995752560002</v>
      </c>
      <c r="X10" s="162">
        <f t="shared" si="16"/>
        <v>33.893505800000007</v>
      </c>
      <c r="Y10" s="163">
        <v>1425</v>
      </c>
      <c r="Z10" s="164">
        <f t="shared" si="2"/>
        <v>20.816438356164383</v>
      </c>
      <c r="AA10" s="165">
        <f t="shared" si="17"/>
        <v>75.301038671858649</v>
      </c>
      <c r="AB10" s="165">
        <f t="shared" si="18"/>
        <v>34.639162927600005</v>
      </c>
      <c r="AC10" s="163">
        <f t="shared" si="19"/>
        <v>1452.075</v>
      </c>
      <c r="AD10" s="158" t="e">
        <f t="shared" si="3"/>
        <v>#REF!</v>
      </c>
      <c r="AE10" s="158" t="e">
        <f t="shared" si="4"/>
        <v>#REF!</v>
      </c>
      <c r="AF10" s="158" t="e">
        <f t="shared" si="5"/>
        <v>#REF!</v>
      </c>
      <c r="AG10" s="158" t="e">
        <f t="shared" si="6"/>
        <v>#REF!</v>
      </c>
      <c r="AH10" s="158" t="e">
        <f t="shared" si="7"/>
        <v>#REF!</v>
      </c>
      <c r="AI10" s="166"/>
    </row>
    <row r="11" spans="1:35" ht="30" customHeight="1">
      <c r="A11" s="154">
        <v>9</v>
      </c>
      <c r="B11" s="154" t="s">
        <v>223</v>
      </c>
      <c r="C11" s="155">
        <v>39038</v>
      </c>
      <c r="D11" s="156" t="s">
        <v>227</v>
      </c>
      <c r="E11" s="154" t="s">
        <v>225</v>
      </c>
      <c r="F11" s="154">
        <v>189</v>
      </c>
      <c r="G11" s="157" t="s">
        <v>226</v>
      </c>
      <c r="H11" s="158" t="e">
        <f>+#REF!</f>
        <v>#REF!</v>
      </c>
      <c r="I11" s="158">
        <v>27486.13</v>
      </c>
      <c r="J11" s="158" t="e">
        <f t="shared" si="9"/>
        <v>#REF!</v>
      </c>
      <c r="K11" s="162">
        <f>5.82*12</f>
        <v>69.84</v>
      </c>
      <c r="L11" s="162">
        <f t="shared" si="10"/>
        <v>31.790000000000003</v>
      </c>
      <c r="M11" s="163">
        <v>375</v>
      </c>
      <c r="N11" s="163">
        <f t="shared" si="8"/>
        <v>17.13150684931507</v>
      </c>
      <c r="O11" s="162">
        <f t="shared" si="11"/>
        <v>71.166960000000003</v>
      </c>
      <c r="P11" s="162">
        <f t="shared" si="12"/>
        <v>32.450000000000003</v>
      </c>
      <c r="Q11" s="163">
        <v>750</v>
      </c>
      <c r="R11" s="163">
        <f t="shared" si="0"/>
        <v>18.134246575342466</v>
      </c>
      <c r="S11" s="162">
        <f t="shared" si="13"/>
        <v>72.519132240000005</v>
      </c>
      <c r="T11" s="162">
        <f t="shared" si="14"/>
        <v>33.163900000000005</v>
      </c>
      <c r="U11" s="163">
        <v>1125</v>
      </c>
      <c r="V11" s="163">
        <f t="shared" si="1"/>
        <v>19.134246575342466</v>
      </c>
      <c r="W11" s="162">
        <f t="shared" si="15"/>
        <v>73.896995752560002</v>
      </c>
      <c r="X11" s="162">
        <f t="shared" si="16"/>
        <v>33.893505800000007</v>
      </c>
      <c r="Y11" s="163">
        <v>1425</v>
      </c>
      <c r="Z11" s="164">
        <f t="shared" si="2"/>
        <v>20.134246575342466</v>
      </c>
      <c r="AA11" s="165">
        <f t="shared" si="17"/>
        <v>75.301038671858649</v>
      </c>
      <c r="AB11" s="165">
        <f t="shared" si="18"/>
        <v>34.639162927600005</v>
      </c>
      <c r="AC11" s="163">
        <f t="shared" si="19"/>
        <v>1452.075</v>
      </c>
      <c r="AD11" s="158" t="e">
        <f t="shared" si="3"/>
        <v>#REF!</v>
      </c>
      <c r="AE11" s="158" t="e">
        <f t="shared" si="4"/>
        <v>#REF!</v>
      </c>
      <c r="AF11" s="158" t="e">
        <f t="shared" si="5"/>
        <v>#REF!</v>
      </c>
      <c r="AG11" s="158" t="e">
        <f t="shared" si="6"/>
        <v>#REF!</v>
      </c>
      <c r="AH11" s="158" t="e">
        <f t="shared" si="7"/>
        <v>#REF!</v>
      </c>
      <c r="AI11" s="166"/>
    </row>
    <row r="12" spans="1:35" ht="30" customHeight="1">
      <c r="A12" s="154">
        <v>10</v>
      </c>
      <c r="B12" s="154" t="s">
        <v>223</v>
      </c>
      <c r="C12" s="155">
        <v>38932</v>
      </c>
      <c r="D12" s="156" t="s">
        <v>227</v>
      </c>
      <c r="E12" s="154" t="s">
        <v>225</v>
      </c>
      <c r="F12" s="154">
        <v>100</v>
      </c>
      <c r="G12" s="157" t="s">
        <v>226</v>
      </c>
      <c r="H12" s="158" t="e">
        <f>+#REF!</f>
        <v>#REF!</v>
      </c>
      <c r="I12" s="158">
        <v>28726.28</v>
      </c>
      <c r="J12" s="158" t="e">
        <f t="shared" si="9"/>
        <v>#REF!</v>
      </c>
      <c r="K12" s="162">
        <f>5.82*12</f>
        <v>69.84</v>
      </c>
      <c r="L12" s="162">
        <f t="shared" si="10"/>
        <v>31.790000000000003</v>
      </c>
      <c r="M12" s="163">
        <v>375</v>
      </c>
      <c r="N12" s="163">
        <f t="shared" si="8"/>
        <v>17.421917808219177</v>
      </c>
      <c r="O12" s="162">
        <f t="shared" si="11"/>
        <v>71.166960000000003</v>
      </c>
      <c r="P12" s="162">
        <f t="shared" si="12"/>
        <v>32.450000000000003</v>
      </c>
      <c r="Q12" s="163">
        <v>750</v>
      </c>
      <c r="R12" s="163">
        <f t="shared" si="0"/>
        <v>18.424657534246574</v>
      </c>
      <c r="S12" s="162">
        <f t="shared" si="13"/>
        <v>72.519132240000005</v>
      </c>
      <c r="T12" s="162">
        <f t="shared" si="14"/>
        <v>33.163900000000005</v>
      </c>
      <c r="U12" s="163">
        <v>1125</v>
      </c>
      <c r="V12" s="163">
        <f t="shared" si="1"/>
        <v>19.424657534246574</v>
      </c>
      <c r="W12" s="162">
        <f t="shared" si="15"/>
        <v>73.896995752560002</v>
      </c>
      <c r="X12" s="162">
        <f t="shared" si="16"/>
        <v>33.893505800000007</v>
      </c>
      <c r="Y12" s="163">
        <v>1425</v>
      </c>
      <c r="Z12" s="164">
        <f t="shared" si="2"/>
        <v>20.424657534246574</v>
      </c>
      <c r="AA12" s="165">
        <f t="shared" si="17"/>
        <v>75.301038671858649</v>
      </c>
      <c r="AB12" s="165">
        <f t="shared" si="18"/>
        <v>34.639162927600005</v>
      </c>
      <c r="AC12" s="163">
        <f t="shared" si="19"/>
        <v>1452.075</v>
      </c>
      <c r="AD12" s="158" t="e">
        <f t="shared" si="3"/>
        <v>#REF!</v>
      </c>
      <c r="AE12" s="158" t="e">
        <f t="shared" si="4"/>
        <v>#REF!</v>
      </c>
      <c r="AF12" s="158" t="e">
        <f t="shared" si="5"/>
        <v>#REF!</v>
      </c>
      <c r="AG12" s="158" t="e">
        <f t="shared" si="6"/>
        <v>#REF!</v>
      </c>
      <c r="AH12" s="158" t="e">
        <f t="shared" si="7"/>
        <v>#REF!</v>
      </c>
      <c r="AI12" s="166"/>
    </row>
    <row r="13" spans="1:35" ht="30" customHeight="1">
      <c r="A13" s="154">
        <v>11</v>
      </c>
      <c r="B13" s="154" t="s">
        <v>223</v>
      </c>
      <c r="C13" s="155">
        <v>39650</v>
      </c>
      <c r="D13" s="156" t="s">
        <v>227</v>
      </c>
      <c r="E13" s="154" t="s">
        <v>225</v>
      </c>
      <c r="F13" s="154">
        <v>100</v>
      </c>
      <c r="G13" s="157" t="s">
        <v>226</v>
      </c>
      <c r="H13" s="158" t="e">
        <f>+#REF!</f>
        <v>#REF!</v>
      </c>
      <c r="I13" s="158">
        <v>27486.13</v>
      </c>
      <c r="J13" s="158" t="e">
        <f t="shared" si="9"/>
        <v>#REF!</v>
      </c>
      <c r="K13" s="162">
        <f>4.62*12</f>
        <v>55.44</v>
      </c>
      <c r="L13" s="162">
        <f t="shared" si="10"/>
        <v>31.790000000000003</v>
      </c>
      <c r="M13" s="163">
        <v>375</v>
      </c>
      <c r="N13" s="163">
        <f t="shared" si="8"/>
        <v>15.454794520547946</v>
      </c>
      <c r="O13" s="162">
        <f t="shared" si="11"/>
        <v>56.493359999999996</v>
      </c>
      <c r="P13" s="162">
        <f t="shared" si="12"/>
        <v>32.450000000000003</v>
      </c>
      <c r="Q13" s="163">
        <v>750</v>
      </c>
      <c r="R13" s="163">
        <f t="shared" si="0"/>
        <v>16.457534246575342</v>
      </c>
      <c r="S13" s="162">
        <f t="shared" si="13"/>
        <v>57.566733839999998</v>
      </c>
      <c r="T13" s="162">
        <f t="shared" si="14"/>
        <v>33.163900000000005</v>
      </c>
      <c r="U13" s="163">
        <v>1125</v>
      </c>
      <c r="V13" s="163">
        <f t="shared" si="1"/>
        <v>17.457534246575342</v>
      </c>
      <c r="W13" s="162">
        <f t="shared" si="15"/>
        <v>58.660501782959997</v>
      </c>
      <c r="X13" s="162">
        <f t="shared" si="16"/>
        <v>33.893505800000007</v>
      </c>
      <c r="Y13" s="163">
        <v>1425</v>
      </c>
      <c r="Z13" s="164">
        <f t="shared" si="2"/>
        <v>18.457534246575342</v>
      </c>
      <c r="AA13" s="165">
        <f t="shared" si="17"/>
        <v>59.77505131683624</v>
      </c>
      <c r="AB13" s="165">
        <f t="shared" si="18"/>
        <v>34.639162927600005</v>
      </c>
      <c r="AC13" s="163">
        <f t="shared" si="19"/>
        <v>1452.075</v>
      </c>
      <c r="AD13" s="158" t="e">
        <f t="shared" si="3"/>
        <v>#REF!</v>
      </c>
      <c r="AE13" s="158" t="e">
        <f t="shared" si="4"/>
        <v>#REF!</v>
      </c>
      <c r="AF13" s="158" t="e">
        <f t="shared" si="5"/>
        <v>#REF!</v>
      </c>
      <c r="AG13" s="158" t="e">
        <f t="shared" si="6"/>
        <v>#REF!</v>
      </c>
      <c r="AH13" s="158" t="e">
        <f t="shared" si="7"/>
        <v>#REF!</v>
      </c>
      <c r="AI13" s="166"/>
    </row>
    <row r="14" spans="1:35" ht="30" customHeight="1">
      <c r="A14" s="154">
        <v>12</v>
      </c>
      <c r="B14" s="154" t="s">
        <v>223</v>
      </c>
      <c r="C14" s="155">
        <v>38749</v>
      </c>
      <c r="D14" s="156" t="s">
        <v>227</v>
      </c>
      <c r="E14" s="154" t="s">
        <v>225</v>
      </c>
      <c r="F14" s="154">
        <v>189</v>
      </c>
      <c r="G14" s="157" t="s">
        <v>226</v>
      </c>
      <c r="H14" s="158" t="e">
        <f>+#REF!</f>
        <v>#REF!</v>
      </c>
      <c r="I14" s="158">
        <v>26519.52</v>
      </c>
      <c r="J14" s="158" t="e">
        <f t="shared" si="9"/>
        <v>#REF!</v>
      </c>
      <c r="K14" s="162">
        <f t="shared" ref="K14:K26" si="20">4.62*12</f>
        <v>55.44</v>
      </c>
      <c r="L14" s="162">
        <f t="shared" si="10"/>
        <v>31.790000000000003</v>
      </c>
      <c r="M14" s="163">
        <v>375</v>
      </c>
      <c r="N14" s="163">
        <f t="shared" si="8"/>
        <v>17.923287671232877</v>
      </c>
      <c r="O14" s="162">
        <f t="shared" si="11"/>
        <v>56.493359999999996</v>
      </c>
      <c r="P14" s="162">
        <f t="shared" si="12"/>
        <v>32.450000000000003</v>
      </c>
      <c r="Q14" s="163">
        <v>750</v>
      </c>
      <c r="R14" s="163">
        <f t="shared" si="0"/>
        <v>18.926027397260274</v>
      </c>
      <c r="S14" s="162">
        <f t="shared" si="13"/>
        <v>57.566733839999998</v>
      </c>
      <c r="T14" s="162">
        <f t="shared" si="14"/>
        <v>33.163900000000005</v>
      </c>
      <c r="U14" s="163">
        <v>1125</v>
      </c>
      <c r="V14" s="163">
        <f t="shared" si="1"/>
        <v>19.926027397260274</v>
      </c>
      <c r="W14" s="162">
        <f t="shared" si="15"/>
        <v>58.660501782959997</v>
      </c>
      <c r="X14" s="162">
        <f t="shared" si="16"/>
        <v>33.893505800000007</v>
      </c>
      <c r="Y14" s="163">
        <v>1425</v>
      </c>
      <c r="Z14" s="164">
        <f t="shared" si="2"/>
        <v>20.926027397260274</v>
      </c>
      <c r="AA14" s="165">
        <f t="shared" si="17"/>
        <v>59.77505131683624</v>
      </c>
      <c r="AB14" s="165">
        <f t="shared" si="18"/>
        <v>34.639162927600005</v>
      </c>
      <c r="AC14" s="163">
        <f t="shared" si="19"/>
        <v>1452.075</v>
      </c>
      <c r="AD14" s="158" t="e">
        <f t="shared" si="3"/>
        <v>#REF!</v>
      </c>
      <c r="AE14" s="158" t="e">
        <f t="shared" si="4"/>
        <v>#REF!</v>
      </c>
      <c r="AF14" s="158" t="e">
        <f t="shared" si="5"/>
        <v>#REF!</v>
      </c>
      <c r="AG14" s="158" t="e">
        <f t="shared" si="6"/>
        <v>#REF!</v>
      </c>
      <c r="AH14" s="158" t="e">
        <f t="shared" si="7"/>
        <v>#REF!</v>
      </c>
      <c r="AI14" s="166"/>
    </row>
    <row r="15" spans="1:35" ht="30" customHeight="1">
      <c r="A15" s="154">
        <v>13</v>
      </c>
      <c r="B15" s="154" t="s">
        <v>223</v>
      </c>
      <c r="C15" s="155">
        <v>38749</v>
      </c>
      <c r="D15" s="156" t="s">
        <v>227</v>
      </c>
      <c r="E15" s="154" t="s">
        <v>225</v>
      </c>
      <c r="F15" s="154">
        <v>100</v>
      </c>
      <c r="G15" s="157" t="s">
        <v>226</v>
      </c>
      <c r="H15" s="158" t="e">
        <f>+#REF!</f>
        <v>#REF!</v>
      </c>
      <c r="I15" s="158">
        <v>29393.33</v>
      </c>
      <c r="J15" s="158" t="e">
        <f t="shared" si="9"/>
        <v>#REF!</v>
      </c>
      <c r="K15" s="162">
        <f t="shared" si="20"/>
        <v>55.44</v>
      </c>
      <c r="L15" s="162">
        <f t="shared" si="10"/>
        <v>31.790000000000003</v>
      </c>
      <c r="M15" s="163">
        <v>375</v>
      </c>
      <c r="N15" s="163">
        <f t="shared" si="8"/>
        <v>17.923287671232877</v>
      </c>
      <c r="O15" s="162">
        <f t="shared" si="11"/>
        <v>56.493359999999996</v>
      </c>
      <c r="P15" s="162">
        <f t="shared" si="12"/>
        <v>32.450000000000003</v>
      </c>
      <c r="Q15" s="163">
        <v>750</v>
      </c>
      <c r="R15" s="163">
        <f t="shared" si="0"/>
        <v>18.926027397260274</v>
      </c>
      <c r="S15" s="162">
        <f t="shared" si="13"/>
        <v>57.566733839999998</v>
      </c>
      <c r="T15" s="162">
        <f t="shared" si="14"/>
        <v>33.163900000000005</v>
      </c>
      <c r="U15" s="163">
        <v>1125</v>
      </c>
      <c r="V15" s="163">
        <f t="shared" si="1"/>
        <v>19.926027397260274</v>
      </c>
      <c r="W15" s="162">
        <f t="shared" si="15"/>
        <v>58.660501782959997</v>
      </c>
      <c r="X15" s="162">
        <f t="shared" si="16"/>
        <v>33.893505800000007</v>
      </c>
      <c r="Y15" s="163">
        <v>1425</v>
      </c>
      <c r="Z15" s="164">
        <f t="shared" si="2"/>
        <v>20.926027397260274</v>
      </c>
      <c r="AA15" s="165">
        <f t="shared" si="17"/>
        <v>59.77505131683624</v>
      </c>
      <c r="AB15" s="165">
        <f t="shared" si="18"/>
        <v>34.639162927600005</v>
      </c>
      <c r="AC15" s="163">
        <f t="shared" si="19"/>
        <v>1452.075</v>
      </c>
      <c r="AD15" s="158" t="e">
        <f t="shared" si="3"/>
        <v>#REF!</v>
      </c>
      <c r="AE15" s="158" t="e">
        <f t="shared" si="4"/>
        <v>#REF!</v>
      </c>
      <c r="AF15" s="158" t="e">
        <f t="shared" si="5"/>
        <v>#REF!</v>
      </c>
      <c r="AG15" s="158" t="e">
        <f t="shared" si="6"/>
        <v>#REF!</v>
      </c>
      <c r="AH15" s="158" t="e">
        <f t="shared" si="7"/>
        <v>#REF!</v>
      </c>
      <c r="AI15" s="166"/>
    </row>
    <row r="16" spans="1:35" ht="30" customHeight="1">
      <c r="A16" s="154">
        <v>14</v>
      </c>
      <c r="B16" s="154" t="s">
        <v>223</v>
      </c>
      <c r="C16" s="155">
        <v>40196</v>
      </c>
      <c r="D16" s="156" t="s">
        <v>227</v>
      </c>
      <c r="E16" s="154" t="s">
        <v>225</v>
      </c>
      <c r="F16" s="154">
        <v>100</v>
      </c>
      <c r="G16" s="157" t="s">
        <v>226</v>
      </c>
      <c r="H16" s="158" t="e">
        <f>+#REF!</f>
        <v>#REF!</v>
      </c>
      <c r="I16" s="158">
        <v>26519.52</v>
      </c>
      <c r="J16" s="158" t="e">
        <f t="shared" si="9"/>
        <v>#REF!</v>
      </c>
      <c r="K16" s="162">
        <f t="shared" si="20"/>
        <v>55.44</v>
      </c>
      <c r="L16" s="162">
        <f t="shared" si="10"/>
        <v>31.790000000000003</v>
      </c>
      <c r="M16" s="163">
        <v>375</v>
      </c>
      <c r="N16" s="163">
        <f t="shared" si="8"/>
        <v>13.95890410958904</v>
      </c>
      <c r="O16" s="162">
        <f t="shared" si="11"/>
        <v>56.493359999999996</v>
      </c>
      <c r="P16" s="162">
        <f t="shared" si="12"/>
        <v>32.450000000000003</v>
      </c>
      <c r="Q16" s="163">
        <v>750</v>
      </c>
      <c r="R16" s="163">
        <f t="shared" si="0"/>
        <v>14.961643835616439</v>
      </c>
      <c r="S16" s="162">
        <f t="shared" si="13"/>
        <v>57.566733839999998</v>
      </c>
      <c r="T16" s="162">
        <f t="shared" si="14"/>
        <v>33.163900000000005</v>
      </c>
      <c r="U16" s="163">
        <v>1125</v>
      </c>
      <c r="V16" s="163">
        <f t="shared" si="1"/>
        <v>15.961643835616439</v>
      </c>
      <c r="W16" s="162">
        <f t="shared" si="15"/>
        <v>58.660501782959997</v>
      </c>
      <c r="X16" s="162">
        <f t="shared" si="16"/>
        <v>33.893505800000007</v>
      </c>
      <c r="Y16" s="163">
        <v>1425</v>
      </c>
      <c r="Z16" s="164">
        <f t="shared" si="2"/>
        <v>16.961643835616439</v>
      </c>
      <c r="AA16" s="165">
        <f t="shared" si="17"/>
        <v>59.77505131683624</v>
      </c>
      <c r="AB16" s="165">
        <f t="shared" si="18"/>
        <v>34.639162927600005</v>
      </c>
      <c r="AC16" s="163">
        <f t="shared" si="19"/>
        <v>1452.075</v>
      </c>
      <c r="AD16" s="158" t="e">
        <f t="shared" si="3"/>
        <v>#REF!</v>
      </c>
      <c r="AE16" s="158" t="e">
        <f t="shared" si="4"/>
        <v>#REF!</v>
      </c>
      <c r="AF16" s="158" t="e">
        <f t="shared" si="5"/>
        <v>#REF!</v>
      </c>
      <c r="AG16" s="158" t="e">
        <f t="shared" si="6"/>
        <v>#REF!</v>
      </c>
      <c r="AH16" s="158" t="e">
        <f t="shared" si="7"/>
        <v>#REF!</v>
      </c>
      <c r="AI16" s="166"/>
    </row>
    <row r="17" spans="1:35" ht="30" customHeight="1">
      <c r="A17" s="154">
        <v>15</v>
      </c>
      <c r="B17" s="154" t="s">
        <v>223</v>
      </c>
      <c r="C17" s="155">
        <v>39539</v>
      </c>
      <c r="D17" s="156" t="s">
        <v>227</v>
      </c>
      <c r="E17" s="154" t="s">
        <v>225</v>
      </c>
      <c r="F17" s="154">
        <v>189</v>
      </c>
      <c r="G17" s="157" t="s">
        <v>226</v>
      </c>
      <c r="H17" s="158" t="e">
        <f>+#REF!</f>
        <v>#REF!</v>
      </c>
      <c r="I17" s="158">
        <v>28726.28</v>
      </c>
      <c r="J17" s="158" t="e">
        <f t="shared" si="9"/>
        <v>#REF!</v>
      </c>
      <c r="K17" s="162">
        <f t="shared" si="20"/>
        <v>55.44</v>
      </c>
      <c r="L17" s="162">
        <f t="shared" si="10"/>
        <v>31.790000000000003</v>
      </c>
      <c r="M17" s="163">
        <v>375</v>
      </c>
      <c r="N17" s="163">
        <f t="shared" si="8"/>
        <v>15.758904109589041</v>
      </c>
      <c r="O17" s="162">
        <f t="shared" si="11"/>
        <v>56.493359999999996</v>
      </c>
      <c r="P17" s="162">
        <f t="shared" si="12"/>
        <v>32.450000000000003</v>
      </c>
      <c r="Q17" s="163">
        <v>750</v>
      </c>
      <c r="R17" s="163">
        <f t="shared" si="0"/>
        <v>16.761643835616439</v>
      </c>
      <c r="S17" s="162">
        <f t="shared" si="13"/>
        <v>57.566733839999998</v>
      </c>
      <c r="T17" s="162">
        <f t="shared" si="14"/>
        <v>33.163900000000005</v>
      </c>
      <c r="U17" s="163">
        <v>1125</v>
      </c>
      <c r="V17" s="163">
        <f t="shared" si="1"/>
        <v>17.761643835616439</v>
      </c>
      <c r="W17" s="162">
        <f t="shared" si="15"/>
        <v>58.660501782959997</v>
      </c>
      <c r="X17" s="162">
        <f t="shared" si="16"/>
        <v>33.893505800000007</v>
      </c>
      <c r="Y17" s="163">
        <v>1425</v>
      </c>
      <c r="Z17" s="164">
        <f t="shared" si="2"/>
        <v>18.761643835616439</v>
      </c>
      <c r="AA17" s="165">
        <f t="shared" si="17"/>
        <v>59.77505131683624</v>
      </c>
      <c r="AB17" s="165">
        <f t="shared" si="18"/>
        <v>34.639162927600005</v>
      </c>
      <c r="AC17" s="163">
        <f t="shared" si="19"/>
        <v>1452.075</v>
      </c>
      <c r="AD17" s="158" t="e">
        <f t="shared" si="3"/>
        <v>#REF!</v>
      </c>
      <c r="AE17" s="158" t="e">
        <f t="shared" si="4"/>
        <v>#REF!</v>
      </c>
      <c r="AF17" s="158" t="e">
        <f t="shared" si="5"/>
        <v>#REF!</v>
      </c>
      <c r="AG17" s="158" t="e">
        <f t="shared" si="6"/>
        <v>#REF!</v>
      </c>
      <c r="AH17" s="158" t="e">
        <f t="shared" si="7"/>
        <v>#REF!</v>
      </c>
      <c r="AI17" s="166"/>
    </row>
    <row r="18" spans="1:35" ht="30" customHeight="1">
      <c r="A18" s="154">
        <v>16</v>
      </c>
      <c r="B18" s="154" t="s">
        <v>223</v>
      </c>
      <c r="C18" s="155">
        <v>38749</v>
      </c>
      <c r="D18" s="156" t="s">
        <v>227</v>
      </c>
      <c r="E18" s="154" t="s">
        <v>225</v>
      </c>
      <c r="F18" s="154">
        <v>189</v>
      </c>
      <c r="G18" s="157" t="s">
        <v>226</v>
      </c>
      <c r="H18" s="158" t="e">
        <f>+#REF!</f>
        <v>#REF!</v>
      </c>
      <c r="I18" s="158">
        <v>27486.13</v>
      </c>
      <c r="J18" s="158" t="e">
        <f t="shared" si="9"/>
        <v>#REF!</v>
      </c>
      <c r="K18" s="162">
        <f t="shared" si="20"/>
        <v>55.44</v>
      </c>
      <c r="L18" s="162">
        <f t="shared" si="10"/>
        <v>31.790000000000003</v>
      </c>
      <c r="M18" s="163">
        <v>375</v>
      </c>
      <c r="N18" s="163">
        <f t="shared" si="8"/>
        <v>17.923287671232877</v>
      </c>
      <c r="O18" s="162">
        <f t="shared" si="11"/>
        <v>56.493359999999996</v>
      </c>
      <c r="P18" s="162">
        <f t="shared" si="12"/>
        <v>32.450000000000003</v>
      </c>
      <c r="Q18" s="163">
        <v>750</v>
      </c>
      <c r="R18" s="163">
        <f t="shared" si="0"/>
        <v>18.926027397260274</v>
      </c>
      <c r="S18" s="162">
        <f t="shared" si="13"/>
        <v>57.566733839999998</v>
      </c>
      <c r="T18" s="162">
        <f t="shared" si="14"/>
        <v>33.163900000000005</v>
      </c>
      <c r="U18" s="163">
        <v>1125</v>
      </c>
      <c r="V18" s="163">
        <f t="shared" si="1"/>
        <v>19.926027397260274</v>
      </c>
      <c r="W18" s="162">
        <f t="shared" si="15"/>
        <v>58.660501782959997</v>
      </c>
      <c r="X18" s="162">
        <f t="shared" si="16"/>
        <v>33.893505800000007</v>
      </c>
      <c r="Y18" s="163">
        <v>1425</v>
      </c>
      <c r="Z18" s="164">
        <f t="shared" si="2"/>
        <v>20.926027397260274</v>
      </c>
      <c r="AA18" s="165">
        <f t="shared" si="17"/>
        <v>59.77505131683624</v>
      </c>
      <c r="AB18" s="165">
        <f t="shared" si="18"/>
        <v>34.639162927600005</v>
      </c>
      <c r="AC18" s="163">
        <f t="shared" si="19"/>
        <v>1452.075</v>
      </c>
      <c r="AD18" s="158" t="e">
        <f t="shared" si="3"/>
        <v>#REF!</v>
      </c>
      <c r="AE18" s="158" t="e">
        <f t="shared" si="4"/>
        <v>#REF!</v>
      </c>
      <c r="AF18" s="158" t="e">
        <f t="shared" si="5"/>
        <v>#REF!</v>
      </c>
      <c r="AG18" s="158" t="e">
        <f t="shared" si="6"/>
        <v>#REF!</v>
      </c>
      <c r="AH18" s="158" t="e">
        <f t="shared" si="7"/>
        <v>#REF!</v>
      </c>
      <c r="AI18" s="166"/>
    </row>
    <row r="19" spans="1:35" ht="30" customHeight="1">
      <c r="A19" s="154">
        <v>17</v>
      </c>
      <c r="B19" s="154" t="s">
        <v>223</v>
      </c>
      <c r="C19" s="155">
        <v>38749</v>
      </c>
      <c r="D19" s="156" t="s">
        <v>227</v>
      </c>
      <c r="E19" s="154" t="s">
        <v>225</v>
      </c>
      <c r="F19" s="154">
        <v>189</v>
      </c>
      <c r="G19" s="157" t="s">
        <v>226</v>
      </c>
      <c r="H19" s="158" t="e">
        <f>+#REF!</f>
        <v>#REF!</v>
      </c>
      <c r="I19" s="158">
        <v>26519.52</v>
      </c>
      <c r="J19" s="158" t="e">
        <f t="shared" si="9"/>
        <v>#REF!</v>
      </c>
      <c r="K19" s="162">
        <f t="shared" si="20"/>
        <v>55.44</v>
      </c>
      <c r="L19" s="162">
        <f t="shared" si="10"/>
        <v>31.790000000000003</v>
      </c>
      <c r="M19" s="163">
        <v>375</v>
      </c>
      <c r="N19" s="163">
        <f t="shared" si="8"/>
        <v>17.923287671232877</v>
      </c>
      <c r="O19" s="162">
        <f t="shared" si="11"/>
        <v>56.493359999999996</v>
      </c>
      <c r="P19" s="162">
        <f t="shared" si="12"/>
        <v>32.450000000000003</v>
      </c>
      <c r="Q19" s="163">
        <v>750</v>
      </c>
      <c r="R19" s="163">
        <f t="shared" si="0"/>
        <v>18.926027397260274</v>
      </c>
      <c r="S19" s="162">
        <f t="shared" si="13"/>
        <v>57.566733839999998</v>
      </c>
      <c r="T19" s="162">
        <f t="shared" si="14"/>
        <v>33.163900000000005</v>
      </c>
      <c r="U19" s="163">
        <v>1125</v>
      </c>
      <c r="V19" s="163">
        <f t="shared" si="1"/>
        <v>19.926027397260274</v>
      </c>
      <c r="W19" s="162">
        <f t="shared" si="15"/>
        <v>58.660501782959997</v>
      </c>
      <c r="X19" s="162">
        <f t="shared" si="16"/>
        <v>33.893505800000007</v>
      </c>
      <c r="Y19" s="163">
        <v>1425</v>
      </c>
      <c r="Z19" s="164">
        <f t="shared" si="2"/>
        <v>20.926027397260274</v>
      </c>
      <c r="AA19" s="165">
        <f t="shared" si="17"/>
        <v>59.77505131683624</v>
      </c>
      <c r="AB19" s="165">
        <f t="shared" si="18"/>
        <v>34.639162927600005</v>
      </c>
      <c r="AC19" s="163">
        <f t="shared" si="19"/>
        <v>1452.075</v>
      </c>
      <c r="AD19" s="158" t="e">
        <f t="shared" si="3"/>
        <v>#REF!</v>
      </c>
      <c r="AE19" s="158" t="e">
        <f t="shared" si="4"/>
        <v>#REF!</v>
      </c>
      <c r="AF19" s="158" t="e">
        <f t="shared" si="5"/>
        <v>#REF!</v>
      </c>
      <c r="AG19" s="158" t="e">
        <f t="shared" si="6"/>
        <v>#REF!</v>
      </c>
      <c r="AH19" s="158" t="e">
        <f t="shared" si="7"/>
        <v>#REF!</v>
      </c>
      <c r="AI19" s="166"/>
    </row>
    <row r="20" spans="1:35" ht="30" customHeight="1">
      <c r="A20" s="154">
        <v>18</v>
      </c>
      <c r="B20" s="154" t="s">
        <v>223</v>
      </c>
      <c r="C20" s="155">
        <v>38749</v>
      </c>
      <c r="D20" s="156" t="s">
        <v>227</v>
      </c>
      <c r="E20" s="154" t="s">
        <v>225</v>
      </c>
      <c r="F20" s="154">
        <v>100</v>
      </c>
      <c r="G20" s="157" t="s">
        <v>226</v>
      </c>
      <c r="H20" s="158" t="e">
        <f>+#REF!</f>
        <v>#REF!</v>
      </c>
      <c r="I20" s="158">
        <v>27486.13</v>
      </c>
      <c r="J20" s="158" t="e">
        <f t="shared" si="9"/>
        <v>#REF!</v>
      </c>
      <c r="K20" s="162">
        <f t="shared" si="20"/>
        <v>55.44</v>
      </c>
      <c r="L20" s="162">
        <f t="shared" si="10"/>
        <v>31.790000000000003</v>
      </c>
      <c r="M20" s="163">
        <v>375</v>
      </c>
      <c r="N20" s="163">
        <f t="shared" si="8"/>
        <v>17.923287671232877</v>
      </c>
      <c r="O20" s="162">
        <f t="shared" si="11"/>
        <v>56.493359999999996</v>
      </c>
      <c r="P20" s="162">
        <f t="shared" si="12"/>
        <v>32.450000000000003</v>
      </c>
      <c r="Q20" s="163">
        <v>750</v>
      </c>
      <c r="R20" s="163">
        <f t="shared" si="0"/>
        <v>18.926027397260274</v>
      </c>
      <c r="S20" s="162">
        <f t="shared" si="13"/>
        <v>57.566733839999998</v>
      </c>
      <c r="T20" s="162">
        <f t="shared" si="14"/>
        <v>33.163900000000005</v>
      </c>
      <c r="U20" s="163">
        <v>1125</v>
      </c>
      <c r="V20" s="163">
        <f t="shared" si="1"/>
        <v>19.926027397260274</v>
      </c>
      <c r="W20" s="162">
        <f t="shared" si="15"/>
        <v>58.660501782959997</v>
      </c>
      <c r="X20" s="162">
        <f t="shared" si="16"/>
        <v>33.893505800000007</v>
      </c>
      <c r="Y20" s="163">
        <v>1425</v>
      </c>
      <c r="Z20" s="164">
        <f t="shared" si="2"/>
        <v>20.926027397260274</v>
      </c>
      <c r="AA20" s="165">
        <f t="shared" si="17"/>
        <v>59.77505131683624</v>
      </c>
      <c r="AB20" s="165">
        <f t="shared" si="18"/>
        <v>34.639162927600005</v>
      </c>
      <c r="AC20" s="163">
        <f t="shared" si="19"/>
        <v>1452.075</v>
      </c>
      <c r="AD20" s="158" t="e">
        <f t="shared" si="3"/>
        <v>#REF!</v>
      </c>
      <c r="AE20" s="158" t="e">
        <f t="shared" si="4"/>
        <v>#REF!</v>
      </c>
      <c r="AF20" s="158" t="e">
        <f t="shared" si="5"/>
        <v>#REF!</v>
      </c>
      <c r="AG20" s="158" t="e">
        <f t="shared" si="6"/>
        <v>#REF!</v>
      </c>
      <c r="AH20" s="158" t="e">
        <f t="shared" si="7"/>
        <v>#REF!</v>
      </c>
      <c r="AI20" s="166"/>
    </row>
    <row r="21" spans="1:35" ht="30" customHeight="1">
      <c r="A21" s="154">
        <v>19</v>
      </c>
      <c r="B21" s="154" t="s">
        <v>223</v>
      </c>
      <c r="C21" s="155">
        <v>38749</v>
      </c>
      <c r="D21" s="156" t="s">
        <v>227</v>
      </c>
      <c r="E21" s="154" t="s">
        <v>225</v>
      </c>
      <c r="F21" s="154">
        <v>100</v>
      </c>
      <c r="G21" s="157" t="s">
        <v>226</v>
      </c>
      <c r="H21" s="158" t="e">
        <f>+#REF!</f>
        <v>#REF!</v>
      </c>
      <c r="I21" s="158">
        <v>27711.81</v>
      </c>
      <c r="J21" s="158" t="e">
        <f t="shared" si="9"/>
        <v>#REF!</v>
      </c>
      <c r="K21" s="162">
        <f t="shared" si="20"/>
        <v>55.44</v>
      </c>
      <c r="L21" s="162">
        <f t="shared" si="10"/>
        <v>31.790000000000003</v>
      </c>
      <c r="M21" s="163">
        <v>375</v>
      </c>
      <c r="N21" s="163">
        <f t="shared" si="8"/>
        <v>17.923287671232877</v>
      </c>
      <c r="O21" s="162">
        <f t="shared" si="11"/>
        <v>56.493359999999996</v>
      </c>
      <c r="P21" s="162">
        <f t="shared" si="12"/>
        <v>32.450000000000003</v>
      </c>
      <c r="Q21" s="163">
        <v>750</v>
      </c>
      <c r="R21" s="163">
        <f t="shared" si="0"/>
        <v>18.926027397260274</v>
      </c>
      <c r="S21" s="162">
        <f t="shared" si="13"/>
        <v>57.566733839999998</v>
      </c>
      <c r="T21" s="162">
        <f t="shared" si="14"/>
        <v>33.163900000000005</v>
      </c>
      <c r="U21" s="163">
        <v>1125</v>
      </c>
      <c r="V21" s="163">
        <f t="shared" si="1"/>
        <v>19.926027397260274</v>
      </c>
      <c r="W21" s="162">
        <f t="shared" si="15"/>
        <v>58.660501782959997</v>
      </c>
      <c r="X21" s="162">
        <f t="shared" si="16"/>
        <v>33.893505800000007</v>
      </c>
      <c r="Y21" s="163">
        <v>1425</v>
      </c>
      <c r="Z21" s="164">
        <f t="shared" si="2"/>
        <v>20.926027397260274</v>
      </c>
      <c r="AA21" s="165">
        <f t="shared" si="17"/>
        <v>59.77505131683624</v>
      </c>
      <c r="AB21" s="165">
        <f t="shared" si="18"/>
        <v>34.639162927600005</v>
      </c>
      <c r="AC21" s="163">
        <f t="shared" si="19"/>
        <v>1452.075</v>
      </c>
      <c r="AD21" s="158" t="e">
        <f t="shared" si="3"/>
        <v>#REF!</v>
      </c>
      <c r="AE21" s="158" t="e">
        <f t="shared" si="4"/>
        <v>#REF!</v>
      </c>
      <c r="AF21" s="158" t="e">
        <f t="shared" si="5"/>
        <v>#REF!</v>
      </c>
      <c r="AG21" s="158" t="e">
        <f t="shared" si="6"/>
        <v>#REF!</v>
      </c>
      <c r="AH21" s="158" t="e">
        <f t="shared" si="7"/>
        <v>#REF!</v>
      </c>
      <c r="AI21" s="166"/>
    </row>
    <row r="22" spans="1:35" ht="30" customHeight="1">
      <c r="A22" s="154">
        <v>20</v>
      </c>
      <c r="B22" s="154" t="s">
        <v>223</v>
      </c>
      <c r="C22" s="155">
        <v>40157</v>
      </c>
      <c r="D22" s="154" t="s">
        <v>229</v>
      </c>
      <c r="E22" s="154" t="s">
        <v>225</v>
      </c>
      <c r="F22" s="154">
        <v>100</v>
      </c>
      <c r="G22" s="157" t="s">
        <v>226</v>
      </c>
      <c r="H22" s="158" t="e">
        <f>+#REF!</f>
        <v>#REF!</v>
      </c>
      <c r="I22" s="158">
        <v>25505.05</v>
      </c>
      <c r="J22" s="158" t="e">
        <f t="shared" si="9"/>
        <v>#REF!</v>
      </c>
      <c r="K22" s="162">
        <f t="shared" si="20"/>
        <v>55.44</v>
      </c>
      <c r="L22" s="162">
        <f t="shared" si="10"/>
        <v>31.790000000000003</v>
      </c>
      <c r="M22" s="163">
        <v>375</v>
      </c>
      <c r="N22" s="163">
        <f t="shared" si="8"/>
        <v>14.065753424657535</v>
      </c>
      <c r="O22" s="162">
        <f t="shared" si="11"/>
        <v>56.493359999999996</v>
      </c>
      <c r="P22" s="162">
        <f t="shared" si="12"/>
        <v>32.450000000000003</v>
      </c>
      <c r="Q22" s="163">
        <v>750</v>
      </c>
      <c r="R22" s="163">
        <f t="shared" si="0"/>
        <v>15.068493150684931</v>
      </c>
      <c r="S22" s="162">
        <f t="shared" si="13"/>
        <v>57.566733839999998</v>
      </c>
      <c r="T22" s="162">
        <f t="shared" si="14"/>
        <v>33.163900000000005</v>
      </c>
      <c r="U22" s="163">
        <v>1125</v>
      </c>
      <c r="V22" s="163">
        <f t="shared" si="1"/>
        <v>16.068493150684933</v>
      </c>
      <c r="W22" s="162">
        <f t="shared" si="15"/>
        <v>58.660501782959997</v>
      </c>
      <c r="X22" s="162">
        <f t="shared" si="16"/>
        <v>33.893505800000007</v>
      </c>
      <c r="Y22" s="163">
        <v>1425</v>
      </c>
      <c r="Z22" s="164">
        <f t="shared" si="2"/>
        <v>17.068493150684933</v>
      </c>
      <c r="AA22" s="165">
        <f t="shared" si="17"/>
        <v>59.77505131683624</v>
      </c>
      <c r="AB22" s="165">
        <f t="shared" si="18"/>
        <v>34.639162927600005</v>
      </c>
      <c r="AC22" s="163">
        <f t="shared" si="19"/>
        <v>1452.075</v>
      </c>
      <c r="AD22" s="158" t="e">
        <f t="shared" si="3"/>
        <v>#REF!</v>
      </c>
      <c r="AE22" s="158" t="e">
        <f t="shared" si="4"/>
        <v>#REF!</v>
      </c>
      <c r="AF22" s="158" t="e">
        <f t="shared" si="5"/>
        <v>#REF!</v>
      </c>
      <c r="AG22" s="158" t="e">
        <f t="shared" si="6"/>
        <v>#REF!</v>
      </c>
      <c r="AH22" s="158" t="e">
        <f t="shared" si="7"/>
        <v>#REF!</v>
      </c>
      <c r="AI22" s="166"/>
    </row>
    <row r="23" spans="1:35" ht="30" customHeight="1">
      <c r="A23" s="154">
        <v>21</v>
      </c>
      <c r="B23" s="154" t="s">
        <v>223</v>
      </c>
      <c r="C23" s="155">
        <v>38887</v>
      </c>
      <c r="D23" s="154" t="s">
        <v>229</v>
      </c>
      <c r="E23" s="154" t="s">
        <v>225</v>
      </c>
      <c r="F23" s="154">
        <v>100</v>
      </c>
      <c r="G23" s="157" t="s">
        <v>226</v>
      </c>
      <c r="H23" s="158" t="e">
        <f>+#REF!</f>
        <v>#REF!</v>
      </c>
      <c r="I23" s="158">
        <v>26471.66</v>
      </c>
      <c r="J23" s="158" t="e">
        <f t="shared" si="9"/>
        <v>#REF!</v>
      </c>
      <c r="K23" s="162">
        <f t="shared" si="20"/>
        <v>55.44</v>
      </c>
      <c r="L23" s="162">
        <f t="shared" si="10"/>
        <v>31.790000000000003</v>
      </c>
      <c r="M23" s="163">
        <v>375</v>
      </c>
      <c r="N23" s="163">
        <f t="shared" si="8"/>
        <v>17.545205479452054</v>
      </c>
      <c r="O23" s="162">
        <f t="shared" si="11"/>
        <v>56.493359999999996</v>
      </c>
      <c r="P23" s="162">
        <f t="shared" si="12"/>
        <v>32.450000000000003</v>
      </c>
      <c r="Q23" s="163">
        <v>750</v>
      </c>
      <c r="R23" s="163">
        <f t="shared" si="0"/>
        <v>18.547945205479451</v>
      </c>
      <c r="S23" s="162">
        <f t="shared" si="13"/>
        <v>57.566733839999998</v>
      </c>
      <c r="T23" s="162">
        <f t="shared" si="14"/>
        <v>33.163900000000005</v>
      </c>
      <c r="U23" s="163">
        <v>1125</v>
      </c>
      <c r="V23" s="163">
        <f t="shared" si="1"/>
        <v>19.547945205479451</v>
      </c>
      <c r="W23" s="162">
        <f t="shared" si="15"/>
        <v>58.660501782959997</v>
      </c>
      <c r="X23" s="162">
        <f t="shared" si="16"/>
        <v>33.893505800000007</v>
      </c>
      <c r="Y23" s="163">
        <v>1425</v>
      </c>
      <c r="Z23" s="164">
        <f t="shared" si="2"/>
        <v>20.547945205479451</v>
      </c>
      <c r="AA23" s="165">
        <f t="shared" si="17"/>
        <v>59.77505131683624</v>
      </c>
      <c r="AB23" s="165">
        <f t="shared" si="18"/>
        <v>34.639162927600005</v>
      </c>
      <c r="AC23" s="163">
        <f t="shared" si="19"/>
        <v>1452.075</v>
      </c>
      <c r="AD23" s="158" t="e">
        <f t="shared" si="3"/>
        <v>#REF!</v>
      </c>
      <c r="AE23" s="158" t="e">
        <f t="shared" si="4"/>
        <v>#REF!</v>
      </c>
      <c r="AF23" s="158" t="e">
        <f t="shared" si="5"/>
        <v>#REF!</v>
      </c>
      <c r="AG23" s="158" t="e">
        <f t="shared" si="6"/>
        <v>#REF!</v>
      </c>
      <c r="AH23" s="158" t="e">
        <f t="shared" si="7"/>
        <v>#REF!</v>
      </c>
      <c r="AI23" s="166"/>
    </row>
    <row r="24" spans="1:35" ht="30" customHeight="1">
      <c r="A24" s="154">
        <v>22</v>
      </c>
      <c r="B24" s="154" t="s">
        <v>223</v>
      </c>
      <c r="C24" s="155">
        <v>38749</v>
      </c>
      <c r="D24" s="154" t="s">
        <v>230</v>
      </c>
      <c r="E24" s="154" t="s">
        <v>225</v>
      </c>
      <c r="F24" s="154">
        <v>100</v>
      </c>
      <c r="G24" s="157" t="s">
        <v>226</v>
      </c>
      <c r="H24" s="158" t="e">
        <f>+#REF!</f>
        <v>#REF!</v>
      </c>
      <c r="I24" s="158">
        <v>25505.05</v>
      </c>
      <c r="J24" s="158" t="e">
        <f t="shared" si="9"/>
        <v>#REF!</v>
      </c>
      <c r="K24" s="162">
        <f t="shared" si="20"/>
        <v>55.44</v>
      </c>
      <c r="L24" s="162">
        <f t="shared" si="10"/>
        <v>31.790000000000003</v>
      </c>
      <c r="M24" s="163">
        <v>375</v>
      </c>
      <c r="N24" s="163">
        <f t="shared" si="8"/>
        <v>17.923287671232877</v>
      </c>
      <c r="O24" s="162">
        <f t="shared" si="11"/>
        <v>56.493359999999996</v>
      </c>
      <c r="P24" s="162">
        <f t="shared" si="12"/>
        <v>32.450000000000003</v>
      </c>
      <c r="Q24" s="163">
        <v>750</v>
      </c>
      <c r="R24" s="163">
        <f t="shared" si="0"/>
        <v>18.926027397260274</v>
      </c>
      <c r="S24" s="162">
        <f t="shared" si="13"/>
        <v>57.566733839999998</v>
      </c>
      <c r="T24" s="162">
        <f t="shared" si="14"/>
        <v>33.163900000000005</v>
      </c>
      <c r="U24" s="163">
        <v>1125</v>
      </c>
      <c r="V24" s="163">
        <f t="shared" si="1"/>
        <v>19.926027397260274</v>
      </c>
      <c r="W24" s="162">
        <f t="shared" si="15"/>
        <v>58.660501782959997</v>
      </c>
      <c r="X24" s="162">
        <f t="shared" si="16"/>
        <v>33.893505800000007</v>
      </c>
      <c r="Y24" s="163">
        <v>1425</v>
      </c>
      <c r="Z24" s="164">
        <f t="shared" si="2"/>
        <v>20.926027397260274</v>
      </c>
      <c r="AA24" s="165">
        <f t="shared" si="17"/>
        <v>59.77505131683624</v>
      </c>
      <c r="AB24" s="165">
        <f t="shared" si="18"/>
        <v>34.639162927600005</v>
      </c>
      <c r="AC24" s="163">
        <f t="shared" si="19"/>
        <v>1452.075</v>
      </c>
      <c r="AD24" s="158" t="e">
        <f t="shared" si="3"/>
        <v>#REF!</v>
      </c>
      <c r="AE24" s="158" t="e">
        <f t="shared" si="4"/>
        <v>#REF!</v>
      </c>
      <c r="AF24" s="158" t="e">
        <f t="shared" si="5"/>
        <v>#REF!</v>
      </c>
      <c r="AG24" s="158" t="e">
        <f t="shared" si="6"/>
        <v>#REF!</v>
      </c>
      <c r="AH24" s="158" t="e">
        <f t="shared" si="7"/>
        <v>#REF!</v>
      </c>
      <c r="AI24" s="166"/>
    </row>
    <row r="25" spans="1:35" ht="30" customHeight="1">
      <c r="A25" s="154">
        <v>23</v>
      </c>
      <c r="B25" s="154" t="s">
        <v>223</v>
      </c>
      <c r="C25" s="155">
        <v>38932</v>
      </c>
      <c r="D25" s="154" t="s">
        <v>230</v>
      </c>
      <c r="E25" s="154" t="s">
        <v>225</v>
      </c>
      <c r="F25" s="154">
        <v>100</v>
      </c>
      <c r="G25" s="157" t="s">
        <v>226</v>
      </c>
      <c r="H25" s="158" t="e">
        <f>+#REF!</f>
        <v>#REF!</v>
      </c>
      <c r="I25" s="158">
        <v>27711.81</v>
      </c>
      <c r="J25" s="158" t="e">
        <f t="shared" si="9"/>
        <v>#REF!</v>
      </c>
      <c r="K25" s="162">
        <f t="shared" si="20"/>
        <v>55.44</v>
      </c>
      <c r="L25" s="162">
        <f t="shared" si="10"/>
        <v>31.790000000000003</v>
      </c>
      <c r="M25" s="163">
        <v>375</v>
      </c>
      <c r="N25" s="163">
        <f t="shared" si="8"/>
        <v>17.421917808219177</v>
      </c>
      <c r="O25" s="162">
        <f t="shared" si="11"/>
        <v>56.493359999999996</v>
      </c>
      <c r="P25" s="162">
        <f t="shared" si="12"/>
        <v>32.450000000000003</v>
      </c>
      <c r="Q25" s="163">
        <v>750</v>
      </c>
      <c r="R25" s="163">
        <f t="shared" si="0"/>
        <v>18.424657534246574</v>
      </c>
      <c r="S25" s="162">
        <f t="shared" si="13"/>
        <v>57.566733839999998</v>
      </c>
      <c r="T25" s="162">
        <f t="shared" si="14"/>
        <v>33.163900000000005</v>
      </c>
      <c r="U25" s="163">
        <v>1125</v>
      </c>
      <c r="V25" s="163">
        <f t="shared" si="1"/>
        <v>19.424657534246574</v>
      </c>
      <c r="W25" s="162">
        <f t="shared" si="15"/>
        <v>58.660501782959997</v>
      </c>
      <c r="X25" s="162">
        <f t="shared" si="16"/>
        <v>33.893505800000007</v>
      </c>
      <c r="Y25" s="163">
        <v>1425</v>
      </c>
      <c r="Z25" s="164">
        <f t="shared" si="2"/>
        <v>20.424657534246574</v>
      </c>
      <c r="AA25" s="165">
        <f t="shared" si="17"/>
        <v>59.77505131683624</v>
      </c>
      <c r="AB25" s="165">
        <f t="shared" si="18"/>
        <v>34.639162927600005</v>
      </c>
      <c r="AC25" s="163">
        <f t="shared" si="19"/>
        <v>1452.075</v>
      </c>
      <c r="AD25" s="158" t="e">
        <f t="shared" si="3"/>
        <v>#REF!</v>
      </c>
      <c r="AE25" s="158" t="e">
        <f t="shared" si="4"/>
        <v>#REF!</v>
      </c>
      <c r="AF25" s="158" t="e">
        <f t="shared" si="5"/>
        <v>#REF!</v>
      </c>
      <c r="AG25" s="158" t="e">
        <f t="shared" si="6"/>
        <v>#REF!</v>
      </c>
      <c r="AH25" s="158" t="e">
        <f t="shared" si="7"/>
        <v>#REF!</v>
      </c>
      <c r="AI25" s="154" t="s">
        <v>231</v>
      </c>
    </row>
    <row r="26" spans="1:35" ht="30" customHeight="1">
      <c r="A26" s="154">
        <v>24</v>
      </c>
      <c r="B26" s="154" t="s">
        <v>223</v>
      </c>
      <c r="C26" s="155">
        <v>38932</v>
      </c>
      <c r="D26" s="154" t="s">
        <v>230</v>
      </c>
      <c r="E26" s="154" t="s">
        <v>225</v>
      </c>
      <c r="F26" s="154">
        <v>100</v>
      </c>
      <c r="G26" s="157" t="s">
        <v>226</v>
      </c>
      <c r="H26" s="158" t="e">
        <f>+#REF!</f>
        <v>#REF!</v>
      </c>
      <c r="I26" s="158">
        <v>28355.31</v>
      </c>
      <c r="J26" s="158" t="e">
        <f t="shared" si="9"/>
        <v>#REF!</v>
      </c>
      <c r="K26" s="162">
        <f t="shared" si="20"/>
        <v>55.44</v>
      </c>
      <c r="L26" s="162">
        <f t="shared" si="10"/>
        <v>31.790000000000003</v>
      </c>
      <c r="M26" s="163">
        <v>375</v>
      </c>
      <c r="N26" s="163">
        <f t="shared" si="8"/>
        <v>17.421917808219177</v>
      </c>
      <c r="O26" s="162">
        <f t="shared" si="11"/>
        <v>56.493359999999996</v>
      </c>
      <c r="P26" s="162">
        <f t="shared" si="12"/>
        <v>32.450000000000003</v>
      </c>
      <c r="Q26" s="163">
        <v>750</v>
      </c>
      <c r="R26" s="163">
        <f t="shared" si="0"/>
        <v>18.424657534246574</v>
      </c>
      <c r="S26" s="162">
        <f t="shared" si="13"/>
        <v>57.566733839999998</v>
      </c>
      <c r="T26" s="162">
        <f t="shared" si="14"/>
        <v>33.163900000000005</v>
      </c>
      <c r="U26" s="163">
        <v>1125</v>
      </c>
      <c r="V26" s="163">
        <f t="shared" si="1"/>
        <v>19.424657534246574</v>
      </c>
      <c r="W26" s="162">
        <f t="shared" si="15"/>
        <v>58.660501782959997</v>
      </c>
      <c r="X26" s="162">
        <f t="shared" si="16"/>
        <v>33.893505800000007</v>
      </c>
      <c r="Y26" s="163">
        <v>1425</v>
      </c>
      <c r="Z26" s="163">
        <f t="shared" si="2"/>
        <v>20.424657534246574</v>
      </c>
      <c r="AA26" s="165">
        <f t="shared" si="17"/>
        <v>59.77505131683624</v>
      </c>
      <c r="AB26" s="165">
        <f t="shared" si="18"/>
        <v>34.639162927600005</v>
      </c>
      <c r="AC26" s="163">
        <f t="shared" si="19"/>
        <v>1452.075</v>
      </c>
      <c r="AD26" s="158" t="e">
        <f t="shared" si="3"/>
        <v>#REF!</v>
      </c>
      <c r="AE26" s="158" t="e">
        <f t="shared" si="4"/>
        <v>#REF!</v>
      </c>
      <c r="AF26" s="158" t="e">
        <f t="shared" si="5"/>
        <v>#REF!</v>
      </c>
      <c r="AG26" s="158" t="e">
        <f t="shared" si="6"/>
        <v>#REF!</v>
      </c>
      <c r="AH26" s="158" t="e">
        <f t="shared" si="7"/>
        <v>#REF!</v>
      </c>
      <c r="AI26" s="166"/>
    </row>
    <row r="27" spans="1:35" ht="30" customHeight="1">
      <c r="A27" s="154">
        <v>25</v>
      </c>
      <c r="B27" s="154" t="s">
        <v>223</v>
      </c>
      <c r="C27" s="155">
        <v>38838</v>
      </c>
      <c r="D27" s="154" t="s">
        <v>230</v>
      </c>
      <c r="E27" s="154" t="s">
        <v>225</v>
      </c>
      <c r="F27" s="154">
        <v>100</v>
      </c>
      <c r="G27" s="157" t="s">
        <v>226</v>
      </c>
      <c r="H27" s="158" t="e">
        <f>+#REF!</f>
        <v>#REF!</v>
      </c>
      <c r="I27" s="158">
        <v>25505.05</v>
      </c>
      <c r="J27" s="158" t="e">
        <f t="shared" si="9"/>
        <v>#REF!</v>
      </c>
      <c r="K27" s="162">
        <f>3.23*12</f>
        <v>38.76</v>
      </c>
      <c r="L27" s="162">
        <f t="shared" si="10"/>
        <v>31.790000000000003</v>
      </c>
      <c r="M27" s="163">
        <v>375</v>
      </c>
      <c r="N27" s="163">
        <f t="shared" si="8"/>
        <v>17.67945205479452</v>
      </c>
      <c r="O27" s="162">
        <f t="shared" si="11"/>
        <v>39.49644</v>
      </c>
      <c r="P27" s="162">
        <f t="shared" si="12"/>
        <v>32.450000000000003</v>
      </c>
      <c r="Q27" s="163">
        <v>750</v>
      </c>
      <c r="R27" s="163">
        <f t="shared" si="0"/>
        <v>18.682191780821917</v>
      </c>
      <c r="S27" s="162">
        <f t="shared" si="13"/>
        <v>40.246872359999998</v>
      </c>
      <c r="T27" s="162">
        <f t="shared" si="14"/>
        <v>33.163900000000005</v>
      </c>
      <c r="U27" s="163">
        <v>1125</v>
      </c>
      <c r="V27" s="163">
        <f t="shared" si="1"/>
        <v>19.682191780821917</v>
      </c>
      <c r="W27" s="162">
        <f t="shared" si="15"/>
        <v>41.011562934840001</v>
      </c>
      <c r="X27" s="162">
        <f t="shared" si="16"/>
        <v>33.893505800000007</v>
      </c>
      <c r="Y27" s="163">
        <v>1425</v>
      </c>
      <c r="Z27" s="163">
        <f t="shared" si="2"/>
        <v>20.682191780821917</v>
      </c>
      <c r="AA27" s="165">
        <f t="shared" si="17"/>
        <v>41.79078263060196</v>
      </c>
      <c r="AB27" s="165">
        <f t="shared" si="18"/>
        <v>34.639162927600005</v>
      </c>
      <c r="AC27" s="163">
        <f t="shared" si="19"/>
        <v>1452.075</v>
      </c>
      <c r="AD27" s="158" t="e">
        <f t="shared" si="3"/>
        <v>#REF!</v>
      </c>
      <c r="AE27" s="158" t="e">
        <f t="shared" si="4"/>
        <v>#REF!</v>
      </c>
      <c r="AF27" s="158" t="e">
        <f t="shared" si="5"/>
        <v>#REF!</v>
      </c>
      <c r="AG27" s="158" t="e">
        <f t="shared" si="6"/>
        <v>#REF!</v>
      </c>
      <c r="AH27" s="158" t="e">
        <f t="shared" si="7"/>
        <v>#REF!</v>
      </c>
      <c r="AI27" s="166"/>
    </row>
    <row r="28" spans="1:35" ht="30" customHeight="1">
      <c r="A28" s="154">
        <v>26</v>
      </c>
      <c r="B28" s="154" t="s">
        <v>223</v>
      </c>
      <c r="C28" s="155">
        <v>39038</v>
      </c>
      <c r="D28" s="154" t="s">
        <v>230</v>
      </c>
      <c r="E28" s="154" t="s">
        <v>225</v>
      </c>
      <c r="F28" s="154">
        <v>100</v>
      </c>
      <c r="G28" s="157" t="s">
        <v>226</v>
      </c>
      <c r="H28" s="158" t="e">
        <f>+#REF!</f>
        <v>#REF!</v>
      </c>
      <c r="I28" s="158">
        <v>27711.81</v>
      </c>
      <c r="J28" s="158" t="e">
        <f t="shared" si="9"/>
        <v>#REF!</v>
      </c>
      <c r="K28" s="162">
        <f t="shared" ref="K28:K39" si="21">3.23*12</f>
        <v>38.76</v>
      </c>
      <c r="L28" s="162">
        <f t="shared" si="10"/>
        <v>31.790000000000003</v>
      </c>
      <c r="M28" s="163">
        <v>375</v>
      </c>
      <c r="N28" s="163">
        <f t="shared" si="8"/>
        <v>17.13150684931507</v>
      </c>
      <c r="O28" s="162">
        <f t="shared" si="11"/>
        <v>39.49644</v>
      </c>
      <c r="P28" s="162">
        <f t="shared" si="12"/>
        <v>32.450000000000003</v>
      </c>
      <c r="Q28" s="163">
        <v>750</v>
      </c>
      <c r="R28" s="163">
        <f t="shared" si="0"/>
        <v>18.134246575342466</v>
      </c>
      <c r="S28" s="162">
        <f t="shared" si="13"/>
        <v>40.246872359999998</v>
      </c>
      <c r="T28" s="162">
        <f t="shared" si="14"/>
        <v>33.163900000000005</v>
      </c>
      <c r="U28" s="163">
        <v>1125</v>
      </c>
      <c r="V28" s="163">
        <f t="shared" si="1"/>
        <v>19.134246575342466</v>
      </c>
      <c r="W28" s="162">
        <f t="shared" si="15"/>
        <v>41.011562934840001</v>
      </c>
      <c r="X28" s="162">
        <f t="shared" si="16"/>
        <v>33.893505800000007</v>
      </c>
      <c r="Y28" s="163">
        <v>1425</v>
      </c>
      <c r="Z28" s="163">
        <f t="shared" si="2"/>
        <v>20.134246575342466</v>
      </c>
      <c r="AA28" s="165">
        <f t="shared" si="17"/>
        <v>41.79078263060196</v>
      </c>
      <c r="AB28" s="165">
        <f t="shared" si="18"/>
        <v>34.639162927600005</v>
      </c>
      <c r="AC28" s="163">
        <f t="shared" si="19"/>
        <v>1452.075</v>
      </c>
      <c r="AD28" s="158" t="e">
        <f t="shared" si="3"/>
        <v>#REF!</v>
      </c>
      <c r="AE28" s="158" t="e">
        <f t="shared" si="4"/>
        <v>#REF!</v>
      </c>
      <c r="AF28" s="158" t="e">
        <f t="shared" si="5"/>
        <v>#REF!</v>
      </c>
      <c r="AG28" s="158" t="e">
        <f t="shared" si="6"/>
        <v>#REF!</v>
      </c>
      <c r="AH28" s="158" t="e">
        <f t="shared" si="7"/>
        <v>#REF!</v>
      </c>
      <c r="AI28" s="166"/>
    </row>
    <row r="29" spans="1:35" ht="30" customHeight="1">
      <c r="A29" s="154">
        <v>27</v>
      </c>
      <c r="B29" s="154" t="s">
        <v>223</v>
      </c>
      <c r="C29" s="155">
        <v>38749</v>
      </c>
      <c r="D29" s="154" t="s">
        <v>230</v>
      </c>
      <c r="E29" s="154" t="s">
        <v>225</v>
      </c>
      <c r="F29" s="154">
        <v>100</v>
      </c>
      <c r="G29" s="157" t="s">
        <v>226</v>
      </c>
      <c r="H29" s="158" t="e">
        <f>+#REF!</f>
        <v>#REF!</v>
      </c>
      <c r="I29" s="158">
        <v>28355.31</v>
      </c>
      <c r="J29" s="158" t="e">
        <f t="shared" si="9"/>
        <v>#REF!</v>
      </c>
      <c r="K29" s="162">
        <f t="shared" si="21"/>
        <v>38.76</v>
      </c>
      <c r="L29" s="162">
        <f t="shared" si="10"/>
        <v>31.790000000000003</v>
      </c>
      <c r="M29" s="163">
        <v>375</v>
      </c>
      <c r="N29" s="163">
        <f t="shared" si="8"/>
        <v>17.923287671232877</v>
      </c>
      <c r="O29" s="162">
        <f t="shared" si="11"/>
        <v>39.49644</v>
      </c>
      <c r="P29" s="162">
        <f t="shared" si="12"/>
        <v>32.450000000000003</v>
      </c>
      <c r="Q29" s="163">
        <v>750</v>
      </c>
      <c r="R29" s="163">
        <f t="shared" si="0"/>
        <v>18.926027397260274</v>
      </c>
      <c r="S29" s="162">
        <f t="shared" si="13"/>
        <v>40.246872359999998</v>
      </c>
      <c r="T29" s="162">
        <f t="shared" si="14"/>
        <v>33.163900000000005</v>
      </c>
      <c r="U29" s="163">
        <v>1125</v>
      </c>
      <c r="V29" s="163">
        <f t="shared" si="1"/>
        <v>19.926027397260274</v>
      </c>
      <c r="W29" s="162">
        <f t="shared" si="15"/>
        <v>41.011562934840001</v>
      </c>
      <c r="X29" s="162">
        <f t="shared" si="16"/>
        <v>33.893505800000007</v>
      </c>
      <c r="Y29" s="163">
        <v>1425</v>
      </c>
      <c r="Z29" s="163">
        <f t="shared" si="2"/>
        <v>20.926027397260274</v>
      </c>
      <c r="AA29" s="165">
        <f t="shared" si="17"/>
        <v>41.79078263060196</v>
      </c>
      <c r="AB29" s="165">
        <f t="shared" si="18"/>
        <v>34.639162927600005</v>
      </c>
      <c r="AC29" s="163">
        <f t="shared" si="19"/>
        <v>1452.075</v>
      </c>
      <c r="AD29" s="158" t="e">
        <f t="shared" si="3"/>
        <v>#REF!</v>
      </c>
      <c r="AE29" s="158" t="e">
        <f t="shared" si="4"/>
        <v>#REF!</v>
      </c>
      <c r="AF29" s="158" t="e">
        <f t="shared" si="5"/>
        <v>#REF!</v>
      </c>
      <c r="AG29" s="158" t="e">
        <f t="shared" si="6"/>
        <v>#REF!</v>
      </c>
      <c r="AH29" s="158" t="e">
        <f t="shared" si="7"/>
        <v>#REF!</v>
      </c>
      <c r="AI29" s="166"/>
    </row>
    <row r="30" spans="1:35" ht="30" customHeight="1">
      <c r="A30" s="154">
        <v>28</v>
      </c>
      <c r="B30" s="154" t="s">
        <v>223</v>
      </c>
      <c r="C30" s="155">
        <v>38838</v>
      </c>
      <c r="D30" s="154" t="s">
        <v>230</v>
      </c>
      <c r="E30" s="154" t="s">
        <v>225</v>
      </c>
      <c r="F30" s="154">
        <v>189</v>
      </c>
      <c r="G30" s="157" t="s">
        <v>226</v>
      </c>
      <c r="H30" s="158" t="e">
        <f>+#REF!</f>
        <v>#REF!</v>
      </c>
      <c r="I30" s="158">
        <v>25505.05</v>
      </c>
      <c r="J30" s="158" t="e">
        <f t="shared" si="9"/>
        <v>#REF!</v>
      </c>
      <c r="K30" s="162">
        <f t="shared" si="21"/>
        <v>38.76</v>
      </c>
      <c r="L30" s="162">
        <f t="shared" si="10"/>
        <v>31.790000000000003</v>
      </c>
      <c r="M30" s="163">
        <v>375</v>
      </c>
      <c r="N30" s="163">
        <f t="shared" si="8"/>
        <v>17.67945205479452</v>
      </c>
      <c r="O30" s="162">
        <f t="shared" si="11"/>
        <v>39.49644</v>
      </c>
      <c r="P30" s="162">
        <f t="shared" si="12"/>
        <v>32.450000000000003</v>
      </c>
      <c r="Q30" s="163">
        <v>750</v>
      </c>
      <c r="R30" s="163">
        <f t="shared" si="0"/>
        <v>18.682191780821917</v>
      </c>
      <c r="S30" s="162">
        <f t="shared" si="13"/>
        <v>40.246872359999998</v>
      </c>
      <c r="T30" s="162">
        <f t="shared" si="14"/>
        <v>33.163900000000005</v>
      </c>
      <c r="U30" s="163">
        <v>1125</v>
      </c>
      <c r="V30" s="163">
        <f t="shared" si="1"/>
        <v>19.682191780821917</v>
      </c>
      <c r="W30" s="162">
        <f t="shared" si="15"/>
        <v>41.011562934840001</v>
      </c>
      <c r="X30" s="162">
        <f t="shared" si="16"/>
        <v>33.893505800000007</v>
      </c>
      <c r="Y30" s="163">
        <v>1425</v>
      </c>
      <c r="Z30" s="163">
        <f t="shared" si="2"/>
        <v>20.682191780821917</v>
      </c>
      <c r="AA30" s="165">
        <f t="shared" si="17"/>
        <v>41.79078263060196</v>
      </c>
      <c r="AB30" s="165">
        <f t="shared" si="18"/>
        <v>34.639162927600005</v>
      </c>
      <c r="AC30" s="163">
        <f t="shared" si="19"/>
        <v>1452.075</v>
      </c>
      <c r="AD30" s="158" t="e">
        <f t="shared" si="3"/>
        <v>#REF!</v>
      </c>
      <c r="AE30" s="158" t="e">
        <f t="shared" si="4"/>
        <v>#REF!</v>
      </c>
      <c r="AF30" s="158" t="e">
        <f t="shared" si="5"/>
        <v>#REF!</v>
      </c>
      <c r="AG30" s="158" t="e">
        <f t="shared" si="6"/>
        <v>#REF!</v>
      </c>
      <c r="AH30" s="158" t="e">
        <f t="shared" si="7"/>
        <v>#REF!</v>
      </c>
      <c r="AI30" s="166"/>
    </row>
    <row r="31" spans="1:35" ht="30" customHeight="1">
      <c r="A31" s="154">
        <v>29</v>
      </c>
      <c r="B31" s="154" t="s">
        <v>223</v>
      </c>
      <c r="C31" s="155">
        <v>38827</v>
      </c>
      <c r="D31" s="154" t="s">
        <v>230</v>
      </c>
      <c r="E31" s="154" t="s">
        <v>225</v>
      </c>
      <c r="F31" s="154">
        <v>100</v>
      </c>
      <c r="G31" s="157" t="s">
        <v>226</v>
      </c>
      <c r="H31" s="158" t="e">
        <f>+#REF!</f>
        <v>#REF!</v>
      </c>
      <c r="I31" s="158">
        <v>34813.15</v>
      </c>
      <c r="J31" s="158" t="e">
        <f t="shared" si="9"/>
        <v>#REF!</v>
      </c>
      <c r="K31" s="162">
        <f t="shared" si="21"/>
        <v>38.76</v>
      </c>
      <c r="L31" s="162">
        <f t="shared" si="10"/>
        <v>31.790000000000003</v>
      </c>
      <c r="M31" s="163">
        <v>375</v>
      </c>
      <c r="N31" s="163">
        <f t="shared" si="8"/>
        <v>17.709589041095889</v>
      </c>
      <c r="O31" s="162">
        <f t="shared" si="11"/>
        <v>39.49644</v>
      </c>
      <c r="P31" s="162">
        <f t="shared" si="12"/>
        <v>32.450000000000003</v>
      </c>
      <c r="Q31" s="163">
        <v>750</v>
      </c>
      <c r="R31" s="163">
        <f t="shared" si="0"/>
        <v>18.712328767123289</v>
      </c>
      <c r="S31" s="162">
        <f t="shared" si="13"/>
        <v>40.246872359999998</v>
      </c>
      <c r="T31" s="162">
        <f t="shared" si="14"/>
        <v>33.163900000000005</v>
      </c>
      <c r="U31" s="163">
        <v>1125</v>
      </c>
      <c r="V31" s="163">
        <f t="shared" si="1"/>
        <v>19.712328767123289</v>
      </c>
      <c r="W31" s="162">
        <f t="shared" si="15"/>
        <v>41.011562934840001</v>
      </c>
      <c r="X31" s="162">
        <f t="shared" si="16"/>
        <v>33.893505800000007</v>
      </c>
      <c r="Y31" s="163">
        <v>1425</v>
      </c>
      <c r="Z31" s="163">
        <f t="shared" si="2"/>
        <v>20.712328767123289</v>
      </c>
      <c r="AA31" s="165">
        <f t="shared" si="17"/>
        <v>41.79078263060196</v>
      </c>
      <c r="AB31" s="165">
        <f t="shared" si="18"/>
        <v>34.639162927600005</v>
      </c>
      <c r="AC31" s="163">
        <f t="shared" si="19"/>
        <v>1452.075</v>
      </c>
      <c r="AD31" s="158" t="e">
        <f t="shared" si="3"/>
        <v>#REF!</v>
      </c>
      <c r="AE31" s="158" t="e">
        <f t="shared" si="4"/>
        <v>#REF!</v>
      </c>
      <c r="AF31" s="158" t="e">
        <f t="shared" si="5"/>
        <v>#REF!</v>
      </c>
      <c r="AG31" s="158" t="e">
        <f t="shared" si="6"/>
        <v>#REF!</v>
      </c>
      <c r="AH31" s="158" t="e">
        <f t="shared" si="7"/>
        <v>#REF!</v>
      </c>
      <c r="AI31" s="154" t="s">
        <v>232</v>
      </c>
    </row>
    <row r="32" spans="1:35" ht="30" customHeight="1">
      <c r="A32" s="154">
        <v>30</v>
      </c>
      <c r="B32" s="154" t="s">
        <v>223</v>
      </c>
      <c r="C32" s="155">
        <v>38749</v>
      </c>
      <c r="D32" s="154" t="s">
        <v>230</v>
      </c>
      <c r="E32" s="154" t="s">
        <v>225</v>
      </c>
      <c r="F32" s="154">
        <v>100</v>
      </c>
      <c r="G32" s="157" t="s">
        <v>226</v>
      </c>
      <c r="H32" s="158" t="e">
        <f>+#REF!</f>
        <v>#REF!</v>
      </c>
      <c r="I32" s="158">
        <v>27711.81</v>
      </c>
      <c r="J32" s="158" t="e">
        <f t="shared" si="9"/>
        <v>#REF!</v>
      </c>
      <c r="K32" s="162">
        <f t="shared" si="21"/>
        <v>38.76</v>
      </c>
      <c r="L32" s="162">
        <f t="shared" si="10"/>
        <v>31.790000000000003</v>
      </c>
      <c r="M32" s="163">
        <v>375</v>
      </c>
      <c r="N32" s="163">
        <f t="shared" si="8"/>
        <v>17.923287671232877</v>
      </c>
      <c r="O32" s="162">
        <f t="shared" si="11"/>
        <v>39.49644</v>
      </c>
      <c r="P32" s="162">
        <f t="shared" si="12"/>
        <v>32.450000000000003</v>
      </c>
      <c r="Q32" s="163">
        <v>750</v>
      </c>
      <c r="R32" s="163">
        <f t="shared" si="0"/>
        <v>18.926027397260274</v>
      </c>
      <c r="S32" s="162">
        <f t="shared" si="13"/>
        <v>40.246872359999998</v>
      </c>
      <c r="T32" s="162">
        <f t="shared" si="14"/>
        <v>33.163900000000005</v>
      </c>
      <c r="U32" s="163">
        <v>1125</v>
      </c>
      <c r="V32" s="163">
        <f t="shared" si="1"/>
        <v>19.926027397260274</v>
      </c>
      <c r="W32" s="162">
        <f t="shared" si="15"/>
        <v>41.011562934840001</v>
      </c>
      <c r="X32" s="162">
        <f t="shared" si="16"/>
        <v>33.893505800000007</v>
      </c>
      <c r="Y32" s="163">
        <v>1425</v>
      </c>
      <c r="Z32" s="163">
        <f t="shared" si="2"/>
        <v>20.926027397260274</v>
      </c>
      <c r="AA32" s="165">
        <f t="shared" si="17"/>
        <v>41.79078263060196</v>
      </c>
      <c r="AB32" s="165">
        <f t="shared" si="18"/>
        <v>34.639162927600005</v>
      </c>
      <c r="AC32" s="163">
        <f t="shared" si="19"/>
        <v>1452.075</v>
      </c>
      <c r="AD32" s="158" t="e">
        <f t="shared" si="3"/>
        <v>#REF!</v>
      </c>
      <c r="AE32" s="158" t="e">
        <f t="shared" si="4"/>
        <v>#REF!</v>
      </c>
      <c r="AF32" s="158" t="e">
        <f t="shared" si="5"/>
        <v>#REF!</v>
      </c>
      <c r="AG32" s="158" t="e">
        <f t="shared" si="6"/>
        <v>#REF!</v>
      </c>
      <c r="AH32" s="158" t="e">
        <f t="shared" si="7"/>
        <v>#REF!</v>
      </c>
      <c r="AI32" s="166"/>
    </row>
    <row r="33" spans="1:35" ht="30" customHeight="1">
      <c r="A33" s="154">
        <v>31</v>
      </c>
      <c r="B33" s="154" t="s">
        <v>223</v>
      </c>
      <c r="C33" s="155">
        <v>38749</v>
      </c>
      <c r="D33" s="154" t="s">
        <v>230</v>
      </c>
      <c r="E33" s="154" t="s">
        <v>225</v>
      </c>
      <c r="F33" s="154">
        <v>100</v>
      </c>
      <c r="G33" s="157" t="s">
        <v>226</v>
      </c>
      <c r="H33" s="158" t="e">
        <f>+#REF!</f>
        <v>#REF!</v>
      </c>
      <c r="I33" s="158">
        <v>27711.81</v>
      </c>
      <c r="J33" s="158" t="e">
        <f t="shared" si="9"/>
        <v>#REF!</v>
      </c>
      <c r="K33" s="162">
        <f t="shared" si="21"/>
        <v>38.76</v>
      </c>
      <c r="L33" s="162">
        <f t="shared" si="10"/>
        <v>31.790000000000003</v>
      </c>
      <c r="M33" s="163">
        <v>375</v>
      </c>
      <c r="N33" s="163">
        <f t="shared" si="8"/>
        <v>17.923287671232877</v>
      </c>
      <c r="O33" s="162">
        <f t="shared" si="11"/>
        <v>39.49644</v>
      </c>
      <c r="P33" s="162">
        <f t="shared" si="12"/>
        <v>32.450000000000003</v>
      </c>
      <c r="Q33" s="163">
        <v>750</v>
      </c>
      <c r="R33" s="163">
        <f t="shared" si="0"/>
        <v>18.926027397260274</v>
      </c>
      <c r="S33" s="162">
        <f t="shared" si="13"/>
        <v>40.246872359999998</v>
      </c>
      <c r="T33" s="162">
        <f t="shared" si="14"/>
        <v>33.163900000000005</v>
      </c>
      <c r="U33" s="163">
        <v>1125</v>
      </c>
      <c r="V33" s="163">
        <f t="shared" si="1"/>
        <v>19.926027397260274</v>
      </c>
      <c r="W33" s="162">
        <f t="shared" si="15"/>
        <v>41.011562934840001</v>
      </c>
      <c r="X33" s="162">
        <f t="shared" si="16"/>
        <v>33.893505800000007</v>
      </c>
      <c r="Y33" s="163">
        <v>1425</v>
      </c>
      <c r="Z33" s="163">
        <f t="shared" si="2"/>
        <v>20.926027397260274</v>
      </c>
      <c r="AA33" s="165">
        <f t="shared" si="17"/>
        <v>41.79078263060196</v>
      </c>
      <c r="AB33" s="165">
        <f t="shared" si="18"/>
        <v>34.639162927600005</v>
      </c>
      <c r="AC33" s="163">
        <f t="shared" si="19"/>
        <v>1452.075</v>
      </c>
      <c r="AD33" s="158" t="e">
        <f t="shared" si="3"/>
        <v>#REF!</v>
      </c>
      <c r="AE33" s="158" t="e">
        <f t="shared" si="4"/>
        <v>#REF!</v>
      </c>
      <c r="AF33" s="158" t="e">
        <f t="shared" si="5"/>
        <v>#REF!</v>
      </c>
      <c r="AG33" s="158" t="e">
        <f t="shared" si="6"/>
        <v>#REF!</v>
      </c>
      <c r="AH33" s="158" t="e">
        <f t="shared" si="7"/>
        <v>#REF!</v>
      </c>
      <c r="AI33" s="166"/>
    </row>
    <row r="34" spans="1:35" ht="30" customHeight="1">
      <c r="A34" s="154">
        <v>32</v>
      </c>
      <c r="B34" s="154" t="s">
        <v>223</v>
      </c>
      <c r="C34" s="155">
        <v>39618</v>
      </c>
      <c r="D34" s="154" t="s">
        <v>230</v>
      </c>
      <c r="E34" s="154" t="s">
        <v>225</v>
      </c>
      <c r="F34" s="154">
        <v>189</v>
      </c>
      <c r="G34" s="157" t="s">
        <v>226</v>
      </c>
      <c r="H34" s="158" t="e">
        <f>+#REF!</f>
        <v>#REF!</v>
      </c>
      <c r="I34" s="158">
        <v>24491.59</v>
      </c>
      <c r="J34" s="158" t="e">
        <f t="shared" si="9"/>
        <v>#REF!</v>
      </c>
      <c r="K34" s="162">
        <f t="shared" si="21"/>
        <v>38.76</v>
      </c>
      <c r="L34" s="162">
        <f t="shared" si="10"/>
        <v>31.790000000000003</v>
      </c>
      <c r="M34" s="163">
        <v>375</v>
      </c>
      <c r="N34" s="163">
        <f t="shared" si="8"/>
        <v>15.542465753424658</v>
      </c>
      <c r="O34" s="162">
        <f t="shared" si="11"/>
        <v>39.49644</v>
      </c>
      <c r="P34" s="162">
        <f t="shared" si="12"/>
        <v>32.450000000000003</v>
      </c>
      <c r="Q34" s="163">
        <v>750</v>
      </c>
      <c r="R34" s="163">
        <f t="shared" si="0"/>
        <v>16.545205479452054</v>
      </c>
      <c r="S34" s="162">
        <f t="shared" si="13"/>
        <v>40.246872359999998</v>
      </c>
      <c r="T34" s="162">
        <f t="shared" si="14"/>
        <v>33.163900000000005</v>
      </c>
      <c r="U34" s="163">
        <v>1125</v>
      </c>
      <c r="V34" s="163">
        <f t="shared" si="1"/>
        <v>17.545205479452054</v>
      </c>
      <c r="W34" s="162">
        <f t="shared" si="15"/>
        <v>41.011562934840001</v>
      </c>
      <c r="X34" s="162">
        <f t="shared" si="16"/>
        <v>33.893505800000007</v>
      </c>
      <c r="Y34" s="163">
        <v>1425</v>
      </c>
      <c r="Z34" s="163">
        <f t="shared" si="2"/>
        <v>18.545205479452054</v>
      </c>
      <c r="AA34" s="165">
        <f t="shared" si="17"/>
        <v>41.79078263060196</v>
      </c>
      <c r="AB34" s="165">
        <f t="shared" si="18"/>
        <v>34.639162927600005</v>
      </c>
      <c r="AC34" s="163">
        <f t="shared" si="19"/>
        <v>1452.075</v>
      </c>
      <c r="AD34" s="158" t="e">
        <f t="shared" si="3"/>
        <v>#REF!</v>
      </c>
      <c r="AE34" s="158" t="e">
        <f t="shared" si="4"/>
        <v>#REF!</v>
      </c>
      <c r="AF34" s="158" t="e">
        <f t="shared" si="5"/>
        <v>#REF!</v>
      </c>
      <c r="AG34" s="158" t="e">
        <f t="shared" si="6"/>
        <v>#REF!</v>
      </c>
      <c r="AH34" s="158" t="e">
        <f t="shared" si="7"/>
        <v>#REF!</v>
      </c>
      <c r="AI34" s="166"/>
    </row>
    <row r="35" spans="1:35" ht="30" customHeight="1">
      <c r="A35" s="154">
        <v>33</v>
      </c>
      <c r="B35" s="154" t="s">
        <v>223</v>
      </c>
      <c r="C35" s="155">
        <v>38880</v>
      </c>
      <c r="D35" s="154" t="s">
        <v>230</v>
      </c>
      <c r="E35" s="154" t="s">
        <v>225</v>
      </c>
      <c r="F35" s="154">
        <v>189</v>
      </c>
      <c r="G35" s="157" t="s">
        <v>226</v>
      </c>
      <c r="H35" s="158" t="e">
        <f>+#REF!</f>
        <v>#REF!</v>
      </c>
      <c r="I35" s="158">
        <v>25458.2</v>
      </c>
      <c r="J35" s="158" t="e">
        <f t="shared" si="9"/>
        <v>#REF!</v>
      </c>
      <c r="K35" s="162">
        <f t="shared" si="21"/>
        <v>38.76</v>
      </c>
      <c r="L35" s="162">
        <f t="shared" si="10"/>
        <v>31.790000000000003</v>
      </c>
      <c r="M35" s="163">
        <v>375</v>
      </c>
      <c r="N35" s="163">
        <f t="shared" si="8"/>
        <v>17.564383561643837</v>
      </c>
      <c r="O35" s="162">
        <f t="shared" si="11"/>
        <v>39.49644</v>
      </c>
      <c r="P35" s="162">
        <f t="shared" si="12"/>
        <v>32.450000000000003</v>
      </c>
      <c r="Q35" s="163">
        <v>750</v>
      </c>
      <c r="R35" s="163">
        <f t="shared" si="0"/>
        <v>18.567123287671233</v>
      </c>
      <c r="S35" s="162">
        <f t="shared" si="13"/>
        <v>40.246872359999998</v>
      </c>
      <c r="T35" s="162">
        <f t="shared" si="14"/>
        <v>33.163900000000005</v>
      </c>
      <c r="U35" s="163">
        <v>1125</v>
      </c>
      <c r="V35" s="163">
        <f t="shared" si="1"/>
        <v>19.567123287671233</v>
      </c>
      <c r="W35" s="162">
        <f t="shared" si="15"/>
        <v>41.011562934840001</v>
      </c>
      <c r="X35" s="162">
        <f t="shared" si="16"/>
        <v>33.893505800000007</v>
      </c>
      <c r="Y35" s="163">
        <v>1425</v>
      </c>
      <c r="Z35" s="163">
        <f t="shared" si="2"/>
        <v>20.567123287671233</v>
      </c>
      <c r="AA35" s="165">
        <f t="shared" si="17"/>
        <v>41.79078263060196</v>
      </c>
      <c r="AB35" s="165">
        <f t="shared" si="18"/>
        <v>34.639162927600005</v>
      </c>
      <c r="AC35" s="163">
        <f t="shared" si="19"/>
        <v>1452.075</v>
      </c>
      <c r="AD35" s="158" t="e">
        <f t="shared" ref="AD35:AD52" si="22">H35+K35+L35+M35</f>
        <v>#REF!</v>
      </c>
      <c r="AE35" s="158" t="e">
        <f t="shared" ref="AE35:AE52" si="23">H35+O35+P35+Q35</f>
        <v>#REF!</v>
      </c>
      <c r="AF35" s="158" t="e">
        <f t="shared" ref="AF35:AF52" si="24">H35+S35+T35+U35</f>
        <v>#REF!</v>
      </c>
      <c r="AG35" s="158" t="e">
        <f t="shared" ref="AG35:AG52" si="25">H35+W35+X35+Y35</f>
        <v>#REF!</v>
      </c>
      <c r="AH35" s="158" t="e">
        <f t="shared" ref="AH35:AH52" si="26">(+SUM(AD35:AG35)/4)*J35</f>
        <v>#REF!</v>
      </c>
      <c r="AI35" s="166"/>
    </row>
    <row r="36" spans="1:35" ht="30" customHeight="1">
      <c r="A36" s="154">
        <v>34</v>
      </c>
      <c r="B36" s="154" t="s">
        <v>223</v>
      </c>
      <c r="C36" s="155">
        <v>38908</v>
      </c>
      <c r="D36" s="154" t="s">
        <v>230</v>
      </c>
      <c r="E36" s="154" t="s">
        <v>225</v>
      </c>
      <c r="F36" s="154">
        <v>100</v>
      </c>
      <c r="G36" s="157" t="s">
        <v>226</v>
      </c>
      <c r="H36" s="158" t="e">
        <f>+#REF!</f>
        <v>#REF!</v>
      </c>
      <c r="I36" s="158">
        <v>24491.59</v>
      </c>
      <c r="J36" s="158" t="e">
        <f t="shared" si="9"/>
        <v>#REF!</v>
      </c>
      <c r="K36" s="162">
        <f t="shared" si="21"/>
        <v>38.76</v>
      </c>
      <c r="L36" s="162">
        <f t="shared" si="10"/>
        <v>31.790000000000003</v>
      </c>
      <c r="M36" s="163">
        <v>375</v>
      </c>
      <c r="N36" s="163">
        <f t="shared" si="8"/>
        <v>17.487671232876714</v>
      </c>
      <c r="O36" s="162">
        <f t="shared" si="11"/>
        <v>39.49644</v>
      </c>
      <c r="P36" s="162">
        <f t="shared" si="12"/>
        <v>32.450000000000003</v>
      </c>
      <c r="Q36" s="163">
        <v>750</v>
      </c>
      <c r="R36" s="163">
        <f t="shared" si="0"/>
        <v>18.490410958904111</v>
      </c>
      <c r="S36" s="162">
        <f t="shared" si="13"/>
        <v>40.246872359999998</v>
      </c>
      <c r="T36" s="162">
        <f t="shared" si="14"/>
        <v>33.163900000000005</v>
      </c>
      <c r="U36" s="163">
        <v>1125</v>
      </c>
      <c r="V36" s="163">
        <f t="shared" si="1"/>
        <v>19.490410958904111</v>
      </c>
      <c r="W36" s="162">
        <f t="shared" si="15"/>
        <v>41.011562934840001</v>
      </c>
      <c r="X36" s="162">
        <f t="shared" si="16"/>
        <v>33.893505800000007</v>
      </c>
      <c r="Y36" s="163">
        <v>1425</v>
      </c>
      <c r="Z36" s="163">
        <f t="shared" si="2"/>
        <v>20.490410958904111</v>
      </c>
      <c r="AA36" s="165">
        <f t="shared" si="17"/>
        <v>41.79078263060196</v>
      </c>
      <c r="AB36" s="165">
        <f t="shared" si="18"/>
        <v>34.639162927600005</v>
      </c>
      <c r="AC36" s="163">
        <f t="shared" si="19"/>
        <v>1452.075</v>
      </c>
      <c r="AD36" s="158" t="e">
        <f t="shared" si="22"/>
        <v>#REF!</v>
      </c>
      <c r="AE36" s="158" t="e">
        <f t="shared" si="23"/>
        <v>#REF!</v>
      </c>
      <c r="AF36" s="158" t="e">
        <f t="shared" si="24"/>
        <v>#REF!</v>
      </c>
      <c r="AG36" s="158" t="e">
        <f t="shared" si="25"/>
        <v>#REF!</v>
      </c>
      <c r="AH36" s="158" t="e">
        <f t="shared" si="26"/>
        <v>#REF!</v>
      </c>
      <c r="AI36" s="166"/>
    </row>
    <row r="37" spans="1:35" ht="30" customHeight="1">
      <c r="A37" s="154">
        <v>35</v>
      </c>
      <c r="B37" s="154" t="s">
        <v>223</v>
      </c>
      <c r="C37" s="155">
        <v>38972</v>
      </c>
      <c r="D37" s="154" t="s">
        <v>230</v>
      </c>
      <c r="E37" s="154" t="s">
        <v>225</v>
      </c>
      <c r="F37" s="154">
        <v>100</v>
      </c>
      <c r="G37" s="157" t="s">
        <v>226</v>
      </c>
      <c r="H37" s="158" t="e">
        <f>+#REF!</f>
        <v>#REF!</v>
      </c>
      <c r="I37" s="158">
        <v>27318.31</v>
      </c>
      <c r="J37" s="158" t="e">
        <f t="shared" si="9"/>
        <v>#REF!</v>
      </c>
      <c r="K37" s="162">
        <f t="shared" si="21"/>
        <v>38.76</v>
      </c>
      <c r="L37" s="162">
        <f t="shared" si="10"/>
        <v>31.790000000000003</v>
      </c>
      <c r="M37" s="163">
        <v>375</v>
      </c>
      <c r="N37" s="163">
        <f t="shared" si="8"/>
        <v>17.312328767123287</v>
      </c>
      <c r="O37" s="162">
        <f t="shared" si="11"/>
        <v>39.49644</v>
      </c>
      <c r="P37" s="162">
        <f t="shared" si="12"/>
        <v>32.450000000000003</v>
      </c>
      <c r="Q37" s="163">
        <v>750</v>
      </c>
      <c r="R37" s="163">
        <f t="shared" si="0"/>
        <v>18.315068493150687</v>
      </c>
      <c r="S37" s="162">
        <f t="shared" si="13"/>
        <v>40.246872359999998</v>
      </c>
      <c r="T37" s="162">
        <f t="shared" si="14"/>
        <v>33.163900000000005</v>
      </c>
      <c r="U37" s="163">
        <v>1125</v>
      </c>
      <c r="V37" s="163">
        <f t="shared" si="1"/>
        <v>19.315068493150687</v>
      </c>
      <c r="W37" s="162">
        <f t="shared" si="15"/>
        <v>41.011562934840001</v>
      </c>
      <c r="X37" s="162">
        <f t="shared" si="16"/>
        <v>33.893505800000007</v>
      </c>
      <c r="Y37" s="163">
        <v>1425</v>
      </c>
      <c r="Z37" s="163">
        <f t="shared" si="2"/>
        <v>20.315068493150687</v>
      </c>
      <c r="AA37" s="165">
        <f t="shared" si="17"/>
        <v>41.79078263060196</v>
      </c>
      <c r="AB37" s="165">
        <f t="shared" si="18"/>
        <v>34.639162927600005</v>
      </c>
      <c r="AC37" s="163">
        <f t="shared" si="19"/>
        <v>1452.075</v>
      </c>
      <c r="AD37" s="158" t="e">
        <f t="shared" si="22"/>
        <v>#REF!</v>
      </c>
      <c r="AE37" s="158" t="e">
        <f t="shared" si="23"/>
        <v>#REF!</v>
      </c>
      <c r="AF37" s="158" t="e">
        <f t="shared" si="24"/>
        <v>#REF!</v>
      </c>
      <c r="AG37" s="158" t="e">
        <f t="shared" si="25"/>
        <v>#REF!</v>
      </c>
      <c r="AH37" s="158" t="e">
        <f t="shared" si="26"/>
        <v>#REF!</v>
      </c>
      <c r="AI37" s="166"/>
    </row>
    <row r="38" spans="1:35" ht="30" customHeight="1">
      <c r="A38" s="154">
        <v>36</v>
      </c>
      <c r="B38" s="154" t="s">
        <v>223</v>
      </c>
      <c r="C38" s="155">
        <v>39284</v>
      </c>
      <c r="D38" s="154" t="s">
        <v>133</v>
      </c>
      <c r="E38" s="154" t="s">
        <v>225</v>
      </c>
      <c r="F38" s="154">
        <v>100</v>
      </c>
      <c r="G38" s="157" t="s">
        <v>226</v>
      </c>
      <c r="H38" s="158" t="e">
        <f>+#REF!</f>
        <v>#REF!</v>
      </c>
      <c r="I38" s="158">
        <v>25458.2</v>
      </c>
      <c r="J38" s="158" t="e">
        <f t="shared" si="9"/>
        <v>#REF!</v>
      </c>
      <c r="K38" s="162">
        <f t="shared" si="21"/>
        <v>38.76</v>
      </c>
      <c r="L38" s="162">
        <f t="shared" si="10"/>
        <v>31.790000000000003</v>
      </c>
      <c r="M38" s="163">
        <v>375</v>
      </c>
      <c r="N38" s="163">
        <f t="shared" si="8"/>
        <v>16.457534246575342</v>
      </c>
      <c r="O38" s="162">
        <f t="shared" si="11"/>
        <v>39.49644</v>
      </c>
      <c r="P38" s="162">
        <f t="shared" si="12"/>
        <v>32.450000000000003</v>
      </c>
      <c r="Q38" s="163">
        <v>750</v>
      </c>
      <c r="R38" s="163">
        <f t="shared" si="0"/>
        <v>17.460273972602739</v>
      </c>
      <c r="S38" s="162">
        <f t="shared" si="13"/>
        <v>40.246872359999998</v>
      </c>
      <c r="T38" s="162">
        <f t="shared" si="14"/>
        <v>33.163900000000005</v>
      </c>
      <c r="U38" s="163">
        <v>1125</v>
      </c>
      <c r="V38" s="163">
        <f t="shared" si="1"/>
        <v>18.460273972602739</v>
      </c>
      <c r="W38" s="162">
        <f t="shared" si="15"/>
        <v>41.011562934840001</v>
      </c>
      <c r="X38" s="162">
        <f t="shared" si="16"/>
        <v>33.893505800000007</v>
      </c>
      <c r="Y38" s="163">
        <v>1425</v>
      </c>
      <c r="Z38" s="163">
        <f t="shared" si="2"/>
        <v>19.460273972602739</v>
      </c>
      <c r="AA38" s="165">
        <f t="shared" si="17"/>
        <v>41.79078263060196</v>
      </c>
      <c r="AB38" s="165">
        <f t="shared" si="18"/>
        <v>34.639162927600005</v>
      </c>
      <c r="AC38" s="163">
        <f t="shared" si="19"/>
        <v>1452.075</v>
      </c>
      <c r="AD38" s="158" t="e">
        <f t="shared" si="22"/>
        <v>#REF!</v>
      </c>
      <c r="AE38" s="158" t="e">
        <f t="shared" si="23"/>
        <v>#REF!</v>
      </c>
      <c r="AF38" s="158" t="e">
        <f t="shared" si="24"/>
        <v>#REF!</v>
      </c>
      <c r="AG38" s="158" t="e">
        <f t="shared" si="25"/>
        <v>#REF!</v>
      </c>
      <c r="AH38" s="158" t="e">
        <f t="shared" si="26"/>
        <v>#REF!</v>
      </c>
      <c r="AI38" s="166"/>
    </row>
    <row r="39" spans="1:35" ht="30" customHeight="1">
      <c r="A39" s="154">
        <v>37</v>
      </c>
      <c r="B39" s="154" t="s">
        <v>223</v>
      </c>
      <c r="C39" s="155">
        <v>38749</v>
      </c>
      <c r="D39" s="154" t="s">
        <v>233</v>
      </c>
      <c r="E39" s="154" t="s">
        <v>225</v>
      </c>
      <c r="F39" s="154">
        <v>100</v>
      </c>
      <c r="G39" s="157" t="s">
        <v>226</v>
      </c>
      <c r="H39" s="158" t="e">
        <f>+#REF!</f>
        <v>#REF!</v>
      </c>
      <c r="I39" s="158">
        <v>24491.59</v>
      </c>
      <c r="J39" s="158" t="e">
        <f t="shared" si="9"/>
        <v>#REF!</v>
      </c>
      <c r="K39" s="162">
        <f t="shared" si="21"/>
        <v>38.76</v>
      </c>
      <c r="L39" s="162">
        <f t="shared" si="10"/>
        <v>31.790000000000003</v>
      </c>
      <c r="M39" s="163">
        <v>375</v>
      </c>
      <c r="N39" s="163">
        <f t="shared" si="8"/>
        <v>17.923287671232877</v>
      </c>
      <c r="O39" s="162">
        <f t="shared" si="11"/>
        <v>39.49644</v>
      </c>
      <c r="P39" s="162">
        <f t="shared" si="12"/>
        <v>32.450000000000003</v>
      </c>
      <c r="Q39" s="163">
        <v>750</v>
      </c>
      <c r="R39" s="163" t="e">
        <f>(+R$1-#REF!)/365</f>
        <v>#REF!</v>
      </c>
      <c r="S39" s="162">
        <f t="shared" si="13"/>
        <v>40.246872359999998</v>
      </c>
      <c r="T39" s="162">
        <f t="shared" si="14"/>
        <v>33.163900000000005</v>
      </c>
      <c r="U39" s="163">
        <v>1125</v>
      </c>
      <c r="V39" s="163" t="e">
        <f>(+V$1-#REF!)/365</f>
        <v>#REF!</v>
      </c>
      <c r="W39" s="162">
        <f t="shared" si="15"/>
        <v>41.011562934840001</v>
      </c>
      <c r="X39" s="162">
        <f t="shared" si="16"/>
        <v>33.893505800000007</v>
      </c>
      <c r="Y39" s="163">
        <v>1425</v>
      </c>
      <c r="Z39" s="163" t="e">
        <f>(+Z$1-#REF!)/365</f>
        <v>#REF!</v>
      </c>
      <c r="AA39" s="165">
        <f t="shared" si="17"/>
        <v>41.79078263060196</v>
      </c>
      <c r="AB39" s="165">
        <f t="shared" si="18"/>
        <v>34.639162927600005</v>
      </c>
      <c r="AC39" s="163">
        <f t="shared" si="19"/>
        <v>1452.075</v>
      </c>
      <c r="AD39" s="158" t="e">
        <f t="shared" si="22"/>
        <v>#REF!</v>
      </c>
      <c r="AE39" s="158" t="e">
        <f t="shared" si="23"/>
        <v>#REF!</v>
      </c>
      <c r="AF39" s="158" t="e">
        <f t="shared" si="24"/>
        <v>#REF!</v>
      </c>
      <c r="AG39" s="158" t="e">
        <f t="shared" si="25"/>
        <v>#REF!</v>
      </c>
      <c r="AH39" s="158" t="e">
        <f t="shared" si="26"/>
        <v>#REF!</v>
      </c>
      <c r="AI39" s="166"/>
    </row>
    <row r="40" spans="1:35" ht="30" customHeight="1">
      <c r="A40" s="154">
        <v>38</v>
      </c>
      <c r="B40" s="154" t="s">
        <v>223</v>
      </c>
      <c r="C40" s="155">
        <v>39482</v>
      </c>
      <c r="D40" s="154" t="s">
        <v>234</v>
      </c>
      <c r="E40" s="154" t="s">
        <v>225</v>
      </c>
      <c r="F40" s="154">
        <v>100</v>
      </c>
      <c r="G40" s="157" t="s">
        <v>226</v>
      </c>
      <c r="H40" s="158" t="e">
        <f>+#REF!</f>
        <v>#REF!</v>
      </c>
      <c r="I40" s="158">
        <v>26698.34</v>
      </c>
      <c r="J40" s="158" t="e">
        <f t="shared" si="9"/>
        <v>#REF!</v>
      </c>
      <c r="K40" s="162">
        <f>1.85*12</f>
        <v>22.200000000000003</v>
      </c>
      <c r="L40" s="162">
        <f t="shared" si="10"/>
        <v>31.790000000000003</v>
      </c>
      <c r="M40" s="163">
        <v>375</v>
      </c>
      <c r="N40" s="163">
        <f t="shared" si="8"/>
        <v>15.915068493150685</v>
      </c>
      <c r="O40" s="162">
        <f t="shared" si="11"/>
        <v>22.621800000000004</v>
      </c>
      <c r="P40" s="162">
        <f t="shared" si="12"/>
        <v>32.450000000000003</v>
      </c>
      <c r="Q40" s="163">
        <v>750</v>
      </c>
      <c r="R40" s="163">
        <f>(+R$1-C39)/365</f>
        <v>18.926027397260274</v>
      </c>
      <c r="S40" s="162">
        <f t="shared" si="13"/>
        <v>23.051614200000003</v>
      </c>
      <c r="T40" s="162">
        <f t="shared" si="14"/>
        <v>33.163900000000005</v>
      </c>
      <c r="U40" s="163">
        <v>1125</v>
      </c>
      <c r="V40" s="163">
        <f>(+V$1-C39)/365</f>
        <v>19.926027397260274</v>
      </c>
      <c r="W40" s="162">
        <f t="shared" si="15"/>
        <v>23.489594869800005</v>
      </c>
      <c r="X40" s="162">
        <f t="shared" si="16"/>
        <v>33.893505800000007</v>
      </c>
      <c r="Y40" s="163">
        <v>1425</v>
      </c>
      <c r="Z40" s="163">
        <f>(+Z$1-C39)/365</f>
        <v>20.926027397260274</v>
      </c>
      <c r="AA40" s="165">
        <f t="shared" si="17"/>
        <v>23.935897172326204</v>
      </c>
      <c r="AB40" s="165">
        <f t="shared" si="18"/>
        <v>34.639162927600005</v>
      </c>
      <c r="AC40" s="163">
        <f t="shared" si="19"/>
        <v>1452.075</v>
      </c>
      <c r="AD40" s="158" t="e">
        <f t="shared" si="22"/>
        <v>#REF!</v>
      </c>
      <c r="AE40" s="158" t="e">
        <f t="shared" si="23"/>
        <v>#REF!</v>
      </c>
      <c r="AF40" s="158" t="e">
        <f t="shared" si="24"/>
        <v>#REF!</v>
      </c>
      <c r="AG40" s="158" t="e">
        <f t="shared" si="25"/>
        <v>#REF!</v>
      </c>
      <c r="AH40" s="158" t="e">
        <f t="shared" si="26"/>
        <v>#REF!</v>
      </c>
      <c r="AI40" s="166"/>
    </row>
    <row r="41" spans="1:35" ht="30" customHeight="1">
      <c r="A41" s="154">
        <v>52</v>
      </c>
      <c r="B41" s="154" t="s">
        <v>235</v>
      </c>
      <c r="C41" s="155">
        <v>44927</v>
      </c>
      <c r="D41" s="156" t="s">
        <v>224</v>
      </c>
      <c r="E41" s="154" t="s">
        <v>225</v>
      </c>
      <c r="F41" s="154">
        <v>100</v>
      </c>
      <c r="G41" s="157" t="s">
        <v>226</v>
      </c>
      <c r="H41" s="158">
        <v>16405.060000000001</v>
      </c>
      <c r="I41" s="158">
        <v>22097.62</v>
      </c>
      <c r="J41" s="158">
        <f t="shared" si="9"/>
        <v>1.3470002547994337</v>
      </c>
      <c r="K41" s="162">
        <v>24.82</v>
      </c>
      <c r="L41" s="162">
        <f t="shared" si="10"/>
        <v>31.790000000000003</v>
      </c>
      <c r="M41" s="163">
        <v>375</v>
      </c>
      <c r="N41" s="163">
        <f t="shared" ref="N41:N52" si="27">(+N$1-C41)/365</f>
        <v>0.99726027397260275</v>
      </c>
      <c r="O41" s="162">
        <v>0.68</v>
      </c>
      <c r="P41" s="162">
        <f t="shared" si="12"/>
        <v>32.450000000000003</v>
      </c>
      <c r="Q41" s="163">
        <v>750</v>
      </c>
      <c r="R41" s="163">
        <f t="shared" ref="R41:R52" si="28">(+R$1-C41)/365</f>
        <v>2</v>
      </c>
      <c r="S41" s="162">
        <f t="shared" si="13"/>
        <v>0.69292000000000009</v>
      </c>
      <c r="T41" s="162">
        <f t="shared" si="14"/>
        <v>33.163900000000005</v>
      </c>
      <c r="U41" s="163">
        <v>1125</v>
      </c>
      <c r="V41" s="163">
        <f t="shared" ref="V41:V52" si="29">(+V$1-C41)/365</f>
        <v>3</v>
      </c>
      <c r="W41" s="162">
        <f t="shared" si="15"/>
        <v>0.70608548000000004</v>
      </c>
      <c r="X41" s="162">
        <f t="shared" si="16"/>
        <v>33.893505800000007</v>
      </c>
      <c r="Y41" s="163">
        <v>1425</v>
      </c>
      <c r="Z41" s="163">
        <f t="shared" ref="Z41:Z52" si="30">(+Z$1-C41)/365</f>
        <v>4</v>
      </c>
      <c r="AA41" s="165">
        <f t="shared" si="17"/>
        <v>0.71950110412000001</v>
      </c>
      <c r="AB41" s="165">
        <f t="shared" si="18"/>
        <v>34.639162927600005</v>
      </c>
      <c r="AC41" s="163">
        <f t="shared" si="19"/>
        <v>1452.075</v>
      </c>
      <c r="AD41" s="158">
        <f t="shared" si="22"/>
        <v>16836.670000000002</v>
      </c>
      <c r="AE41" s="158">
        <f t="shared" si="23"/>
        <v>17188.190000000002</v>
      </c>
      <c r="AF41" s="158">
        <f t="shared" si="24"/>
        <v>17563.916820000002</v>
      </c>
      <c r="AG41" s="158">
        <f t="shared" si="25"/>
        <v>17864.65959128</v>
      </c>
      <c r="AH41" s="158">
        <f t="shared" si="26"/>
        <v>23388.449135672607</v>
      </c>
      <c r="AI41" s="154" t="s">
        <v>236</v>
      </c>
    </row>
    <row r="42" spans="1:35" ht="30" customHeight="1">
      <c r="A42" s="154">
        <v>53</v>
      </c>
      <c r="B42" s="154" t="s">
        <v>235</v>
      </c>
      <c r="C42" s="155">
        <v>44927</v>
      </c>
      <c r="D42" s="156" t="s">
        <v>224</v>
      </c>
      <c r="E42" s="154" t="s">
        <v>225</v>
      </c>
      <c r="F42" s="154">
        <v>100</v>
      </c>
      <c r="G42" s="157" t="s">
        <v>226</v>
      </c>
      <c r="H42" s="158">
        <v>17334.009999999998</v>
      </c>
      <c r="I42" s="158">
        <v>23348.91</v>
      </c>
      <c r="J42" s="158">
        <f t="shared" si="9"/>
        <v>1.3469999151956185</v>
      </c>
      <c r="K42" s="162">
        <v>24.82</v>
      </c>
      <c r="L42" s="162">
        <f t="shared" si="10"/>
        <v>31.790000000000003</v>
      </c>
      <c r="M42" s="163">
        <v>375</v>
      </c>
      <c r="N42" s="163">
        <f t="shared" si="27"/>
        <v>0.99726027397260275</v>
      </c>
      <c r="O42" s="162">
        <v>0.68</v>
      </c>
      <c r="P42" s="162">
        <f t="shared" si="12"/>
        <v>32.450000000000003</v>
      </c>
      <c r="Q42" s="163">
        <v>750</v>
      </c>
      <c r="R42" s="163">
        <f t="shared" si="28"/>
        <v>2</v>
      </c>
      <c r="S42" s="162">
        <f t="shared" si="13"/>
        <v>0.69292000000000009</v>
      </c>
      <c r="T42" s="162">
        <f t="shared" si="14"/>
        <v>33.163900000000005</v>
      </c>
      <c r="U42" s="163">
        <v>1125</v>
      </c>
      <c r="V42" s="163">
        <f t="shared" si="29"/>
        <v>3</v>
      </c>
      <c r="W42" s="162">
        <f t="shared" si="15"/>
        <v>0.70608548000000004</v>
      </c>
      <c r="X42" s="162">
        <f t="shared" si="16"/>
        <v>33.893505800000007</v>
      </c>
      <c r="Y42" s="163">
        <v>1425</v>
      </c>
      <c r="Z42" s="163">
        <f t="shared" si="30"/>
        <v>4</v>
      </c>
      <c r="AA42" s="165">
        <f t="shared" si="17"/>
        <v>0.71950110412000001</v>
      </c>
      <c r="AB42" s="165">
        <f t="shared" si="18"/>
        <v>34.639162927600005</v>
      </c>
      <c r="AC42" s="163">
        <f t="shared" si="19"/>
        <v>1452.075</v>
      </c>
      <c r="AD42" s="158">
        <f t="shared" si="22"/>
        <v>17765.62</v>
      </c>
      <c r="AE42" s="158">
        <f t="shared" si="23"/>
        <v>18117.14</v>
      </c>
      <c r="AF42" s="158">
        <f t="shared" si="24"/>
        <v>18492.866819999999</v>
      </c>
      <c r="AG42" s="158">
        <f t="shared" si="25"/>
        <v>18793.609591279997</v>
      </c>
      <c r="AH42" s="158">
        <f t="shared" si="26"/>
        <v>24639.738810230574</v>
      </c>
      <c r="AI42" s="154" t="s">
        <v>237</v>
      </c>
    </row>
    <row r="43" spans="1:35" ht="30" customHeight="1">
      <c r="A43" s="154">
        <v>54</v>
      </c>
      <c r="B43" s="154" t="s">
        <v>235</v>
      </c>
      <c r="C43" s="155">
        <v>44927</v>
      </c>
      <c r="D43" s="156" t="s">
        <v>224</v>
      </c>
      <c r="E43" s="154" t="s">
        <v>225</v>
      </c>
      <c r="F43" s="154">
        <v>100</v>
      </c>
      <c r="G43" s="157" t="s">
        <v>226</v>
      </c>
      <c r="H43" s="158">
        <v>16405.060000000001</v>
      </c>
      <c r="I43" s="158">
        <v>22097.62</v>
      </c>
      <c r="J43" s="158">
        <f t="shared" si="9"/>
        <v>1.3470002547994337</v>
      </c>
      <c r="K43" s="162">
        <v>24.82</v>
      </c>
      <c r="L43" s="162">
        <f t="shared" si="10"/>
        <v>31.790000000000003</v>
      </c>
      <c r="M43" s="163">
        <v>375</v>
      </c>
      <c r="N43" s="163">
        <f t="shared" si="27"/>
        <v>0.99726027397260275</v>
      </c>
      <c r="O43" s="162">
        <v>0.68</v>
      </c>
      <c r="P43" s="162">
        <f t="shared" si="12"/>
        <v>32.450000000000003</v>
      </c>
      <c r="Q43" s="163">
        <v>750</v>
      </c>
      <c r="R43" s="163">
        <f t="shared" si="28"/>
        <v>2</v>
      </c>
      <c r="S43" s="162">
        <f t="shared" si="13"/>
        <v>0.69292000000000009</v>
      </c>
      <c r="T43" s="162">
        <f t="shared" si="14"/>
        <v>33.163900000000005</v>
      </c>
      <c r="U43" s="163">
        <v>1125</v>
      </c>
      <c r="V43" s="163">
        <f t="shared" si="29"/>
        <v>3</v>
      </c>
      <c r="W43" s="162">
        <f t="shared" si="15"/>
        <v>0.70608548000000004</v>
      </c>
      <c r="X43" s="162">
        <f t="shared" si="16"/>
        <v>33.893505800000007</v>
      </c>
      <c r="Y43" s="163">
        <v>1425</v>
      </c>
      <c r="Z43" s="163">
        <f t="shared" si="30"/>
        <v>4</v>
      </c>
      <c r="AA43" s="165">
        <f t="shared" si="17"/>
        <v>0.71950110412000001</v>
      </c>
      <c r="AB43" s="165">
        <f t="shared" si="18"/>
        <v>34.639162927600005</v>
      </c>
      <c r="AC43" s="163">
        <f t="shared" si="19"/>
        <v>1452.075</v>
      </c>
      <c r="AD43" s="158">
        <f t="shared" si="22"/>
        <v>16836.670000000002</v>
      </c>
      <c r="AE43" s="158">
        <f t="shared" si="23"/>
        <v>17188.190000000002</v>
      </c>
      <c r="AF43" s="158">
        <f t="shared" si="24"/>
        <v>17563.916820000002</v>
      </c>
      <c r="AG43" s="158">
        <f t="shared" si="25"/>
        <v>17864.65959128</v>
      </c>
      <c r="AH43" s="158">
        <f t="shared" si="26"/>
        <v>23388.449135672607</v>
      </c>
      <c r="AI43" s="154" t="s">
        <v>238</v>
      </c>
    </row>
    <row r="44" spans="1:35" ht="30" customHeight="1">
      <c r="A44" s="154">
        <v>55</v>
      </c>
      <c r="B44" s="154" t="s">
        <v>235</v>
      </c>
      <c r="C44" s="155">
        <v>44927</v>
      </c>
      <c r="D44" s="156" t="s">
        <v>224</v>
      </c>
      <c r="E44" s="154" t="s">
        <v>225</v>
      </c>
      <c r="F44" s="154">
        <v>100</v>
      </c>
      <c r="G44" s="157" t="s">
        <v>226</v>
      </c>
      <c r="H44" s="158">
        <v>17334.009999999998</v>
      </c>
      <c r="I44" s="158">
        <v>23348.91</v>
      </c>
      <c r="J44" s="158">
        <f t="shared" si="9"/>
        <v>1.3469999151956185</v>
      </c>
      <c r="K44" s="162">
        <v>24.82</v>
      </c>
      <c r="L44" s="162">
        <f t="shared" si="10"/>
        <v>31.790000000000003</v>
      </c>
      <c r="M44" s="163">
        <v>375</v>
      </c>
      <c r="N44" s="163">
        <f t="shared" si="27"/>
        <v>0.99726027397260275</v>
      </c>
      <c r="O44" s="162">
        <v>0.68</v>
      </c>
      <c r="P44" s="162">
        <f t="shared" si="12"/>
        <v>32.450000000000003</v>
      </c>
      <c r="Q44" s="163">
        <v>750</v>
      </c>
      <c r="R44" s="163">
        <f t="shared" si="28"/>
        <v>2</v>
      </c>
      <c r="S44" s="162">
        <f t="shared" si="13"/>
        <v>0.69292000000000009</v>
      </c>
      <c r="T44" s="162">
        <f t="shared" si="14"/>
        <v>33.163900000000005</v>
      </c>
      <c r="U44" s="163">
        <v>1125</v>
      </c>
      <c r="V44" s="163">
        <f t="shared" si="29"/>
        <v>3</v>
      </c>
      <c r="W44" s="162">
        <f t="shared" si="15"/>
        <v>0.70608548000000004</v>
      </c>
      <c r="X44" s="162">
        <f t="shared" si="16"/>
        <v>33.893505800000007</v>
      </c>
      <c r="Y44" s="163">
        <v>1425</v>
      </c>
      <c r="Z44" s="163">
        <f t="shared" si="30"/>
        <v>4</v>
      </c>
      <c r="AA44" s="165">
        <f t="shared" si="17"/>
        <v>0.71950110412000001</v>
      </c>
      <c r="AB44" s="165">
        <f t="shared" si="18"/>
        <v>34.639162927600005</v>
      </c>
      <c r="AC44" s="163">
        <f t="shared" si="19"/>
        <v>1452.075</v>
      </c>
      <c r="AD44" s="158">
        <f t="shared" si="22"/>
        <v>17765.62</v>
      </c>
      <c r="AE44" s="158">
        <f t="shared" si="23"/>
        <v>18117.14</v>
      </c>
      <c r="AF44" s="158">
        <f t="shared" si="24"/>
        <v>18492.866819999999</v>
      </c>
      <c r="AG44" s="158">
        <f t="shared" si="25"/>
        <v>18793.609591279997</v>
      </c>
      <c r="AH44" s="158">
        <f t="shared" si="26"/>
        <v>24639.738810230574</v>
      </c>
      <c r="AI44" s="154" t="s">
        <v>239</v>
      </c>
    </row>
    <row r="45" spans="1:35" ht="30" customHeight="1">
      <c r="A45" s="154">
        <v>56</v>
      </c>
      <c r="B45" s="154" t="s">
        <v>235</v>
      </c>
      <c r="C45" s="155">
        <v>44927</v>
      </c>
      <c r="D45" s="156" t="s">
        <v>224</v>
      </c>
      <c r="E45" s="154" t="s">
        <v>225</v>
      </c>
      <c r="F45" s="154">
        <v>100</v>
      </c>
      <c r="G45" s="157" t="s">
        <v>226</v>
      </c>
      <c r="H45" s="158">
        <v>17334.009999999998</v>
      </c>
      <c r="I45" s="158">
        <v>23348.91</v>
      </c>
      <c r="J45" s="158">
        <f t="shared" si="9"/>
        <v>1.3469999151956185</v>
      </c>
      <c r="K45" s="162">
        <v>24.82</v>
      </c>
      <c r="L45" s="162">
        <f t="shared" si="10"/>
        <v>31.790000000000003</v>
      </c>
      <c r="M45" s="163">
        <v>375</v>
      </c>
      <c r="N45" s="163">
        <f t="shared" si="27"/>
        <v>0.99726027397260275</v>
      </c>
      <c r="O45" s="162">
        <v>0.68</v>
      </c>
      <c r="P45" s="162">
        <f t="shared" si="12"/>
        <v>32.450000000000003</v>
      </c>
      <c r="Q45" s="163">
        <v>750</v>
      </c>
      <c r="R45" s="163">
        <f t="shared" si="28"/>
        <v>2</v>
      </c>
      <c r="S45" s="162">
        <f t="shared" si="13"/>
        <v>0.69292000000000009</v>
      </c>
      <c r="T45" s="162">
        <f t="shared" si="14"/>
        <v>33.163900000000005</v>
      </c>
      <c r="U45" s="163">
        <v>1125</v>
      </c>
      <c r="V45" s="163">
        <f t="shared" si="29"/>
        <v>3</v>
      </c>
      <c r="W45" s="162">
        <f t="shared" si="15"/>
        <v>0.70608548000000004</v>
      </c>
      <c r="X45" s="162">
        <f t="shared" si="16"/>
        <v>33.893505800000007</v>
      </c>
      <c r="Y45" s="163">
        <v>1425</v>
      </c>
      <c r="Z45" s="163">
        <f t="shared" si="30"/>
        <v>4</v>
      </c>
      <c r="AA45" s="165">
        <f t="shared" si="17"/>
        <v>0.71950110412000001</v>
      </c>
      <c r="AB45" s="165">
        <f t="shared" si="18"/>
        <v>34.639162927600005</v>
      </c>
      <c r="AC45" s="163">
        <f t="shared" si="19"/>
        <v>1452.075</v>
      </c>
      <c r="AD45" s="158">
        <f t="shared" si="22"/>
        <v>17765.62</v>
      </c>
      <c r="AE45" s="158">
        <f t="shared" si="23"/>
        <v>18117.14</v>
      </c>
      <c r="AF45" s="158">
        <f t="shared" si="24"/>
        <v>18492.866819999999</v>
      </c>
      <c r="AG45" s="158">
        <f t="shared" si="25"/>
        <v>18793.609591279997</v>
      </c>
      <c r="AH45" s="158">
        <f t="shared" si="26"/>
        <v>24639.738810230574</v>
      </c>
      <c r="AI45" s="154" t="s">
        <v>240</v>
      </c>
    </row>
    <row r="46" spans="1:35" ht="30" customHeight="1">
      <c r="A46" s="154">
        <v>57</v>
      </c>
      <c r="B46" s="154" t="s">
        <v>235</v>
      </c>
      <c r="C46" s="155">
        <v>44927</v>
      </c>
      <c r="D46" s="156" t="s">
        <v>227</v>
      </c>
      <c r="E46" s="154" t="s">
        <v>225</v>
      </c>
      <c r="F46" s="154">
        <v>100</v>
      </c>
      <c r="G46" s="157" t="s">
        <v>226</v>
      </c>
      <c r="H46" s="158">
        <v>17334.009999999998</v>
      </c>
      <c r="I46" s="158">
        <v>23348.91</v>
      </c>
      <c r="J46" s="158">
        <f t="shared" si="9"/>
        <v>1.3469999151956185</v>
      </c>
      <c r="K46" s="162">
        <v>24.82</v>
      </c>
      <c r="L46" s="162">
        <f t="shared" si="10"/>
        <v>31.790000000000003</v>
      </c>
      <c r="M46" s="163">
        <v>375</v>
      </c>
      <c r="N46" s="163">
        <f t="shared" si="27"/>
        <v>0.99726027397260275</v>
      </c>
      <c r="O46" s="162">
        <v>0.68</v>
      </c>
      <c r="P46" s="162">
        <f t="shared" si="12"/>
        <v>32.450000000000003</v>
      </c>
      <c r="Q46" s="163">
        <v>750</v>
      </c>
      <c r="R46" s="163">
        <f t="shared" si="28"/>
        <v>2</v>
      </c>
      <c r="S46" s="162">
        <f t="shared" si="13"/>
        <v>0.69292000000000009</v>
      </c>
      <c r="T46" s="162">
        <f t="shared" si="14"/>
        <v>33.163900000000005</v>
      </c>
      <c r="U46" s="163">
        <v>1125</v>
      </c>
      <c r="V46" s="163">
        <f t="shared" si="29"/>
        <v>3</v>
      </c>
      <c r="W46" s="162">
        <f t="shared" si="15"/>
        <v>0.70608548000000004</v>
      </c>
      <c r="X46" s="162">
        <f t="shared" si="16"/>
        <v>33.893505800000007</v>
      </c>
      <c r="Y46" s="163">
        <v>1425</v>
      </c>
      <c r="Z46" s="163">
        <f t="shared" si="30"/>
        <v>4</v>
      </c>
      <c r="AA46" s="165">
        <f t="shared" si="17"/>
        <v>0.71950110412000001</v>
      </c>
      <c r="AB46" s="165">
        <f t="shared" si="18"/>
        <v>34.639162927600005</v>
      </c>
      <c r="AC46" s="163">
        <f t="shared" si="19"/>
        <v>1452.075</v>
      </c>
      <c r="AD46" s="158">
        <f t="shared" si="22"/>
        <v>17765.62</v>
      </c>
      <c r="AE46" s="158">
        <f t="shared" si="23"/>
        <v>18117.14</v>
      </c>
      <c r="AF46" s="158">
        <f t="shared" si="24"/>
        <v>18492.866819999999</v>
      </c>
      <c r="AG46" s="158">
        <f t="shared" si="25"/>
        <v>18793.609591279997</v>
      </c>
      <c r="AH46" s="158">
        <f t="shared" si="26"/>
        <v>24639.738810230574</v>
      </c>
      <c r="AI46" s="154" t="s">
        <v>241</v>
      </c>
    </row>
    <row r="47" spans="1:35" ht="30" customHeight="1">
      <c r="A47" s="154">
        <v>58</v>
      </c>
      <c r="B47" s="154" t="s">
        <v>235</v>
      </c>
      <c r="C47" s="155">
        <v>44927</v>
      </c>
      <c r="D47" s="156" t="s">
        <v>227</v>
      </c>
      <c r="E47" s="154" t="s">
        <v>225</v>
      </c>
      <c r="F47" s="154">
        <v>100</v>
      </c>
      <c r="G47" s="157" t="s">
        <v>226</v>
      </c>
      <c r="H47" s="158">
        <v>7174.89</v>
      </c>
      <c r="I47" s="158">
        <v>9664.58</v>
      </c>
      <c r="J47" s="158">
        <f t="shared" si="9"/>
        <v>1.3470004418186201</v>
      </c>
      <c r="K47" s="162">
        <v>24.82</v>
      </c>
      <c r="L47" s="162">
        <f t="shared" si="10"/>
        <v>31.790000000000003</v>
      </c>
      <c r="M47" s="163">
        <v>375</v>
      </c>
      <c r="N47" s="163">
        <f t="shared" si="27"/>
        <v>0.99726027397260275</v>
      </c>
      <c r="O47" s="162">
        <v>0.68</v>
      </c>
      <c r="P47" s="162">
        <f t="shared" si="12"/>
        <v>32.450000000000003</v>
      </c>
      <c r="Q47" s="163">
        <v>750</v>
      </c>
      <c r="R47" s="163">
        <f t="shared" si="28"/>
        <v>2</v>
      </c>
      <c r="S47" s="162">
        <f t="shared" si="13"/>
        <v>0.69292000000000009</v>
      </c>
      <c r="T47" s="162">
        <f t="shared" si="14"/>
        <v>33.163900000000005</v>
      </c>
      <c r="U47" s="163">
        <v>1125</v>
      </c>
      <c r="V47" s="163">
        <f t="shared" si="29"/>
        <v>3</v>
      </c>
      <c r="W47" s="162">
        <f t="shared" si="15"/>
        <v>0.70608548000000004</v>
      </c>
      <c r="X47" s="162">
        <f t="shared" si="16"/>
        <v>33.893505800000007</v>
      </c>
      <c r="Y47" s="163">
        <v>1425</v>
      </c>
      <c r="Z47" s="163">
        <f t="shared" si="30"/>
        <v>4</v>
      </c>
      <c r="AA47" s="165">
        <f t="shared" si="17"/>
        <v>0.71950110412000001</v>
      </c>
      <c r="AB47" s="165">
        <f t="shared" si="18"/>
        <v>34.639162927600005</v>
      </c>
      <c r="AC47" s="163">
        <f t="shared" si="19"/>
        <v>1452.075</v>
      </c>
      <c r="AD47" s="158">
        <f t="shared" si="22"/>
        <v>7606.5</v>
      </c>
      <c r="AE47" s="158">
        <f t="shared" si="23"/>
        <v>7958.02</v>
      </c>
      <c r="AF47" s="158">
        <f t="shared" si="24"/>
        <v>8333.7468200000003</v>
      </c>
      <c r="AG47" s="158">
        <f t="shared" si="25"/>
        <v>8634.4895912800002</v>
      </c>
      <c r="AH47" s="158">
        <f t="shared" si="26"/>
        <v>10955.409314892928</v>
      </c>
      <c r="AI47" s="154" t="s">
        <v>242</v>
      </c>
    </row>
    <row r="48" spans="1:35" ht="30" customHeight="1">
      <c r="A48" s="154">
        <v>59</v>
      </c>
      <c r="B48" s="154" t="s">
        <v>235</v>
      </c>
      <c r="C48" s="155">
        <v>44927</v>
      </c>
      <c r="D48" s="156" t="s">
        <v>227</v>
      </c>
      <c r="E48" s="154" t="s">
        <v>225</v>
      </c>
      <c r="F48" s="154">
        <v>100</v>
      </c>
      <c r="G48" s="157" t="s">
        <v>226</v>
      </c>
      <c r="H48" s="158">
        <v>17334.009999999998</v>
      </c>
      <c r="I48" s="158">
        <v>23348.91</v>
      </c>
      <c r="J48" s="158">
        <f t="shared" si="9"/>
        <v>1.3469999151956185</v>
      </c>
      <c r="K48" s="162">
        <v>24.82</v>
      </c>
      <c r="L48" s="162">
        <f t="shared" si="10"/>
        <v>31.790000000000003</v>
      </c>
      <c r="M48" s="163">
        <v>375</v>
      </c>
      <c r="N48" s="163">
        <f t="shared" si="27"/>
        <v>0.99726027397260275</v>
      </c>
      <c r="O48" s="162">
        <v>0.68</v>
      </c>
      <c r="P48" s="162">
        <f t="shared" si="12"/>
        <v>32.450000000000003</v>
      </c>
      <c r="Q48" s="163">
        <v>750</v>
      </c>
      <c r="R48" s="163">
        <f t="shared" si="28"/>
        <v>2</v>
      </c>
      <c r="S48" s="162">
        <f t="shared" si="13"/>
        <v>0.69292000000000009</v>
      </c>
      <c r="T48" s="162">
        <f t="shared" si="14"/>
        <v>33.163900000000005</v>
      </c>
      <c r="U48" s="163">
        <v>1125</v>
      </c>
      <c r="V48" s="163">
        <f t="shared" si="29"/>
        <v>3</v>
      </c>
      <c r="W48" s="162">
        <f t="shared" si="15"/>
        <v>0.70608548000000004</v>
      </c>
      <c r="X48" s="162">
        <f t="shared" si="16"/>
        <v>33.893505800000007</v>
      </c>
      <c r="Y48" s="163">
        <v>1425</v>
      </c>
      <c r="Z48" s="163">
        <f t="shared" si="30"/>
        <v>4</v>
      </c>
      <c r="AA48" s="165">
        <f t="shared" si="17"/>
        <v>0.71950110412000001</v>
      </c>
      <c r="AB48" s="165">
        <f t="shared" si="18"/>
        <v>34.639162927600005</v>
      </c>
      <c r="AC48" s="163">
        <f t="shared" si="19"/>
        <v>1452.075</v>
      </c>
      <c r="AD48" s="158">
        <f t="shared" si="22"/>
        <v>17765.62</v>
      </c>
      <c r="AE48" s="158">
        <f t="shared" si="23"/>
        <v>18117.14</v>
      </c>
      <c r="AF48" s="158">
        <f t="shared" si="24"/>
        <v>18492.866819999999</v>
      </c>
      <c r="AG48" s="158">
        <f t="shared" si="25"/>
        <v>18793.609591279997</v>
      </c>
      <c r="AH48" s="158">
        <f t="shared" si="26"/>
        <v>24639.738810230574</v>
      </c>
      <c r="AI48" s="166"/>
    </row>
    <row r="49" spans="1:35" ht="30" customHeight="1">
      <c r="A49" s="154">
        <v>60</v>
      </c>
      <c r="B49" s="154" t="s">
        <v>235</v>
      </c>
      <c r="C49" s="155">
        <v>44927</v>
      </c>
      <c r="D49" s="156" t="s">
        <v>227</v>
      </c>
      <c r="E49" s="154" t="s">
        <v>225</v>
      </c>
      <c r="F49" s="154">
        <v>100</v>
      </c>
      <c r="G49" s="157" t="s">
        <v>226</v>
      </c>
      <c r="H49" s="158">
        <v>16405.060000000001</v>
      </c>
      <c r="I49" s="158">
        <v>22097.62</v>
      </c>
      <c r="J49" s="158">
        <f t="shared" si="9"/>
        <v>1.3470002547994337</v>
      </c>
      <c r="K49" s="162">
        <v>24.82</v>
      </c>
      <c r="L49" s="162">
        <f t="shared" si="10"/>
        <v>31.790000000000003</v>
      </c>
      <c r="M49" s="163">
        <v>375</v>
      </c>
      <c r="N49" s="163">
        <f t="shared" si="27"/>
        <v>0.99726027397260275</v>
      </c>
      <c r="O49" s="162">
        <v>0.68</v>
      </c>
      <c r="P49" s="162">
        <f t="shared" si="12"/>
        <v>32.450000000000003</v>
      </c>
      <c r="Q49" s="163">
        <v>750</v>
      </c>
      <c r="R49" s="163">
        <f t="shared" si="28"/>
        <v>2</v>
      </c>
      <c r="S49" s="162">
        <f t="shared" si="13"/>
        <v>0.69292000000000009</v>
      </c>
      <c r="T49" s="162">
        <f t="shared" si="14"/>
        <v>33.163900000000005</v>
      </c>
      <c r="U49" s="163">
        <v>1125</v>
      </c>
      <c r="V49" s="163">
        <f t="shared" si="29"/>
        <v>3</v>
      </c>
      <c r="W49" s="162">
        <f t="shared" si="15"/>
        <v>0.70608548000000004</v>
      </c>
      <c r="X49" s="162">
        <f t="shared" si="16"/>
        <v>33.893505800000007</v>
      </c>
      <c r="Y49" s="163">
        <v>1425</v>
      </c>
      <c r="Z49" s="163">
        <f t="shared" si="30"/>
        <v>4</v>
      </c>
      <c r="AA49" s="165">
        <f t="shared" si="17"/>
        <v>0.71950110412000001</v>
      </c>
      <c r="AB49" s="165">
        <f t="shared" si="18"/>
        <v>34.639162927600005</v>
      </c>
      <c r="AC49" s="163">
        <f t="shared" si="19"/>
        <v>1452.075</v>
      </c>
      <c r="AD49" s="158">
        <f t="shared" si="22"/>
        <v>16836.670000000002</v>
      </c>
      <c r="AE49" s="158">
        <f t="shared" si="23"/>
        <v>17188.190000000002</v>
      </c>
      <c r="AF49" s="158">
        <f t="shared" si="24"/>
        <v>17563.916820000002</v>
      </c>
      <c r="AG49" s="158">
        <f t="shared" si="25"/>
        <v>17864.65959128</v>
      </c>
      <c r="AH49" s="158">
        <f t="shared" si="26"/>
        <v>23388.449135672607</v>
      </c>
      <c r="AI49" s="154" t="s">
        <v>243</v>
      </c>
    </row>
    <row r="50" spans="1:35" ht="30" customHeight="1">
      <c r="A50" s="154">
        <v>61</v>
      </c>
      <c r="B50" s="154" t="s">
        <v>235</v>
      </c>
      <c r="C50" s="155">
        <v>44927</v>
      </c>
      <c r="D50" s="154" t="s">
        <v>229</v>
      </c>
      <c r="E50" s="154" t="s">
        <v>225</v>
      </c>
      <c r="F50" s="154">
        <v>100</v>
      </c>
      <c r="G50" s="157" t="s">
        <v>226</v>
      </c>
      <c r="H50" s="158">
        <v>17334.009999999998</v>
      </c>
      <c r="I50" s="158">
        <v>23348.91</v>
      </c>
      <c r="J50" s="158">
        <f t="shared" si="9"/>
        <v>1.3469999151956185</v>
      </c>
      <c r="K50" s="162">
        <v>0</v>
      </c>
      <c r="L50" s="162">
        <f t="shared" si="10"/>
        <v>31.790000000000003</v>
      </c>
      <c r="M50" s="163">
        <v>375</v>
      </c>
      <c r="N50" s="163">
        <f t="shared" si="27"/>
        <v>0.99726027397260275</v>
      </c>
      <c r="O50" s="162">
        <v>25.32</v>
      </c>
      <c r="P50" s="162">
        <f t="shared" si="12"/>
        <v>32.450000000000003</v>
      </c>
      <c r="Q50" s="163">
        <v>750</v>
      </c>
      <c r="R50" s="163">
        <f t="shared" si="28"/>
        <v>2</v>
      </c>
      <c r="S50" s="162">
        <v>0.68</v>
      </c>
      <c r="T50" s="162">
        <f t="shared" si="14"/>
        <v>33.163900000000005</v>
      </c>
      <c r="U50" s="163">
        <v>1125</v>
      </c>
      <c r="V50" s="163">
        <f t="shared" si="29"/>
        <v>3</v>
      </c>
      <c r="W50" s="162">
        <f t="shared" si="15"/>
        <v>0.69292000000000009</v>
      </c>
      <c r="X50" s="162">
        <f t="shared" si="16"/>
        <v>33.893505800000007</v>
      </c>
      <c r="Y50" s="163">
        <v>1425</v>
      </c>
      <c r="Z50" s="163">
        <f t="shared" si="30"/>
        <v>4</v>
      </c>
      <c r="AA50" s="165">
        <f t="shared" si="17"/>
        <v>0.70608548000000004</v>
      </c>
      <c r="AB50" s="165">
        <f t="shared" si="18"/>
        <v>34.639162927600005</v>
      </c>
      <c r="AC50" s="163">
        <f t="shared" si="19"/>
        <v>1452.075</v>
      </c>
      <c r="AD50" s="158">
        <f t="shared" si="22"/>
        <v>17740.8</v>
      </c>
      <c r="AE50" s="158">
        <f t="shared" si="23"/>
        <v>18141.78</v>
      </c>
      <c r="AF50" s="158">
        <f t="shared" si="24"/>
        <v>18492.853899999998</v>
      </c>
      <c r="AG50" s="158">
        <f t="shared" si="25"/>
        <v>18793.596425799999</v>
      </c>
      <c r="AH50" s="158">
        <f t="shared" si="26"/>
        <v>24639.669410949562</v>
      </c>
      <c r="AI50" s="154" t="s">
        <v>244</v>
      </c>
    </row>
    <row r="51" spans="1:35" ht="30" customHeight="1">
      <c r="A51" s="154">
        <v>62</v>
      </c>
      <c r="B51" s="154" t="s">
        <v>235</v>
      </c>
      <c r="C51" s="155">
        <v>44927</v>
      </c>
      <c r="D51" s="154" t="s">
        <v>229</v>
      </c>
      <c r="E51" s="154" t="s">
        <v>225</v>
      </c>
      <c r="F51" s="154">
        <v>100</v>
      </c>
      <c r="G51" s="157" t="s">
        <v>226</v>
      </c>
      <c r="H51" s="158">
        <v>16405.060000000001</v>
      </c>
      <c r="I51" s="158">
        <v>22097.62</v>
      </c>
      <c r="J51" s="158">
        <f t="shared" si="9"/>
        <v>1.3470002547994337</v>
      </c>
      <c r="K51" s="162">
        <v>0</v>
      </c>
      <c r="L51" s="162">
        <f t="shared" si="10"/>
        <v>31.790000000000003</v>
      </c>
      <c r="M51" s="163">
        <v>375</v>
      </c>
      <c r="N51" s="163">
        <f t="shared" si="27"/>
        <v>0.99726027397260275</v>
      </c>
      <c r="O51" s="162">
        <v>25.32</v>
      </c>
      <c r="P51" s="162">
        <f t="shared" si="12"/>
        <v>32.450000000000003</v>
      </c>
      <c r="Q51" s="163">
        <v>750</v>
      </c>
      <c r="R51" s="163">
        <f t="shared" si="28"/>
        <v>2</v>
      </c>
      <c r="S51" s="162">
        <v>0.68</v>
      </c>
      <c r="T51" s="162">
        <f t="shared" si="14"/>
        <v>33.163900000000005</v>
      </c>
      <c r="U51" s="163">
        <v>1125</v>
      </c>
      <c r="V51" s="163">
        <f t="shared" si="29"/>
        <v>3</v>
      </c>
      <c r="W51" s="162">
        <f t="shared" si="15"/>
        <v>0.69292000000000009</v>
      </c>
      <c r="X51" s="162">
        <f t="shared" si="16"/>
        <v>33.893505800000007</v>
      </c>
      <c r="Y51" s="163">
        <v>1425</v>
      </c>
      <c r="Z51" s="163">
        <f t="shared" si="30"/>
        <v>4</v>
      </c>
      <c r="AA51" s="165">
        <f t="shared" si="17"/>
        <v>0.70608548000000004</v>
      </c>
      <c r="AB51" s="165">
        <f t="shared" si="18"/>
        <v>34.639162927600005</v>
      </c>
      <c r="AC51" s="163">
        <f t="shared" si="19"/>
        <v>1452.075</v>
      </c>
      <c r="AD51" s="158">
        <f t="shared" si="22"/>
        <v>16811.850000000002</v>
      </c>
      <c r="AE51" s="158">
        <f t="shared" si="23"/>
        <v>17212.830000000002</v>
      </c>
      <c r="AF51" s="158">
        <f t="shared" si="24"/>
        <v>17563.903900000001</v>
      </c>
      <c r="AG51" s="158">
        <f t="shared" si="25"/>
        <v>17864.646425800001</v>
      </c>
      <c r="AH51" s="158">
        <f t="shared" si="26"/>
        <v>23388.379736374096</v>
      </c>
      <c r="AI51" s="154" t="s">
        <v>245</v>
      </c>
    </row>
    <row r="52" spans="1:35" ht="30" customHeight="1">
      <c r="A52" s="154">
        <v>63</v>
      </c>
      <c r="B52" s="154" t="s">
        <v>235</v>
      </c>
      <c r="C52" s="155">
        <v>44927</v>
      </c>
      <c r="D52" s="154" t="s">
        <v>229</v>
      </c>
      <c r="E52" s="154" t="s">
        <v>225</v>
      </c>
      <c r="F52" s="154">
        <v>100</v>
      </c>
      <c r="G52" s="157" t="s">
        <v>226</v>
      </c>
      <c r="H52" s="158">
        <v>17334.009999999998</v>
      </c>
      <c r="I52" s="158">
        <v>23348.91</v>
      </c>
      <c r="J52" s="158">
        <f t="shared" si="9"/>
        <v>1.3469999151956185</v>
      </c>
      <c r="K52" s="162">
        <v>0</v>
      </c>
      <c r="L52" s="162">
        <f t="shared" si="10"/>
        <v>31.790000000000003</v>
      </c>
      <c r="M52" s="163">
        <v>375</v>
      </c>
      <c r="N52" s="163">
        <f t="shared" si="27"/>
        <v>0.99726027397260275</v>
      </c>
      <c r="O52" s="162">
        <v>25.32</v>
      </c>
      <c r="P52" s="162">
        <f t="shared" si="12"/>
        <v>32.450000000000003</v>
      </c>
      <c r="Q52" s="163">
        <v>750</v>
      </c>
      <c r="R52" s="163">
        <f t="shared" si="28"/>
        <v>2</v>
      </c>
      <c r="S52" s="162">
        <v>0.68</v>
      </c>
      <c r="T52" s="162">
        <f t="shared" si="14"/>
        <v>33.163900000000005</v>
      </c>
      <c r="U52" s="163">
        <v>1125</v>
      </c>
      <c r="V52" s="163">
        <f t="shared" si="29"/>
        <v>3</v>
      </c>
      <c r="W52" s="162">
        <f t="shared" si="15"/>
        <v>0.69292000000000009</v>
      </c>
      <c r="X52" s="162">
        <f t="shared" si="16"/>
        <v>33.893505800000007</v>
      </c>
      <c r="Y52" s="163">
        <v>1425</v>
      </c>
      <c r="Z52" s="163">
        <f t="shared" si="30"/>
        <v>4</v>
      </c>
      <c r="AA52" s="165">
        <f t="shared" si="17"/>
        <v>0.70608548000000004</v>
      </c>
      <c r="AB52" s="165">
        <f t="shared" si="18"/>
        <v>34.639162927600005</v>
      </c>
      <c r="AC52" s="163">
        <f t="shared" si="19"/>
        <v>1452.075</v>
      </c>
      <c r="AD52" s="158">
        <f t="shared" si="22"/>
        <v>17740.8</v>
      </c>
      <c r="AE52" s="158">
        <f t="shared" si="23"/>
        <v>18141.78</v>
      </c>
      <c r="AF52" s="158">
        <f t="shared" si="24"/>
        <v>18492.853899999998</v>
      </c>
      <c r="AG52" s="158">
        <f t="shared" si="25"/>
        <v>18793.596425799999</v>
      </c>
      <c r="AH52" s="158">
        <f t="shared" si="26"/>
        <v>24639.669410949562</v>
      </c>
      <c r="AI52" s="154" t="s">
        <v>246</v>
      </c>
    </row>
    <row r="53" spans="1:35" ht="14.4">
      <c r="AE53" s="677" t="s">
        <v>247</v>
      </c>
      <c r="AF53" s="677"/>
      <c r="AG53" s="677"/>
      <c r="AH53" s="167" t="e">
        <f>SUM(AH3:AH52)</f>
        <v>#REF!</v>
      </c>
    </row>
  </sheetData>
  <mergeCells count="1">
    <mergeCell ref="AE53:AG5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1454817346722"/>
    <pageSetUpPr fitToPage="1"/>
  </sheetPr>
  <dimension ref="A1:U511"/>
  <sheetViews>
    <sheetView showGridLines="0" view="pageBreakPreview" zoomScale="60" zoomScaleNormal="100" workbookViewId="0">
      <selection activeCell="W40" sqref="W40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0" width="5.6640625" style="48" customWidth="1"/>
    <col min="11" max="11" width="6.44140625" style="48" customWidth="1"/>
    <col min="12" max="15" width="5.6640625" style="48" customWidth="1"/>
    <col min="16" max="18" width="3.33203125" style="48" customWidth="1"/>
    <col min="19" max="16384" width="11.44140625" style="48"/>
  </cols>
  <sheetData>
    <row r="1" spans="2:21" ht="15" customHeight="1">
      <c r="B1" s="597" t="s">
        <v>248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</row>
    <row r="2" spans="2:21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21" ht="22.5" customHeight="1">
      <c r="B3" s="657" t="s">
        <v>98</v>
      </c>
      <c r="C3" s="658"/>
      <c r="D3" s="602" t="s">
        <v>249</v>
      </c>
      <c r="E3" s="603"/>
      <c r="F3" s="603"/>
      <c r="G3" s="604"/>
      <c r="H3" s="602" t="s">
        <v>250</v>
      </c>
      <c r="I3" s="603"/>
      <c r="J3" s="603"/>
      <c r="K3" s="604"/>
      <c r="L3" s="602" t="s">
        <v>51</v>
      </c>
      <c r="M3" s="603"/>
      <c r="N3" s="603"/>
      <c r="O3" s="604"/>
    </row>
    <row r="4" spans="2:21" ht="15" customHeight="1">
      <c r="B4" s="51" t="s">
        <v>251</v>
      </c>
      <c r="C4" s="89" t="s">
        <v>252</v>
      </c>
      <c r="D4" s="681">
        <f>SUM('B.1.Vehículos'!X7:X46)</f>
        <v>0</v>
      </c>
      <c r="E4" s="682"/>
      <c r="F4" s="682"/>
      <c r="G4" s="683"/>
      <c r="H4" s="681">
        <f>SUM('B.1.Vehículos'!AN7:AN46)</f>
        <v>0</v>
      </c>
      <c r="I4" s="682"/>
      <c r="J4" s="682"/>
      <c r="K4" s="683"/>
      <c r="L4" s="684">
        <f>H4+D4</f>
        <v>0</v>
      </c>
      <c r="M4" s="684"/>
      <c r="N4" s="684"/>
      <c r="O4" s="684"/>
    </row>
    <row r="5" spans="2:21" ht="15" customHeight="1">
      <c r="B5" s="51" t="s">
        <v>253</v>
      </c>
      <c r="C5" s="89" t="s">
        <v>254</v>
      </c>
      <c r="D5" s="681">
        <f>SUM('B.2.Maquinaria'!X7:X98)</f>
        <v>0</v>
      </c>
      <c r="E5" s="682"/>
      <c r="F5" s="682"/>
      <c r="G5" s="683"/>
      <c r="H5" s="681">
        <f>SUM('B.2.Maquinaria'!AN7:AN98)</f>
        <v>0</v>
      </c>
      <c r="I5" s="682"/>
      <c r="J5" s="682"/>
      <c r="K5" s="683"/>
      <c r="L5" s="684">
        <f>H5+D5</f>
        <v>0</v>
      </c>
      <c r="M5" s="684"/>
      <c r="N5" s="684"/>
      <c r="O5" s="684"/>
    </row>
    <row r="6" spans="2:21" s="48" customFormat="1" ht="15" customHeight="1">
      <c r="B6" s="592" t="s">
        <v>255</v>
      </c>
      <c r="C6" s="592"/>
      <c r="D6" s="678"/>
      <c r="E6" s="679"/>
      <c r="F6" s="679"/>
      <c r="G6" s="679"/>
      <c r="H6" s="678"/>
      <c r="I6" s="679"/>
      <c r="J6" s="679"/>
      <c r="K6" s="679"/>
      <c r="L6" s="680">
        <f>L4+L5</f>
        <v>0</v>
      </c>
      <c r="M6" s="680"/>
      <c r="N6" s="680"/>
      <c r="O6" s="680"/>
    </row>
    <row r="7" spans="2:21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21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2:21" s="46" customFormat="1" ht="15" customHeight="1">
      <c r="B9" s="47"/>
      <c r="C9" s="72" t="s">
        <v>256</v>
      </c>
      <c r="D9" s="509">
        <f>'Caracteristicas Contrato'!E16</f>
        <v>0.05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2:21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2:21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2:21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2:21" s="46" customFormat="1" ht="41.4" customHeight="1">
      <c r="B13" s="691" t="s">
        <v>1032</v>
      </c>
      <c r="C13" s="692"/>
      <c r="D13" s="693" t="s">
        <v>1033</v>
      </c>
      <c r="E13" s="694"/>
      <c r="F13" s="694"/>
      <c r="G13" s="695"/>
      <c r="H13" s="693" t="s">
        <v>1034</v>
      </c>
      <c r="I13" s="694"/>
      <c r="J13" s="694"/>
      <c r="K13" s="695"/>
      <c r="L13" s="693" t="s">
        <v>1035</v>
      </c>
      <c r="M13" s="694"/>
      <c r="N13" s="694"/>
      <c r="O13" s="695"/>
      <c r="P13" s="693" t="s">
        <v>1036</v>
      </c>
      <c r="Q13" s="694"/>
      <c r="R13" s="694"/>
      <c r="S13" s="695"/>
      <c r="T13" s="693" t="s">
        <v>51</v>
      </c>
      <c r="U13" s="695"/>
    </row>
    <row r="14" spans="2:21" s="46" customFormat="1" ht="15" customHeight="1">
      <c r="B14" s="442" t="s">
        <v>251</v>
      </c>
      <c r="C14" s="443" t="s">
        <v>252</v>
      </c>
      <c r="D14" s="687">
        <f>'B.1.Vehículos'!S53</f>
        <v>0</v>
      </c>
      <c r="E14" s="688"/>
      <c r="F14" s="688"/>
      <c r="G14" s="689"/>
      <c r="H14" s="687">
        <f>'B.1.Vehículos'!AJ54</f>
        <v>0</v>
      </c>
      <c r="I14" s="688"/>
      <c r="J14" s="688"/>
      <c r="K14" s="689"/>
      <c r="L14" s="687">
        <f>'B.1.Vehículos'!AH53</f>
        <v>0</v>
      </c>
      <c r="M14" s="688"/>
      <c r="N14" s="688"/>
      <c r="O14" s="689"/>
      <c r="P14" s="687">
        <f>'B.1.Vehículos'!U54</f>
        <v>0</v>
      </c>
      <c r="Q14" s="688"/>
      <c r="R14" s="688"/>
      <c r="S14" s="689"/>
      <c r="T14" s="690">
        <f>P14+L14+H14+D14</f>
        <v>0</v>
      </c>
      <c r="U14" s="690"/>
    </row>
    <row r="15" spans="2:21" s="46" customFormat="1" ht="15" customHeight="1">
      <c r="B15" s="442" t="s">
        <v>253</v>
      </c>
      <c r="C15" s="443" t="s">
        <v>254</v>
      </c>
      <c r="D15" s="687">
        <f>'B.2.Maquinaria'!S103</f>
        <v>0</v>
      </c>
      <c r="E15" s="688"/>
      <c r="F15" s="688"/>
      <c r="G15" s="689"/>
      <c r="H15" s="687">
        <f>'B.2.Maquinaria'!AJ104</f>
        <v>0</v>
      </c>
      <c r="I15" s="688"/>
      <c r="J15" s="688"/>
      <c r="K15" s="689"/>
      <c r="L15" s="687">
        <f>'B.2.Maquinaria'!AH103</f>
        <v>0</v>
      </c>
      <c r="M15" s="688"/>
      <c r="N15" s="688"/>
      <c r="O15" s="689"/>
      <c r="P15" s="687">
        <f>'B.2.Maquinaria'!U104</f>
        <v>0</v>
      </c>
      <c r="Q15" s="688"/>
      <c r="R15" s="688"/>
      <c r="S15" s="689"/>
      <c r="T15" s="690">
        <f>P15+L15+H15+D15</f>
        <v>0</v>
      </c>
      <c r="U15" s="690"/>
    </row>
    <row r="16" spans="2:21" s="46" customFormat="1" ht="15" customHeight="1">
      <c r="B16" s="686" t="s">
        <v>255</v>
      </c>
      <c r="C16" s="686"/>
      <c r="D16" s="685">
        <f>D14+D15</f>
        <v>0</v>
      </c>
      <c r="E16" s="685"/>
      <c r="F16" s="685"/>
      <c r="G16" s="685"/>
      <c r="H16" s="685">
        <f t="shared" ref="H16" si="0">H14+H15</f>
        <v>0</v>
      </c>
      <c r="I16" s="685"/>
      <c r="J16" s="685"/>
      <c r="K16" s="685"/>
      <c r="L16" s="685">
        <f t="shared" ref="L16" si="1">L14+L15</f>
        <v>0</v>
      </c>
      <c r="M16" s="685"/>
      <c r="N16" s="685"/>
      <c r="O16" s="685"/>
      <c r="P16" s="685">
        <f t="shared" ref="P16" si="2">P14+P15</f>
        <v>0</v>
      </c>
      <c r="Q16" s="685"/>
      <c r="R16" s="685"/>
      <c r="S16" s="685"/>
      <c r="T16" s="685">
        <f>T15+T14</f>
        <v>0</v>
      </c>
      <c r="U16" s="685"/>
    </row>
    <row r="17" spans="2:15" s="46" customFormat="1" ht="15" customHeight="1">
      <c r="B17" s="441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spans="2:15" s="46" customFormat="1" ht="15" customHeight="1">
      <c r="B18" s="441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2:15" s="46" customFormat="1" ht="30" customHeight="1">
      <c r="B19" s="691" t="s">
        <v>1032</v>
      </c>
      <c r="C19" s="692"/>
      <c r="D19" s="693" t="s">
        <v>1037</v>
      </c>
      <c r="E19" s="694"/>
      <c r="F19" s="694"/>
      <c r="G19" s="695"/>
      <c r="H19" s="693" t="s">
        <v>1038</v>
      </c>
      <c r="I19" s="694"/>
      <c r="J19" s="694"/>
      <c r="K19" s="695"/>
      <c r="L19" s="693" t="s">
        <v>51</v>
      </c>
      <c r="M19" s="694"/>
      <c r="N19" s="694"/>
      <c r="O19" s="695"/>
    </row>
    <row r="20" spans="2:15" s="46" customFormat="1" ht="15" customHeight="1">
      <c r="B20" s="442" t="s">
        <v>251</v>
      </c>
      <c r="C20" s="443" t="s">
        <v>252</v>
      </c>
      <c r="D20" s="687">
        <f>'B.1.Vehículos'!P51</f>
        <v>0</v>
      </c>
      <c r="E20" s="688"/>
      <c r="F20" s="688"/>
      <c r="G20" s="689"/>
      <c r="H20" s="687">
        <f>'B.1.Vehículos'!R52</f>
        <v>0</v>
      </c>
      <c r="I20" s="688"/>
      <c r="J20" s="688"/>
      <c r="K20" s="689"/>
      <c r="L20" s="690">
        <f>D20+H20</f>
        <v>0</v>
      </c>
      <c r="M20" s="690"/>
      <c r="N20" s="690"/>
      <c r="O20" s="690"/>
    </row>
    <row r="21" spans="2:15" s="46" customFormat="1" ht="15" customHeight="1">
      <c r="B21" s="442" t="s">
        <v>253</v>
      </c>
      <c r="C21" s="443" t="s">
        <v>254</v>
      </c>
      <c r="D21" s="687">
        <f>'B.2.Maquinaria'!P101</f>
        <v>0</v>
      </c>
      <c r="E21" s="688"/>
      <c r="F21" s="688"/>
      <c r="G21" s="689"/>
      <c r="H21" s="687">
        <f>'B.2.Maquinaria'!R102</f>
        <v>0</v>
      </c>
      <c r="I21" s="688"/>
      <c r="J21" s="688"/>
      <c r="K21" s="689"/>
      <c r="L21" s="690">
        <f>D21+H21</f>
        <v>0</v>
      </c>
      <c r="M21" s="690"/>
      <c r="N21" s="690"/>
      <c r="O21" s="690"/>
    </row>
    <row r="22" spans="2:15" s="46" customFormat="1" ht="15" customHeight="1">
      <c r="B22" s="686" t="s">
        <v>255</v>
      </c>
      <c r="C22" s="686"/>
      <c r="D22" s="685">
        <f>D21+D20</f>
        <v>0</v>
      </c>
      <c r="E22" s="685"/>
      <c r="F22" s="685"/>
      <c r="G22" s="685"/>
      <c r="H22" s="685">
        <f>H21+H20</f>
        <v>0</v>
      </c>
      <c r="I22" s="685"/>
      <c r="J22" s="685"/>
      <c r="K22" s="685"/>
      <c r="L22" s="685">
        <f>L20+L21</f>
        <v>0</v>
      </c>
      <c r="M22" s="685"/>
      <c r="N22" s="685"/>
      <c r="O22" s="685"/>
    </row>
    <row r="23" spans="2:15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2:15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2:15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2:15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64"/>
      <c r="O27" s="48"/>
    </row>
    <row r="28" spans="2:15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5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2:15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2:15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2:15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2:15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2:15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2:15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2:15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15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2:15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2:15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2:15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2:15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2:15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2:15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2:15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2:15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2:15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2:15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  <row r="61" spans="2:15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  <row r="62" spans="2:15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15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  <row r="64" spans="2:15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5" spans="2:15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5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  <row r="67" spans="2:15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2:15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2:15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5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</row>
    <row r="71" spans="2:15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  <row r="72" spans="2:15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2:15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  <row r="74" spans="2:15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  <row r="75" spans="2:15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  <row r="76" spans="2:15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2:15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2:15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2:15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2:15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5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2:15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  <row r="83" spans="2:15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2:15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  <row r="85" spans="2:15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  <row r="86" spans="2:15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  <row r="87" spans="2:15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  <row r="88" spans="2:15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  <row r="89" spans="2:15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2:15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  <row r="91" spans="2:15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  <row r="92" spans="2:15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2:15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  <row r="94" spans="2:15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2:15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2:15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2:15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5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0" spans="2:15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2:15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2:15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2:15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2:15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2:15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2:15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2:15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2:15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2:15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2:15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2:15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5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2:15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2:15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2:15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2:15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2:15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2:15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2:15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2:15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  <row r="125" spans="2:15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2:15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2:15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2:15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  <row r="129" spans="2:15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  <row r="130" spans="2:15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  <row r="131" spans="2:15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  <row r="132" spans="2:15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</row>
    <row r="133" spans="2:15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  <row r="134" spans="2:15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</row>
    <row r="135" spans="2:15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5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  <row r="137" spans="2:15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  <row r="138" spans="2:15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  <row r="139" spans="2:15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  <row r="140" spans="2:15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</row>
    <row r="141" spans="2:15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  <row r="142" spans="2:15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  <row r="143" spans="2:15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2:15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  <row r="145" spans="2:15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  <row r="146" spans="2:15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  <row r="147" spans="2:15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  <row r="148" spans="2:15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  <row r="149" spans="2:15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  <row r="150" spans="2:15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2:15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2:15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  <row r="153" spans="2:15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</row>
    <row r="154" spans="2:15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  <row r="155" spans="2:15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  <row r="156" spans="2:15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2:15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2:15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2:15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2:15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  <row r="161" spans="2:15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  <row r="162" spans="2:15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  <row r="163" spans="2:15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</row>
    <row r="164" spans="2:15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  <row r="165" spans="2:15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  <row r="166" spans="2:15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  <row r="167" spans="2:15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  <row r="168" spans="2:15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2:15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2:15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2:15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  <row r="172" spans="2:15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2:15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  <row r="174" spans="2:15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2:15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2:15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2:15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2:15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2:15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</row>
    <row r="180" spans="2:15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</row>
    <row r="181" spans="2:15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2" spans="2:15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</row>
    <row r="183" spans="2:15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</row>
    <row r="184" spans="2:15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</row>
    <row r="185" spans="2:15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  <row r="186" spans="2:15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  <row r="187" spans="2:15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  <row r="188" spans="2:15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  <row r="189" spans="2:15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</row>
    <row r="190" spans="2:15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</row>
    <row r="191" spans="2:15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  <row r="192" spans="2:15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  <row r="193" spans="2:15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</row>
    <row r="194" spans="2:15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</row>
    <row r="195" spans="2:15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</row>
    <row r="196" spans="2:15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</row>
    <row r="197" spans="2:15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</row>
    <row r="198" spans="2:15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  <row r="199" spans="2:15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</row>
    <row r="200" spans="2:15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  <row r="201" spans="2:15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  <row r="202" spans="2:15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</row>
    <row r="203" spans="2:15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  <row r="204" spans="2:15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</row>
    <row r="205" spans="2:15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</row>
    <row r="206" spans="2:15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  <row r="207" spans="2:15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2:15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</row>
    <row r="209" spans="2:15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2:15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</row>
    <row r="211" spans="2:15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2:15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</row>
    <row r="213" spans="2:15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</row>
    <row r="214" spans="2:15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</row>
    <row r="215" spans="2:15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</row>
    <row r="216" spans="2:15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</row>
    <row r="217" spans="2:15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2:15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2:15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  <row r="220" spans="2:15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2:15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2:15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</row>
    <row r="223" spans="2:15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</row>
    <row r="224" spans="2:15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</row>
    <row r="225" spans="2:15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</row>
    <row r="226" spans="2:15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</row>
    <row r="227" spans="2:15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</row>
    <row r="228" spans="2:15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</row>
    <row r="229" spans="2:15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2:15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2:15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2:15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2:15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2:15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2:15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2:15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2:15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2:15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2:15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</row>
    <row r="240" spans="2:15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</row>
    <row r="241" spans="2:15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2:15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2:15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2:15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2:15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2:15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2:15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2:15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2:15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2:15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2:15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</row>
    <row r="252" spans="2:15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</row>
    <row r="253" spans="2:15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</row>
    <row r="254" spans="2:15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2:15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2:15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2:15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2:15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2:15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2:15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2:15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2:15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2:15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2:15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2:15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6" spans="2:15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</row>
    <row r="267" spans="2:15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</row>
    <row r="268" spans="2:15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</row>
    <row r="269" spans="2:15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</row>
    <row r="270" spans="2:15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</row>
    <row r="271" spans="2:15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</row>
    <row r="272" spans="2:15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</row>
    <row r="273" spans="2:15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</row>
    <row r="274" spans="2:15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</row>
    <row r="275" spans="2:15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</row>
    <row r="276" spans="2:15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</row>
    <row r="277" spans="2:15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</row>
    <row r="278" spans="2:15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2:15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2:15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</row>
    <row r="281" spans="2:15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</row>
    <row r="282" spans="2:15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2:15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2:15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</row>
    <row r="285" spans="2:15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</row>
    <row r="286" spans="2:15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</row>
    <row r="287" spans="2:15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</row>
    <row r="288" spans="2:15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</row>
    <row r="289" spans="2:15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</row>
    <row r="290" spans="2:15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</row>
    <row r="291" spans="2:15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</row>
    <row r="292" spans="2:15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</row>
    <row r="293" spans="2:15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</row>
    <row r="294" spans="2:15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5" spans="2:15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</row>
    <row r="296" spans="2:15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</row>
    <row r="297" spans="2:15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</row>
    <row r="298" spans="2:15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</row>
    <row r="299" spans="2:15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</row>
    <row r="300" spans="2:15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2:15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2:15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</row>
    <row r="303" spans="2:15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</row>
    <row r="304" spans="2:15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</row>
    <row r="305" spans="2:15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</row>
    <row r="306" spans="2:15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</row>
    <row r="307" spans="2:15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</row>
    <row r="308" spans="2:15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</row>
    <row r="309" spans="2:15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</row>
    <row r="310" spans="2:15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2:15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2:15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2:15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2:15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2:15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2:15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2:15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2:15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2:15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2:15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2:15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2:15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2:15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2:15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2:15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2:15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2:15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2:15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2:15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2:15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2:15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2:15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2:15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2:15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2:15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2:15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2:15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2:15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2:15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2:15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2:15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</row>
    <row r="343" spans="2:15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</row>
    <row r="344" spans="2:15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2:15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2:15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2:15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2:15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2:15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2:15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2:15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2:15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2:15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2:15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5" spans="2:15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</row>
    <row r="356" spans="2:15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</row>
    <row r="357" spans="2:15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</row>
    <row r="358" spans="2:15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</row>
    <row r="359" spans="2:15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</row>
    <row r="360" spans="2:15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</row>
    <row r="361" spans="2:15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</row>
    <row r="362" spans="2:15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</row>
    <row r="363" spans="2:15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</row>
    <row r="364" spans="2:15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</row>
    <row r="365" spans="2:15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</row>
    <row r="366" spans="2:15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2:15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2:15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</row>
    <row r="369" spans="2:15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</row>
    <row r="370" spans="2:15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</row>
    <row r="371" spans="2:15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</row>
    <row r="372" spans="2:15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</row>
    <row r="373" spans="2:15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</row>
    <row r="374" spans="2:15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</row>
    <row r="375" spans="2:15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</row>
    <row r="376" spans="2:15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</row>
    <row r="377" spans="2:15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</row>
    <row r="378" spans="2:15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</row>
    <row r="379" spans="2:15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</row>
    <row r="380" spans="2:15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</row>
    <row r="381" spans="2:15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</row>
    <row r="382" spans="2:15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</row>
    <row r="383" spans="2:15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</row>
    <row r="384" spans="2:15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</row>
    <row r="385" spans="2:15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</row>
    <row r="386" spans="2:15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</row>
    <row r="387" spans="2:15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</row>
    <row r="388" spans="2:15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</row>
    <row r="389" spans="2:15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</row>
    <row r="390" spans="2:15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</row>
    <row r="391" spans="2:15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</row>
    <row r="392" spans="2:15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</row>
    <row r="393" spans="2:15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</row>
    <row r="394" spans="2:15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</row>
    <row r="395" spans="2:15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</row>
    <row r="396" spans="2:15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</row>
    <row r="397" spans="2:15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</row>
    <row r="398" spans="2:15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</row>
    <row r="399" spans="2:15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</row>
    <row r="400" spans="2:15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2:15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2:15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</row>
    <row r="403" spans="2:15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</row>
    <row r="404" spans="2:15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2:15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2:15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2:15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2:15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2:15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2:15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2:15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2:15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2:15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2:15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2:15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2:15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2:15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2:15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2:15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2:15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2:15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2:15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2:15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2:15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2:15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2:15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2:15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2:15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2:15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2:15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2:15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2:15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2:15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2:15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2:15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2:15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2:15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2:15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2:15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2:15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2:15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2:15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2:15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2:15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2:15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2:15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2:15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2:15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2:15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2:15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2:15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2:15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2:15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2:15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2:15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2:15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2:15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2:15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2:15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2:15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2:15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2:15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2:15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2:15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2:15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2:15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2:15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2:15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2:15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2:15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2:15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2:15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2:15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2:15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2:15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2:15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2:15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2:15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2:15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2:15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2:15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2:15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3" spans="2:15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</row>
    <row r="484" spans="2:15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</row>
    <row r="485" spans="2:15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</row>
    <row r="486" spans="2:15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</row>
    <row r="487" spans="2:15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</row>
    <row r="488" spans="2:15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</row>
    <row r="489" spans="2:15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</row>
    <row r="490" spans="2:15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</row>
    <row r="491" spans="2:15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</row>
    <row r="492" spans="2:15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</row>
    <row r="493" spans="2:15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</row>
    <row r="494" spans="2:15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</row>
    <row r="495" spans="2:15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</row>
    <row r="496" spans="2:15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</row>
    <row r="497" spans="2:15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</row>
    <row r="498" spans="2:15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2:15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2:15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</row>
    <row r="501" spans="2:15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</row>
    <row r="502" spans="2:15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</row>
    <row r="503" spans="2:15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</row>
    <row r="504" spans="2:15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</row>
    <row r="505" spans="2:15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</row>
    <row r="506" spans="2:15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</row>
    <row r="507" spans="2:15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</row>
    <row r="508" spans="2:15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</row>
    <row r="509" spans="2:15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</row>
    <row r="510" spans="2:15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</row>
    <row r="511" spans="2:15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</row>
  </sheetData>
  <mergeCells count="51">
    <mergeCell ref="P15:S15"/>
    <mergeCell ref="T15:U15"/>
    <mergeCell ref="B16:C16"/>
    <mergeCell ref="D16:G16"/>
    <mergeCell ref="P16:S16"/>
    <mergeCell ref="T16:U16"/>
    <mergeCell ref="H15:K15"/>
    <mergeCell ref="H16:K16"/>
    <mergeCell ref="L15:O15"/>
    <mergeCell ref="L16:O16"/>
    <mergeCell ref="P13:S13"/>
    <mergeCell ref="T13:U13"/>
    <mergeCell ref="D14:G14"/>
    <mergeCell ref="P14:S14"/>
    <mergeCell ref="T14:U14"/>
    <mergeCell ref="H13:K13"/>
    <mergeCell ref="H14:K14"/>
    <mergeCell ref="L13:O13"/>
    <mergeCell ref="L14:O14"/>
    <mergeCell ref="D20:G20"/>
    <mergeCell ref="H20:K20"/>
    <mergeCell ref="L20:O20"/>
    <mergeCell ref="B13:C13"/>
    <mergeCell ref="D13:G13"/>
    <mergeCell ref="D15:G15"/>
    <mergeCell ref="B19:C19"/>
    <mergeCell ref="D19:G19"/>
    <mergeCell ref="H19:K19"/>
    <mergeCell ref="L19:O19"/>
    <mergeCell ref="L22:O22"/>
    <mergeCell ref="B22:C22"/>
    <mergeCell ref="D22:G22"/>
    <mergeCell ref="H22:K22"/>
    <mergeCell ref="D21:G21"/>
    <mergeCell ref="H21:K21"/>
    <mergeCell ref="L21:O21"/>
    <mergeCell ref="B6:C6"/>
    <mergeCell ref="D6:G6"/>
    <mergeCell ref="H6:K6"/>
    <mergeCell ref="L6:O6"/>
    <mergeCell ref="D4:G4"/>
    <mergeCell ref="H4:K4"/>
    <mergeCell ref="L4:O4"/>
    <mergeCell ref="D5:G5"/>
    <mergeCell ref="H5:K5"/>
    <mergeCell ref="L5:O5"/>
    <mergeCell ref="B1:O1"/>
    <mergeCell ref="B3:C3"/>
    <mergeCell ref="D3:G3"/>
    <mergeCell ref="H3:K3"/>
    <mergeCell ref="L3:O3"/>
  </mergeCells>
  <pageMargins left="0.511811023622047" right="0.511811023622047" top="0.55118110236220497" bottom="0.55118110236220497" header="0.31496062992126" footer="0.31496062992126"/>
  <pageSetup paperSize="9" scale="4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39991454817346722"/>
  </sheetPr>
  <dimension ref="A2:P59"/>
  <sheetViews>
    <sheetView zoomScale="80" zoomScaleNormal="80" workbookViewId="0">
      <selection activeCell="J29" sqref="J29"/>
    </sheetView>
  </sheetViews>
  <sheetFormatPr baseColWidth="10" defaultColWidth="11.44140625" defaultRowHeight="14.4"/>
  <cols>
    <col min="1" max="1" width="2" style="48" customWidth="1"/>
    <col min="2" max="2" width="11.44140625" style="48"/>
    <col min="3" max="3" width="13" style="48" customWidth="1"/>
    <col min="4" max="4" width="11.44140625" style="48"/>
    <col min="5" max="5" width="13.5546875" style="48" customWidth="1"/>
    <col min="6" max="7" width="14" style="48" customWidth="1"/>
    <col min="8" max="8" width="14.88671875" style="47" customWidth="1"/>
    <col min="9" max="12" width="11.44140625" style="47" customWidth="1"/>
    <col min="13" max="16384" width="11.44140625" style="48"/>
  </cols>
  <sheetData>
    <row r="2" spans="1:15">
      <c r="A2" s="13"/>
      <c r="B2" s="597" t="s">
        <v>257</v>
      </c>
      <c r="C2" s="597"/>
      <c r="D2" s="597"/>
      <c r="E2" s="597"/>
      <c r="F2" s="15"/>
      <c r="G2" s="15"/>
      <c r="N2" s="15"/>
      <c r="O2" s="15"/>
    </row>
    <row r="3" spans="1:15" ht="3.75" customHeight="1">
      <c r="A3" s="13"/>
      <c r="B3" s="13"/>
      <c r="E3" s="15"/>
      <c r="F3" s="15"/>
      <c r="G3" s="15"/>
      <c r="N3" s="15"/>
      <c r="O3" s="15"/>
    </row>
    <row r="4" spans="1:15" ht="12.75" customHeight="1">
      <c r="A4" s="13"/>
      <c r="B4" s="696" t="s">
        <v>258</v>
      </c>
      <c r="C4" s="698"/>
      <c r="D4" s="703" t="s">
        <v>259</v>
      </c>
      <c r="E4" s="15"/>
      <c r="F4" s="15"/>
      <c r="G4" s="15"/>
      <c r="N4" s="15"/>
      <c r="O4" s="15"/>
    </row>
    <row r="5" spans="1:15" ht="25.5" customHeight="1">
      <c r="A5" s="13"/>
      <c r="B5" s="697"/>
      <c r="C5" s="699"/>
      <c r="D5" s="704"/>
      <c r="E5" s="15"/>
      <c r="F5" s="15"/>
      <c r="G5" s="15"/>
      <c r="M5" s="142"/>
      <c r="N5" s="15"/>
      <c r="O5" s="15"/>
    </row>
    <row r="6" spans="1:15">
      <c r="A6" s="13"/>
      <c r="B6" s="247" t="s">
        <v>260</v>
      </c>
      <c r="C6" s="248" t="s">
        <v>261</v>
      </c>
      <c r="D6" s="249" t="s">
        <v>262</v>
      </c>
      <c r="F6" s="15"/>
      <c r="G6" s="15"/>
      <c r="N6" s="15"/>
      <c r="O6" s="15"/>
    </row>
    <row r="7" spans="1:15">
      <c r="A7" s="13"/>
      <c r="B7" s="108">
        <v>0</v>
      </c>
      <c r="C7" s="109">
        <v>0</v>
      </c>
      <c r="D7" s="110">
        <v>3.5000000000000003E-2</v>
      </c>
      <c r="F7" s="15"/>
      <c r="G7" s="15"/>
      <c r="N7" s="15"/>
      <c r="O7" s="15"/>
    </row>
    <row r="8" spans="1:15">
      <c r="A8" s="13"/>
      <c r="B8" s="111">
        <v>1</v>
      </c>
      <c r="C8" s="112">
        <v>1.359621</v>
      </c>
      <c r="D8" s="113">
        <v>3.5000000000000003E-2</v>
      </c>
      <c r="F8" s="15"/>
      <c r="G8" s="15"/>
      <c r="N8" s="15"/>
      <c r="O8" s="15"/>
    </row>
    <row r="9" spans="1:15">
      <c r="A9" s="13"/>
      <c r="B9" s="108">
        <v>15.1</v>
      </c>
      <c r="C9" s="114">
        <f t="shared" ref="C9:C16" si="0">+(C$8*B9)/B$8</f>
        <v>20.530277099999999</v>
      </c>
      <c r="D9" s="110">
        <v>3.9E-2</v>
      </c>
      <c r="F9" s="15"/>
      <c r="G9" s="15"/>
      <c r="N9" s="15"/>
      <c r="O9" s="15"/>
    </row>
    <row r="10" spans="1:15">
      <c r="A10" s="13"/>
      <c r="B10" s="111">
        <v>30.1</v>
      </c>
      <c r="C10" s="115">
        <f t="shared" si="0"/>
        <v>40.924592099999998</v>
      </c>
      <c r="D10" s="113">
        <v>4.7E-2</v>
      </c>
      <c r="F10" s="15"/>
      <c r="G10" s="15"/>
      <c r="N10" s="15"/>
      <c r="O10" s="15"/>
    </row>
    <row r="11" spans="1:15">
      <c r="A11" s="13"/>
      <c r="B11" s="108">
        <v>45.1</v>
      </c>
      <c r="C11" s="114">
        <f t="shared" si="0"/>
        <v>61.318907099999997</v>
      </c>
      <c r="D11" s="110">
        <v>0.06</v>
      </c>
      <c r="F11" s="15"/>
      <c r="G11" s="15"/>
      <c r="N11" s="15"/>
      <c r="O11" s="15"/>
    </row>
    <row r="12" spans="1:15">
      <c r="A12" s="13"/>
      <c r="B12" s="111">
        <v>60.1</v>
      </c>
      <c r="C12" s="115">
        <f t="shared" si="0"/>
        <v>81.713222099999996</v>
      </c>
      <c r="D12" s="113">
        <v>7.5999999999999998E-2</v>
      </c>
      <c r="F12" s="15"/>
      <c r="G12" s="15"/>
      <c r="N12" s="15"/>
      <c r="O12" s="15"/>
    </row>
    <row r="13" spans="1:15">
      <c r="A13" s="13"/>
      <c r="B13" s="108">
        <v>75.099999999999994</v>
      </c>
      <c r="C13" s="114">
        <f t="shared" si="0"/>
        <v>102.10753709999999</v>
      </c>
      <c r="D13" s="110">
        <v>0.1</v>
      </c>
      <c r="F13" s="15"/>
      <c r="G13" s="15"/>
      <c r="N13" s="15"/>
      <c r="O13" s="15"/>
    </row>
    <row r="14" spans="1:15">
      <c r="A14" s="13"/>
      <c r="B14" s="111">
        <v>100.1</v>
      </c>
      <c r="C14" s="115">
        <f t="shared" si="0"/>
        <v>136.09806209999999</v>
      </c>
      <c r="D14" s="113">
        <v>0.111</v>
      </c>
      <c r="F14" s="15"/>
      <c r="G14" s="15"/>
      <c r="N14" s="15"/>
      <c r="O14" s="15"/>
    </row>
    <row r="15" spans="1:15">
      <c r="A15" s="13"/>
      <c r="B15" s="108">
        <v>150.1</v>
      </c>
      <c r="C15" s="114">
        <f t="shared" si="0"/>
        <v>204.07911209999997</v>
      </c>
      <c r="D15" s="110">
        <v>0.13500000000000001</v>
      </c>
      <c r="F15" s="15"/>
      <c r="G15" s="15"/>
      <c r="N15" s="15"/>
      <c r="O15" s="15"/>
    </row>
    <row r="16" spans="1:15">
      <c r="A16" s="13"/>
      <c r="B16" s="116">
        <v>500</v>
      </c>
      <c r="C16" s="117">
        <f t="shared" si="0"/>
        <v>679.81049999999993</v>
      </c>
      <c r="D16" s="118">
        <v>0.13500000000000001</v>
      </c>
      <c r="F16" s="15"/>
      <c r="G16" s="15"/>
      <c r="N16" s="15"/>
      <c r="O16" s="15"/>
    </row>
    <row r="17" spans="1:16">
      <c r="A17" s="13"/>
      <c r="B17" s="15"/>
      <c r="C17" s="15"/>
      <c r="D17" s="15"/>
      <c r="E17" s="15"/>
      <c r="F17" s="15"/>
      <c r="G17" s="15"/>
      <c r="N17" s="15"/>
      <c r="O17" s="15"/>
    </row>
    <row r="18" spans="1:16">
      <c r="A18" s="13"/>
      <c r="B18" s="13"/>
      <c r="E18" s="15"/>
      <c r="F18" s="15"/>
      <c r="G18" s="15"/>
      <c r="N18" s="15"/>
      <c r="O18" s="15"/>
    </row>
    <row r="19" spans="1:16">
      <c r="A19" s="13"/>
      <c r="B19" s="597" t="s">
        <v>263</v>
      </c>
      <c r="C19" s="597"/>
      <c r="D19" s="597"/>
      <c r="E19" s="597"/>
      <c r="F19" s="119"/>
      <c r="G19" s="119"/>
      <c r="N19" s="15"/>
      <c r="O19" s="15"/>
    </row>
    <row r="20" spans="1:16" ht="3.75" customHeight="1">
      <c r="A20" s="13"/>
      <c r="C20" s="47"/>
      <c r="D20" s="47"/>
      <c r="E20" s="47"/>
      <c r="F20" s="47"/>
      <c r="G20" s="47"/>
      <c r="N20" s="15"/>
      <c r="O20" s="15"/>
    </row>
    <row r="21" spans="1:16" ht="12.75" customHeight="1">
      <c r="A21" s="13"/>
      <c r="B21" s="696" t="s">
        <v>264</v>
      </c>
      <c r="C21" s="698" t="s">
        <v>258</v>
      </c>
      <c r="D21" s="698" t="s">
        <v>265</v>
      </c>
      <c r="E21" s="700" t="s">
        <v>266</v>
      </c>
      <c r="F21" s="47"/>
      <c r="G21" s="47"/>
      <c r="N21" s="15"/>
      <c r="O21" s="15"/>
    </row>
    <row r="22" spans="1:16" ht="12.75" customHeight="1">
      <c r="A22" s="13"/>
      <c r="B22" s="697"/>
      <c r="C22" s="699"/>
      <c r="D22" s="699"/>
      <c r="E22" s="706"/>
      <c r="F22" s="119"/>
      <c r="G22" s="119"/>
      <c r="H22" s="120"/>
      <c r="I22" s="143" t="s">
        <v>267</v>
      </c>
      <c r="J22" s="144">
        <v>1.9</v>
      </c>
      <c r="K22" s="145"/>
      <c r="N22" s="15"/>
      <c r="O22" s="15"/>
    </row>
    <row r="23" spans="1:16">
      <c r="A23" s="13"/>
      <c r="B23" s="247" t="s">
        <v>268</v>
      </c>
      <c r="C23" s="248" t="s">
        <v>261</v>
      </c>
      <c r="D23" s="248" t="s">
        <v>269</v>
      </c>
      <c r="E23" s="249" t="s">
        <v>270</v>
      </c>
      <c r="F23" s="47"/>
      <c r="G23" s="47"/>
      <c r="H23" s="121"/>
      <c r="I23" s="146" t="s">
        <v>271</v>
      </c>
      <c r="J23" s="147">
        <f>7.6*1.3</f>
        <v>9.879999999999999</v>
      </c>
      <c r="K23" s="148"/>
      <c r="N23" s="15"/>
      <c r="O23" s="15"/>
    </row>
    <row r="24" spans="1:16">
      <c r="A24" s="13"/>
      <c r="B24" s="122"/>
      <c r="C24" s="47"/>
      <c r="D24" s="47"/>
      <c r="E24" s="123"/>
      <c r="F24" s="47"/>
      <c r="G24" s="47"/>
      <c r="H24" s="124"/>
      <c r="I24" s="149" t="s">
        <v>272</v>
      </c>
      <c r="J24" s="150">
        <v>4.8</v>
      </c>
      <c r="K24" s="151"/>
      <c r="N24" s="15"/>
      <c r="O24" s="15"/>
    </row>
    <row r="25" spans="1:16">
      <c r="A25" s="13"/>
      <c r="B25" s="125">
        <v>1.51</v>
      </c>
      <c r="C25" s="126">
        <v>62</v>
      </c>
      <c r="D25" s="126">
        <f>VLOOKUP(C25,C7:D16,2)</f>
        <v>0.06</v>
      </c>
      <c r="E25" s="127">
        <f>B25*D25</f>
        <v>9.06E-2</v>
      </c>
      <c r="F25" s="47"/>
      <c r="G25" s="47"/>
      <c r="H25" s="121"/>
      <c r="I25" s="146" t="s">
        <v>1096</v>
      </c>
      <c r="J25" s="147">
        <v>0.35</v>
      </c>
      <c r="K25" s="151"/>
      <c r="N25" s="15"/>
      <c r="O25" s="15"/>
    </row>
    <row r="26" spans="1:16">
      <c r="A26" s="13"/>
      <c r="B26" s="128"/>
      <c r="C26" s="129"/>
      <c r="D26" s="129"/>
      <c r="E26" s="130"/>
      <c r="F26" s="47"/>
      <c r="G26" s="47"/>
      <c r="H26" s="503"/>
      <c r="I26" s="504" t="s">
        <v>273</v>
      </c>
      <c r="J26" s="505">
        <v>1.2</v>
      </c>
      <c r="N26" s="15"/>
      <c r="O26" s="15"/>
    </row>
    <row r="27" spans="1:16">
      <c r="A27" s="13"/>
      <c r="C27" s="47"/>
      <c r="D27" s="47"/>
      <c r="E27" s="47"/>
      <c r="F27" s="47"/>
      <c r="G27" s="47"/>
      <c r="N27" s="15"/>
      <c r="O27" s="15"/>
    </row>
    <row r="28" spans="1:16">
      <c r="A28" s="13"/>
      <c r="B28" s="13"/>
      <c r="C28" s="13"/>
      <c r="D28" s="13"/>
      <c r="E28" s="15"/>
      <c r="F28" s="15"/>
      <c r="G28" s="15"/>
      <c r="N28" s="15"/>
      <c r="O28" s="15"/>
    </row>
    <row r="29" spans="1:16">
      <c r="A29" s="13"/>
      <c r="B29" s="13"/>
      <c r="C29" s="13"/>
      <c r="D29" s="13"/>
      <c r="E29" s="15"/>
      <c r="F29" s="15"/>
      <c r="G29" s="15"/>
      <c r="N29" s="15"/>
      <c r="O29" s="15"/>
    </row>
    <row r="30" spans="1:16" ht="11.25" customHeight="1">
      <c r="A30" s="47"/>
      <c r="B30" s="47"/>
      <c r="C30" s="47"/>
      <c r="D30" s="47"/>
      <c r="E30" s="47"/>
      <c r="F30" s="15"/>
      <c r="G30" s="15"/>
      <c r="K30" s="15"/>
      <c r="L30" s="15"/>
      <c r="M30" s="15"/>
      <c r="N30" s="15"/>
      <c r="O30" s="15"/>
    </row>
    <row r="31" spans="1:16">
      <c r="B31" s="597" t="s">
        <v>274</v>
      </c>
      <c r="C31" s="597"/>
      <c r="D31" s="597"/>
      <c r="E31" s="597"/>
      <c r="F31" s="597"/>
      <c r="G31" s="229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3.75" customHeight="1">
      <c r="B32" s="47"/>
      <c r="C32" s="47"/>
      <c r="D32" s="47"/>
      <c r="E32" s="47"/>
      <c r="F32" s="47"/>
      <c r="G32" s="47"/>
      <c r="H32" s="15"/>
      <c r="I32" s="15"/>
      <c r="J32" s="15"/>
      <c r="M32" s="47"/>
    </row>
    <row r="33" spans="2:13" ht="12.75" customHeight="1">
      <c r="B33" s="250"/>
      <c r="C33" s="696" t="s">
        <v>274</v>
      </c>
      <c r="D33" s="698" t="s">
        <v>275</v>
      </c>
      <c r="E33" s="698" t="s">
        <v>276</v>
      </c>
      <c r="F33" s="700" t="s">
        <v>277</v>
      </c>
      <c r="G33" s="97"/>
      <c r="H33" s="48"/>
      <c r="M33" s="47"/>
    </row>
    <row r="34" spans="2:13" ht="21.75" customHeight="1">
      <c r="B34" s="251"/>
      <c r="C34" s="702"/>
      <c r="D34" s="705"/>
      <c r="E34" s="705"/>
      <c r="F34" s="701"/>
      <c r="G34" s="97"/>
      <c r="H34" s="48"/>
      <c r="M34" s="47"/>
    </row>
    <row r="35" spans="2:13">
      <c r="B35" s="251" t="s">
        <v>278</v>
      </c>
      <c r="C35" s="248" t="s">
        <v>279</v>
      </c>
      <c r="D35" s="248" t="s">
        <v>280</v>
      </c>
      <c r="E35" s="248" t="s">
        <v>281</v>
      </c>
      <c r="F35" s="249" t="s">
        <v>282</v>
      </c>
      <c r="G35" s="248"/>
      <c r="H35" s="48"/>
      <c r="M35" s="47"/>
    </row>
    <row r="36" spans="2:13">
      <c r="B36" s="252"/>
      <c r="C36" s="253" t="s">
        <v>283</v>
      </c>
      <c r="D36" s="253" t="s">
        <v>284</v>
      </c>
      <c r="E36" s="253" t="s">
        <v>283</v>
      </c>
      <c r="F36" s="254" t="s">
        <v>285</v>
      </c>
      <c r="G36" s="248"/>
      <c r="H36" s="48"/>
      <c r="M36" s="47"/>
    </row>
    <row r="37" spans="2:13" ht="3.75" customHeight="1">
      <c r="B37" s="131"/>
      <c r="C37" s="132"/>
      <c r="D37" s="132"/>
      <c r="E37" s="132"/>
      <c r="F37" s="133"/>
      <c r="G37" s="47"/>
      <c r="H37" s="48"/>
      <c r="M37" s="47"/>
    </row>
    <row r="38" spans="2:13">
      <c r="B38" s="125">
        <v>12.5</v>
      </c>
      <c r="C38" s="126">
        <v>1.08</v>
      </c>
      <c r="D38" s="126">
        <v>7.6999999999999999E-2</v>
      </c>
      <c r="E38" s="134">
        <f t="shared" ref="E38:E56" si="1">B38/100/C38</f>
        <v>0.11574074074074073</v>
      </c>
      <c r="F38" s="135">
        <f t="shared" ref="F38:F56" si="2">1/((D38*100)/B38)</f>
        <v>1.6233766233766234</v>
      </c>
      <c r="G38" s="134"/>
      <c r="H38" s="48"/>
      <c r="M38" s="47"/>
    </row>
    <row r="39" spans="2:13">
      <c r="B39" s="122">
        <v>15</v>
      </c>
      <c r="C39" s="47">
        <v>1.1499999999999999</v>
      </c>
      <c r="D39" s="47">
        <v>8.2000000000000003E-2</v>
      </c>
      <c r="E39" s="136">
        <f t="shared" si="1"/>
        <v>0.13043478260869565</v>
      </c>
      <c r="F39" s="137">
        <f t="shared" si="2"/>
        <v>1.8292682926829267</v>
      </c>
      <c r="G39" s="136"/>
      <c r="H39" s="48"/>
      <c r="M39" s="47"/>
    </row>
    <row r="40" spans="2:13">
      <c r="B40" s="125">
        <v>20</v>
      </c>
      <c r="C40" s="126">
        <v>1.3</v>
      </c>
      <c r="D40" s="126">
        <v>9.0999999999999998E-2</v>
      </c>
      <c r="E40" s="134">
        <f t="shared" si="1"/>
        <v>0.15384615384615385</v>
      </c>
      <c r="F40" s="135">
        <f t="shared" si="2"/>
        <v>2.197802197802198</v>
      </c>
      <c r="G40" s="134"/>
      <c r="H40" s="48"/>
      <c r="M40" s="47"/>
    </row>
    <row r="41" spans="2:13">
      <c r="B41" s="122">
        <v>25</v>
      </c>
      <c r="C41" s="47">
        <v>1.45</v>
      </c>
      <c r="D41" s="47">
        <v>0.1</v>
      </c>
      <c r="E41" s="136">
        <f t="shared" si="1"/>
        <v>0.17241379310344829</v>
      </c>
      <c r="F41" s="137">
        <f t="shared" si="2"/>
        <v>2.5</v>
      </c>
      <c r="G41" s="136"/>
      <c r="H41" s="48"/>
      <c r="M41" s="47"/>
    </row>
    <row r="42" spans="2:13">
      <c r="B42" s="125">
        <v>30</v>
      </c>
      <c r="C42" s="126">
        <v>1.6</v>
      </c>
      <c r="D42" s="126">
        <v>0.11</v>
      </c>
      <c r="E42" s="134">
        <f t="shared" si="1"/>
        <v>0.18749999999999997</v>
      </c>
      <c r="F42" s="135">
        <f t="shared" si="2"/>
        <v>2.7272727272727275</v>
      </c>
      <c r="G42" s="134"/>
      <c r="H42" s="48"/>
      <c r="M42" s="47"/>
    </row>
    <row r="43" spans="2:13">
      <c r="B43" s="122">
        <v>35</v>
      </c>
      <c r="C43" s="47">
        <v>1.75</v>
      </c>
      <c r="D43" s="47">
        <v>0.11899999999999999</v>
      </c>
      <c r="E43" s="136">
        <f t="shared" si="1"/>
        <v>0.19999999999999998</v>
      </c>
      <c r="F43" s="137">
        <f t="shared" si="2"/>
        <v>2.9411764705882355</v>
      </c>
      <c r="G43" s="136"/>
      <c r="H43" s="48"/>
      <c r="M43" s="47"/>
    </row>
    <row r="44" spans="2:13">
      <c r="B44" s="125">
        <v>40</v>
      </c>
      <c r="C44" s="126">
        <v>1.9</v>
      </c>
      <c r="D44" s="126">
        <v>0.129</v>
      </c>
      <c r="E44" s="134">
        <f t="shared" si="1"/>
        <v>0.2105263157894737</v>
      </c>
      <c r="F44" s="135">
        <f t="shared" si="2"/>
        <v>3.1007751937984493</v>
      </c>
      <c r="G44" s="134"/>
      <c r="H44" s="48"/>
      <c r="M44" s="47"/>
    </row>
    <row r="45" spans="2:13">
      <c r="B45" s="122">
        <v>45</v>
      </c>
      <c r="C45" s="47">
        <v>2.0299999999999998</v>
      </c>
      <c r="D45" s="47">
        <v>0.14000000000000001</v>
      </c>
      <c r="E45" s="136">
        <f t="shared" si="1"/>
        <v>0.22167487684729067</v>
      </c>
      <c r="F45" s="137">
        <f t="shared" si="2"/>
        <v>3.2142857142857135</v>
      </c>
      <c r="G45" s="136"/>
      <c r="H45" s="48"/>
      <c r="M45" s="47"/>
    </row>
    <row r="46" spans="2:13">
      <c r="B46" s="125">
        <v>50</v>
      </c>
      <c r="C46" s="126">
        <v>2.15</v>
      </c>
      <c r="D46" s="126">
        <v>0.15</v>
      </c>
      <c r="E46" s="134">
        <f t="shared" si="1"/>
        <v>0.23255813953488372</v>
      </c>
      <c r="F46" s="135">
        <f t="shared" si="2"/>
        <v>3.3333333333333335</v>
      </c>
      <c r="G46" s="134"/>
      <c r="H46" s="48"/>
      <c r="M46" s="47"/>
    </row>
    <row r="47" spans="2:13">
      <c r="B47" s="122">
        <v>55</v>
      </c>
      <c r="C47" s="47">
        <v>2.2799999999999998</v>
      </c>
      <c r="D47" s="47">
        <v>0.161</v>
      </c>
      <c r="E47" s="136">
        <f t="shared" si="1"/>
        <v>0.24122807017543862</v>
      </c>
      <c r="F47" s="137">
        <f t="shared" si="2"/>
        <v>3.4161490683229809</v>
      </c>
      <c r="G47" s="136"/>
      <c r="H47" s="48"/>
      <c r="M47" s="47"/>
    </row>
    <row r="48" spans="2:13">
      <c r="B48" s="125">
        <v>60</v>
      </c>
      <c r="C48" s="126">
        <v>2.4</v>
      </c>
      <c r="D48" s="126">
        <v>0.17299999999999999</v>
      </c>
      <c r="E48" s="134">
        <f t="shared" si="1"/>
        <v>0.25</v>
      </c>
      <c r="F48" s="135">
        <f t="shared" si="2"/>
        <v>3.4682080924855496</v>
      </c>
      <c r="G48" s="134"/>
      <c r="H48" s="48"/>
      <c r="M48" s="47"/>
    </row>
    <row r="49" spans="2:13">
      <c r="B49" s="122">
        <v>65</v>
      </c>
      <c r="C49" s="47">
        <v>2.4500000000000002</v>
      </c>
      <c r="D49" s="47">
        <v>0.184</v>
      </c>
      <c r="E49" s="136">
        <f t="shared" si="1"/>
        <v>0.26530612244897961</v>
      </c>
      <c r="F49" s="137">
        <f t="shared" si="2"/>
        <v>3.5326086956521743</v>
      </c>
      <c r="G49" s="136"/>
      <c r="H49" s="48"/>
      <c r="M49" s="47"/>
    </row>
    <row r="50" spans="2:13">
      <c r="B50" s="125">
        <v>70</v>
      </c>
      <c r="C50" s="126">
        <v>2.5</v>
      </c>
      <c r="D50" s="126">
        <v>0.19600000000000001</v>
      </c>
      <c r="E50" s="134">
        <f t="shared" si="1"/>
        <v>0.27999999999999997</v>
      </c>
      <c r="F50" s="135">
        <f t="shared" si="2"/>
        <v>3.5714285714285712</v>
      </c>
      <c r="G50" s="134"/>
      <c r="H50" s="48"/>
      <c r="M50" s="47"/>
    </row>
    <row r="51" spans="2:13">
      <c r="B51" s="122">
        <v>75</v>
      </c>
      <c r="C51" s="47">
        <v>2.5499999999999998</v>
      </c>
      <c r="D51" s="47">
        <v>0.20699999999999999</v>
      </c>
      <c r="E51" s="136">
        <f t="shared" si="1"/>
        <v>0.29411764705882354</v>
      </c>
      <c r="F51" s="137">
        <f t="shared" si="2"/>
        <v>3.623188405797102</v>
      </c>
      <c r="G51" s="136"/>
      <c r="H51" s="48"/>
      <c r="M51" s="47"/>
    </row>
    <row r="52" spans="2:13">
      <c r="B52" s="125">
        <v>80</v>
      </c>
      <c r="C52" s="126">
        <v>2.6</v>
      </c>
      <c r="D52" s="126">
        <v>0.222</v>
      </c>
      <c r="E52" s="134">
        <f t="shared" si="1"/>
        <v>0.30769230769230771</v>
      </c>
      <c r="F52" s="135">
        <f t="shared" si="2"/>
        <v>3.6036036036036041</v>
      </c>
      <c r="G52" s="134"/>
      <c r="H52" s="48"/>
      <c r="M52" s="47"/>
    </row>
    <row r="53" spans="2:13">
      <c r="B53" s="122">
        <v>85</v>
      </c>
      <c r="C53" s="47">
        <v>2.65</v>
      </c>
      <c r="D53" s="47">
        <v>0.23599999999999999</v>
      </c>
      <c r="E53" s="136">
        <f t="shared" si="1"/>
        <v>0.32075471698113206</v>
      </c>
      <c r="F53" s="137">
        <f t="shared" si="2"/>
        <v>3.6016949152542375</v>
      </c>
      <c r="G53" s="136"/>
      <c r="H53" s="48"/>
      <c r="M53" s="47"/>
    </row>
    <row r="54" spans="2:13">
      <c r="B54" s="125">
        <v>90</v>
      </c>
      <c r="C54" s="126">
        <v>2.7</v>
      </c>
      <c r="D54" s="126">
        <v>0.251</v>
      </c>
      <c r="E54" s="134">
        <f t="shared" si="1"/>
        <v>0.33333333333333331</v>
      </c>
      <c r="F54" s="135">
        <f t="shared" si="2"/>
        <v>3.5856573705179282</v>
      </c>
      <c r="G54" s="134"/>
      <c r="H54" s="48"/>
      <c r="M54" s="47"/>
    </row>
    <row r="55" spans="2:13">
      <c r="B55" s="122">
        <v>95</v>
      </c>
      <c r="C55" s="47">
        <v>2.75</v>
      </c>
      <c r="D55" s="47">
        <v>0.26600000000000001</v>
      </c>
      <c r="E55" s="136">
        <f t="shared" si="1"/>
        <v>0.34545454545454546</v>
      </c>
      <c r="F55" s="137">
        <f t="shared" si="2"/>
        <v>3.5714285714285712</v>
      </c>
      <c r="G55" s="136"/>
      <c r="H55" s="48"/>
      <c r="M55" s="47"/>
    </row>
    <row r="56" spans="2:13">
      <c r="B56" s="138">
        <v>100</v>
      </c>
      <c r="C56" s="139">
        <v>2.8</v>
      </c>
      <c r="D56" s="139">
        <v>0.28100000000000003</v>
      </c>
      <c r="E56" s="140">
        <f t="shared" si="1"/>
        <v>0.35714285714285715</v>
      </c>
      <c r="F56" s="141">
        <f t="shared" si="2"/>
        <v>3.5587188612099641</v>
      </c>
      <c r="G56" s="134"/>
      <c r="H56" s="48"/>
      <c r="M56" s="47"/>
    </row>
    <row r="57" spans="2:13">
      <c r="B57" s="47"/>
      <c r="C57" s="47"/>
      <c r="D57" s="47"/>
      <c r="E57" s="47"/>
      <c r="F57" s="47"/>
      <c r="G57" s="47"/>
      <c r="H57" s="48"/>
      <c r="M57" s="47"/>
    </row>
    <row r="58" spans="2:13">
      <c r="B58" s="47"/>
      <c r="C58" s="47"/>
      <c r="D58" s="47"/>
      <c r="E58" s="47"/>
      <c r="F58" s="47"/>
      <c r="G58" s="47"/>
      <c r="H58" s="48"/>
      <c r="M58" s="47"/>
    </row>
    <row r="59" spans="2:13">
      <c r="H59" s="48"/>
    </row>
  </sheetData>
  <mergeCells count="13">
    <mergeCell ref="F33:F34"/>
    <mergeCell ref="B4:C5"/>
    <mergeCell ref="C33:C34"/>
    <mergeCell ref="D4:D5"/>
    <mergeCell ref="D21:D22"/>
    <mergeCell ref="D33:D34"/>
    <mergeCell ref="E21:E22"/>
    <mergeCell ref="E33:E34"/>
    <mergeCell ref="B2:E2"/>
    <mergeCell ref="B19:E19"/>
    <mergeCell ref="B31:F31"/>
    <mergeCell ref="B21:B22"/>
    <mergeCell ref="C21:C22"/>
  </mergeCells>
  <pageMargins left="0.7" right="0.7" top="0.75" bottom="0.75" header="0.3" footer="0.3"/>
  <pageSetup paperSize="9" orientation="portrait"/>
  <colBreaks count="1" manualBreakCount="1">
    <brk id="7" max="1048575" man="1"/>
  </colBreak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39991454817346722"/>
  </sheetPr>
  <dimension ref="A1:AO54"/>
  <sheetViews>
    <sheetView zoomScale="70" zoomScaleNormal="70" workbookViewId="0">
      <selection activeCell="Q7" sqref="Q7"/>
    </sheetView>
  </sheetViews>
  <sheetFormatPr baseColWidth="10" defaultColWidth="11.44140625" defaultRowHeight="14.4"/>
  <cols>
    <col min="1" max="1" width="11.44140625" style="13"/>
    <col min="2" max="2" width="42.6640625" style="48" customWidth="1"/>
    <col min="3" max="3" width="9.77734375" style="48" bestFit="1" customWidth="1"/>
    <col min="4" max="4" width="25.44140625" style="48" bestFit="1" customWidth="1"/>
    <col min="5" max="8" width="11.44140625" style="48"/>
    <col min="9" max="9" width="12.88671875" style="48" customWidth="1"/>
    <col min="10" max="13" width="11.44140625" style="48"/>
    <col min="14" max="14" width="15.77734375" style="48" customWidth="1"/>
    <col min="15" max="15" width="11.44140625" style="48"/>
    <col min="16" max="16" width="14.21875" style="48" customWidth="1"/>
    <col min="17" max="19" width="17.44140625" style="48" customWidth="1"/>
    <col min="20" max="32" width="11.44140625" style="48"/>
    <col min="33" max="33" width="15.77734375" style="48" customWidth="1"/>
    <col min="34" max="34" width="13.5546875" style="48" customWidth="1"/>
    <col min="35" max="35" width="11.44140625" style="48"/>
    <col min="36" max="36" width="14.21875" style="48" customWidth="1"/>
    <col min="37" max="39" width="11.44140625" style="48"/>
    <col min="40" max="40" width="14.33203125" style="48" customWidth="1"/>
    <col min="41" max="41" width="15" style="48" customWidth="1"/>
    <col min="42" max="16384" width="11.44140625" style="48"/>
  </cols>
  <sheetData>
    <row r="1" spans="1:41" ht="21.75" customHeight="1">
      <c r="A1" s="707" t="s">
        <v>286</v>
      </c>
      <c r="B1" s="708"/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  <c r="Y1" s="708"/>
      <c r="Z1" s="708"/>
      <c r="AA1" s="708"/>
      <c r="AB1" s="708"/>
      <c r="AC1" s="708"/>
      <c r="AD1" s="708"/>
      <c r="AE1" s="708"/>
      <c r="AF1" s="708"/>
      <c r="AG1" s="708"/>
      <c r="AH1" s="708"/>
      <c r="AI1" s="708"/>
      <c r="AJ1" s="708"/>
      <c r="AK1" s="708"/>
      <c r="AL1" s="708"/>
      <c r="AM1" s="708"/>
      <c r="AN1" s="708"/>
      <c r="AO1" s="709"/>
    </row>
    <row r="2" spans="1:41" ht="12.75" customHeight="1">
      <c r="A2" s="729" t="s">
        <v>287</v>
      </c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5"/>
      <c r="N2" s="723" t="s">
        <v>288</v>
      </c>
      <c r="O2" s="724"/>
      <c r="P2" s="724"/>
      <c r="Q2" s="724"/>
      <c r="R2" s="724"/>
      <c r="S2" s="724"/>
      <c r="T2" s="724"/>
      <c r="U2" s="724"/>
      <c r="V2" s="724"/>
      <c r="W2" s="724"/>
      <c r="X2" s="725"/>
      <c r="Y2" s="717" t="s">
        <v>289</v>
      </c>
      <c r="Z2" s="718"/>
      <c r="AA2" s="718"/>
      <c r="AB2" s="718"/>
      <c r="AC2" s="718"/>
      <c r="AD2" s="718"/>
      <c r="AE2" s="718"/>
      <c r="AF2" s="718"/>
      <c r="AG2" s="718"/>
      <c r="AH2" s="718"/>
      <c r="AI2" s="718"/>
      <c r="AJ2" s="718"/>
      <c r="AK2" s="718"/>
      <c r="AL2" s="718"/>
      <c r="AM2" s="718"/>
      <c r="AN2" s="718"/>
      <c r="AO2" s="715" t="s">
        <v>290</v>
      </c>
    </row>
    <row r="3" spans="1:41" ht="12.75" customHeight="1">
      <c r="A3" s="730"/>
      <c r="B3" s="727"/>
      <c r="C3" s="727"/>
      <c r="D3" s="727"/>
      <c r="E3" s="727"/>
      <c r="F3" s="727"/>
      <c r="G3" s="727"/>
      <c r="H3" s="727"/>
      <c r="I3" s="727"/>
      <c r="J3" s="727"/>
      <c r="K3" s="727"/>
      <c r="L3" s="727"/>
      <c r="M3" s="728"/>
      <c r="N3" s="726"/>
      <c r="O3" s="727"/>
      <c r="P3" s="727"/>
      <c r="Q3" s="727"/>
      <c r="R3" s="727"/>
      <c r="S3" s="727"/>
      <c r="T3" s="727"/>
      <c r="U3" s="727"/>
      <c r="V3" s="727"/>
      <c r="W3" s="727"/>
      <c r="X3" s="728"/>
      <c r="Y3" s="722" t="s">
        <v>291</v>
      </c>
      <c r="Z3" s="710" t="s">
        <v>292</v>
      </c>
      <c r="AA3" s="710"/>
      <c r="AB3" s="710"/>
      <c r="AC3" s="710"/>
      <c r="AD3" s="710" t="s">
        <v>293</v>
      </c>
      <c r="AE3" s="710"/>
      <c r="AF3" s="710"/>
      <c r="AG3" s="720" t="s">
        <v>1043</v>
      </c>
      <c r="AH3" s="720" t="s">
        <v>1044</v>
      </c>
      <c r="AI3" s="106" t="s">
        <v>294</v>
      </c>
      <c r="AJ3" s="106"/>
      <c r="AK3" s="714" t="s">
        <v>885</v>
      </c>
      <c r="AL3" s="714" t="s">
        <v>888</v>
      </c>
      <c r="AM3" s="714" t="s">
        <v>886</v>
      </c>
      <c r="AN3" s="719" t="s">
        <v>887</v>
      </c>
      <c r="AO3" s="715"/>
    </row>
    <row r="4" spans="1:41" ht="83.4" customHeight="1">
      <c r="A4" s="374" t="s">
        <v>296</v>
      </c>
      <c r="B4" s="95" t="s">
        <v>297</v>
      </c>
      <c r="C4" s="94" t="s">
        <v>298</v>
      </c>
      <c r="D4" s="95" t="s">
        <v>299</v>
      </c>
      <c r="E4" s="94" t="s">
        <v>300</v>
      </c>
      <c r="F4" s="94" t="s">
        <v>301</v>
      </c>
      <c r="G4" s="94" t="s">
        <v>198</v>
      </c>
      <c r="H4" s="94" t="s">
        <v>199</v>
      </c>
      <c r="I4" s="95" t="s">
        <v>302</v>
      </c>
      <c r="J4" s="94" t="s">
        <v>303</v>
      </c>
      <c r="K4" s="94" t="s">
        <v>304</v>
      </c>
      <c r="L4" s="94" t="s">
        <v>305</v>
      </c>
      <c r="M4" s="95" t="s">
        <v>306</v>
      </c>
      <c r="N4" s="95" t="s">
        <v>307</v>
      </c>
      <c r="O4" s="95" t="s">
        <v>308</v>
      </c>
      <c r="P4" s="444" t="s">
        <v>1039</v>
      </c>
      <c r="Q4" s="95" t="s">
        <v>309</v>
      </c>
      <c r="R4" s="444" t="s">
        <v>1040</v>
      </c>
      <c r="S4" s="444" t="s">
        <v>1041</v>
      </c>
      <c r="T4" s="95" t="s">
        <v>310</v>
      </c>
      <c r="U4" s="444" t="s">
        <v>1042</v>
      </c>
      <c r="V4" s="95" t="s">
        <v>311</v>
      </c>
      <c r="W4" s="98" t="s">
        <v>882</v>
      </c>
      <c r="X4" s="287" t="s">
        <v>883</v>
      </c>
      <c r="Y4" s="722"/>
      <c r="Z4" s="99" t="s">
        <v>1097</v>
      </c>
      <c r="AA4" s="99" t="s">
        <v>313</v>
      </c>
      <c r="AB4" s="99" t="s">
        <v>1098</v>
      </c>
      <c r="AC4" s="99" t="s">
        <v>314</v>
      </c>
      <c r="AD4" s="99" t="s">
        <v>315</v>
      </c>
      <c r="AE4" s="99" t="s">
        <v>316</v>
      </c>
      <c r="AF4" s="99" t="s">
        <v>317</v>
      </c>
      <c r="AG4" s="721"/>
      <c r="AH4" s="721"/>
      <c r="AI4" s="99" t="s">
        <v>318</v>
      </c>
      <c r="AJ4" s="444" t="s">
        <v>1045</v>
      </c>
      <c r="AK4" s="714"/>
      <c r="AL4" s="714"/>
      <c r="AM4" s="714"/>
      <c r="AN4" s="719"/>
      <c r="AO4" s="715"/>
    </row>
    <row r="5" spans="1:41" s="455" customFormat="1" ht="28.2" customHeight="1">
      <c r="A5" s="445" t="s">
        <v>319</v>
      </c>
      <c r="B5" s="446"/>
      <c r="C5" s="447"/>
      <c r="D5" s="448"/>
      <c r="E5" s="449"/>
      <c r="F5" s="449"/>
      <c r="G5" s="449">
        <f>'A. Resumen Costes Personal Año'!D14</f>
        <v>2026</v>
      </c>
      <c r="H5" s="449">
        <f>'A. Resumen Costes Personal Año'!D15</f>
        <v>2032</v>
      </c>
      <c r="I5" s="448" t="s">
        <v>7</v>
      </c>
      <c r="J5" s="449" t="s">
        <v>9</v>
      </c>
      <c r="K5" s="449" t="s">
        <v>320</v>
      </c>
      <c r="L5" s="449"/>
      <c r="M5" s="448"/>
      <c r="N5" s="448" t="s">
        <v>321</v>
      </c>
      <c r="O5" s="448" t="s">
        <v>322</v>
      </c>
      <c r="P5" s="448"/>
      <c r="Q5" s="448" t="s">
        <v>186</v>
      </c>
      <c r="R5" s="448"/>
      <c r="S5" s="448"/>
      <c r="T5" s="448" t="s">
        <v>323</v>
      </c>
      <c r="U5" s="448"/>
      <c r="V5" s="448"/>
      <c r="W5" s="448" t="s">
        <v>324</v>
      </c>
      <c r="X5" s="448" t="s">
        <v>884</v>
      </c>
      <c r="Y5" s="450"/>
      <c r="Z5" s="451"/>
      <c r="AA5" s="451"/>
      <c r="AB5" s="451"/>
      <c r="AC5" s="451"/>
      <c r="AD5" s="451"/>
      <c r="AE5" s="452">
        <f>'B.0.ConsumiblesMaquinaria'!J24</f>
        <v>4.8</v>
      </c>
      <c r="AF5" s="451"/>
      <c r="AG5" s="451"/>
      <c r="AH5" s="451"/>
      <c r="AI5" s="453"/>
      <c r="AJ5" s="453"/>
      <c r="AK5" s="454"/>
      <c r="AL5" s="454"/>
      <c r="AM5" s="454"/>
      <c r="AN5" s="454"/>
      <c r="AO5" s="716"/>
    </row>
    <row r="6" spans="1:41">
      <c r="A6" s="712" t="s">
        <v>325</v>
      </c>
      <c r="B6" s="713"/>
      <c r="C6" s="71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>
        <f>'B. Resumen Costes Veh_Maq'!D9</f>
        <v>0.05</v>
      </c>
      <c r="R6" s="93"/>
      <c r="S6" s="93"/>
      <c r="T6" s="93">
        <v>0.09</v>
      </c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365"/>
    </row>
    <row r="7" spans="1:41" s="13" customFormat="1">
      <c r="A7" s="308">
        <v>0</v>
      </c>
      <c r="B7" s="309" t="s">
        <v>1095</v>
      </c>
      <c r="C7" s="309" t="s">
        <v>326</v>
      </c>
      <c r="D7" s="309" t="s">
        <v>327</v>
      </c>
      <c r="E7" s="309" t="s">
        <v>328</v>
      </c>
      <c r="F7" s="309">
        <f>$G$5</f>
        <v>2026</v>
      </c>
      <c r="G7" s="309">
        <f t="shared" ref="G7:G16" si="0">G$5</f>
        <v>2026</v>
      </c>
      <c r="H7" s="309">
        <v>2032</v>
      </c>
      <c r="I7" s="310">
        <v>205000</v>
      </c>
      <c r="J7" s="310">
        <v>8</v>
      </c>
      <c r="K7" s="310">
        <f t="shared" ref="K7:K16" si="1">H7-G7</f>
        <v>6</v>
      </c>
      <c r="L7" s="310"/>
      <c r="M7" s="310">
        <v>3</v>
      </c>
      <c r="N7" s="310">
        <f>I7*A7</f>
        <v>0</v>
      </c>
      <c r="O7" s="310">
        <f>IF(A7&gt;0,I7/J7,0)</f>
        <v>0</v>
      </c>
      <c r="P7" s="310">
        <f>O7*A7</f>
        <v>0</v>
      </c>
      <c r="Q7" s="310">
        <f>IF(A7&gt;0,-PMT($Q$6,J7,I7)-O7,0)</f>
        <v>0</v>
      </c>
      <c r="R7" s="310">
        <f>Q7*A7</f>
        <v>0</v>
      </c>
      <c r="S7" s="310">
        <f>(Q7+O7)*A7</f>
        <v>0</v>
      </c>
      <c r="T7" s="310">
        <f>O7*T$6</f>
        <v>0</v>
      </c>
      <c r="U7" s="310">
        <f>T7*A7</f>
        <v>0</v>
      </c>
      <c r="V7" s="310">
        <f>O7*(J7-(K7+(G7-F7)))</f>
        <v>0</v>
      </c>
      <c r="W7" s="310">
        <f>IF(A7&gt;0,(O7+Q7+T7),0)</f>
        <v>0</v>
      </c>
      <c r="X7" s="311">
        <f>(IF(A7&gt;0,(O7+Q7+T7),0)*A7)</f>
        <v>0</v>
      </c>
      <c r="Y7" s="318">
        <f t="shared" ref="Y7:Y16" si="2">20000</f>
        <v>20000</v>
      </c>
      <c r="Z7" s="310">
        <v>25</v>
      </c>
      <c r="AA7" s="310">
        <f>ROUND(Y7*Z7,2)/100</f>
        <v>5000</v>
      </c>
      <c r="AB7" s="310">
        <f>+'B.0.ConsumiblesMaquinaria'!J$22</f>
        <v>1.9</v>
      </c>
      <c r="AC7" s="319">
        <f>IF(A7&gt;0,+ROUND(AB7*AA7/248,2),0)</f>
        <v>0</v>
      </c>
      <c r="AD7" s="320">
        <f>0.004738*Y7*1.35</f>
        <v>127.92600000000002</v>
      </c>
      <c r="AE7" s="310">
        <f>AE$5</f>
        <v>4.8</v>
      </c>
      <c r="AF7" s="310">
        <f>IF(A7&gt;0,+ROUND(AE7*AD7/248,2),0)</f>
        <v>0</v>
      </c>
      <c r="AG7" s="310">
        <f>AF7+AC7</f>
        <v>0</v>
      </c>
      <c r="AH7" s="310">
        <f>(AG7*AL7)*A7</f>
        <v>0</v>
      </c>
      <c r="AI7" s="310">
        <v>0.4</v>
      </c>
      <c r="AJ7" s="310">
        <f>(AI7*AL7)*A7</f>
        <v>0</v>
      </c>
      <c r="AK7" s="310">
        <f>IF(A7&gt;0,+AF7+AC7+AI7,0)</f>
        <v>0</v>
      </c>
      <c r="AL7" s="310">
        <v>248</v>
      </c>
      <c r="AM7" s="310">
        <f>AK7*AL7</f>
        <v>0</v>
      </c>
      <c r="AN7" s="310">
        <f>AM7*A7</f>
        <v>0</v>
      </c>
      <c r="AO7" s="311">
        <f>X7+AN7</f>
        <v>0</v>
      </c>
    </row>
    <row r="8" spans="1:41" s="13" customFormat="1">
      <c r="A8" s="312">
        <v>0</v>
      </c>
      <c r="B8" s="290" t="s">
        <v>1094</v>
      </c>
      <c r="C8" s="290" t="s">
        <v>326</v>
      </c>
      <c r="D8" s="290" t="s">
        <v>327</v>
      </c>
      <c r="E8" s="290" t="s">
        <v>329</v>
      </c>
      <c r="F8" s="290">
        <f t="shared" ref="F8:F16" si="3">$G$5</f>
        <v>2026</v>
      </c>
      <c r="G8" s="290">
        <f t="shared" si="0"/>
        <v>2026</v>
      </c>
      <c r="H8" s="290">
        <v>2032</v>
      </c>
      <c r="I8" s="291">
        <v>135850</v>
      </c>
      <c r="J8" s="291">
        <v>8</v>
      </c>
      <c r="K8" s="291">
        <f t="shared" si="1"/>
        <v>6</v>
      </c>
      <c r="L8" s="291"/>
      <c r="M8" s="291">
        <v>3</v>
      </c>
      <c r="N8" s="291">
        <f t="shared" ref="N8:N16" si="4">I8*A8</f>
        <v>0</v>
      </c>
      <c r="O8" s="291">
        <f t="shared" ref="O8:O16" si="5">IF(A8&gt;0,I8/J8,0)</f>
        <v>0</v>
      </c>
      <c r="P8" s="291">
        <f t="shared" ref="P8:P16" si="6">O8*A8</f>
        <v>0</v>
      </c>
      <c r="Q8" s="291">
        <f t="shared" ref="Q8:Q16" si="7">IF(A8&gt;0,-PMT($Q$6,J8,I8)-O8,0)</f>
        <v>0</v>
      </c>
      <c r="R8" s="291">
        <f t="shared" ref="R8:R16" si="8">Q8*A8</f>
        <v>0</v>
      </c>
      <c r="S8" s="291">
        <f t="shared" ref="S8:S16" si="9">(Q8+O8)*A8</f>
        <v>0</v>
      </c>
      <c r="T8" s="291">
        <f t="shared" ref="T8:T16" si="10">O8*T$6</f>
        <v>0</v>
      </c>
      <c r="U8" s="291">
        <f t="shared" ref="U8:U16" si="11">T8*A8</f>
        <v>0</v>
      </c>
      <c r="V8" s="291">
        <f t="shared" ref="V8:V16" si="12">O8*(J8-(K8+(G8-F8)))</f>
        <v>0</v>
      </c>
      <c r="W8" s="291">
        <f>IF(A8&gt;0,(O8+Q8+T8),0)</f>
        <v>0</v>
      </c>
      <c r="X8" s="313">
        <f t="shared" ref="X8:X46" si="13">(IF(A8&gt;0,(O8+Q8+T8),0)*A8)</f>
        <v>0</v>
      </c>
      <c r="Y8" s="321">
        <f t="shared" si="2"/>
        <v>20000</v>
      </c>
      <c r="Z8" s="291">
        <v>16</v>
      </c>
      <c r="AA8" s="291">
        <f t="shared" ref="AA8:AA16" si="14">ROUND(Y8*Z8,2)/100</f>
        <v>3200</v>
      </c>
      <c r="AB8" s="291">
        <f>+'B.0.ConsumiblesMaquinaria'!J$22</f>
        <v>1.9</v>
      </c>
      <c r="AC8" s="291">
        <f t="shared" ref="AC8:AC16" si="15">IF(A8&gt;0,+ROUND(AB8*AA8/248,2),0)</f>
        <v>0</v>
      </c>
      <c r="AD8" s="293">
        <f>0.004738*Y8*1.33</f>
        <v>126.03080000000001</v>
      </c>
      <c r="AE8" s="291">
        <f t="shared" ref="AE8:AE13" si="16">AE$5</f>
        <v>4.8</v>
      </c>
      <c r="AF8" s="291">
        <f t="shared" ref="AF8:AF16" si="17">IF(A8&gt;0,+ROUND(AE8*AD8/248,2),0)</f>
        <v>0</v>
      </c>
      <c r="AG8" s="291">
        <f t="shared" ref="AG8:AG16" si="18">AF8+AC8</f>
        <v>0</v>
      </c>
      <c r="AH8" s="291">
        <f t="shared" ref="AH8:AH16" si="19">(AG8*AL8)*A8</f>
        <v>0</v>
      </c>
      <c r="AI8" s="291">
        <v>0.35249999999999998</v>
      </c>
      <c r="AJ8" s="291">
        <f t="shared" ref="AJ8:AJ16" si="20">(AI8*AL8)*A8</f>
        <v>0</v>
      </c>
      <c r="AK8" s="291">
        <f>IF(A8&gt;0,+AF8+AC8+AI8,0)</f>
        <v>0</v>
      </c>
      <c r="AL8" s="291">
        <v>248</v>
      </c>
      <c r="AM8" s="291">
        <f t="shared" ref="AM8:AM46" si="21">AK8*AL8</f>
        <v>0</v>
      </c>
      <c r="AN8" s="291">
        <f t="shared" ref="AN8:AN16" si="22">AM8*A8</f>
        <v>0</v>
      </c>
      <c r="AO8" s="313">
        <f t="shared" ref="AO8:AO16" si="23">X8+AN8</f>
        <v>0</v>
      </c>
    </row>
    <row r="9" spans="1:41" s="13" customFormat="1">
      <c r="A9" s="312">
        <v>0</v>
      </c>
      <c r="B9" s="290" t="s">
        <v>1093</v>
      </c>
      <c r="C9" s="290" t="s">
        <v>326</v>
      </c>
      <c r="D9" s="290" t="s">
        <v>327</v>
      </c>
      <c r="E9" s="290" t="s">
        <v>330</v>
      </c>
      <c r="F9" s="290">
        <f t="shared" si="3"/>
        <v>2026</v>
      </c>
      <c r="G9" s="290">
        <f t="shared" si="0"/>
        <v>2026</v>
      </c>
      <c r="H9" s="290">
        <v>2032</v>
      </c>
      <c r="I9" s="291">
        <v>148126</v>
      </c>
      <c r="J9" s="291">
        <v>8</v>
      </c>
      <c r="K9" s="291">
        <f t="shared" si="1"/>
        <v>6</v>
      </c>
      <c r="L9" s="291"/>
      <c r="M9" s="291">
        <v>3</v>
      </c>
      <c r="N9" s="291">
        <f t="shared" si="4"/>
        <v>0</v>
      </c>
      <c r="O9" s="291">
        <f t="shared" si="5"/>
        <v>0</v>
      </c>
      <c r="P9" s="291">
        <f t="shared" si="6"/>
        <v>0</v>
      </c>
      <c r="Q9" s="291">
        <f t="shared" si="7"/>
        <v>0</v>
      </c>
      <c r="R9" s="291">
        <f t="shared" si="8"/>
        <v>0</v>
      </c>
      <c r="S9" s="291">
        <f t="shared" si="9"/>
        <v>0</v>
      </c>
      <c r="T9" s="291">
        <f t="shared" si="10"/>
        <v>0</v>
      </c>
      <c r="U9" s="291">
        <f t="shared" si="11"/>
        <v>0</v>
      </c>
      <c r="V9" s="291">
        <f t="shared" si="12"/>
        <v>0</v>
      </c>
      <c r="W9" s="291">
        <f t="shared" ref="W9:W46" si="24">IF(A9&gt;0,(O9+Q9+T9),0)</f>
        <v>0</v>
      </c>
      <c r="X9" s="313">
        <f t="shared" si="13"/>
        <v>0</v>
      </c>
      <c r="Y9" s="321">
        <f t="shared" si="2"/>
        <v>20000</v>
      </c>
      <c r="Z9" s="291">
        <v>25</v>
      </c>
      <c r="AA9" s="291">
        <f t="shared" si="14"/>
        <v>5000</v>
      </c>
      <c r="AB9" s="291">
        <f>+'B.0.ConsumiblesMaquinaria'!J$22</f>
        <v>1.9</v>
      </c>
      <c r="AC9" s="291">
        <f t="shared" si="15"/>
        <v>0</v>
      </c>
      <c r="AD9" s="293">
        <f>0.004738*Y9*1.31</f>
        <v>124.13560000000001</v>
      </c>
      <c r="AE9" s="291">
        <f t="shared" si="16"/>
        <v>4.8</v>
      </c>
      <c r="AF9" s="291">
        <f t="shared" si="17"/>
        <v>0</v>
      </c>
      <c r="AG9" s="291">
        <f t="shared" si="18"/>
        <v>0</v>
      </c>
      <c r="AH9" s="291">
        <f t="shared" si="19"/>
        <v>0</v>
      </c>
      <c r="AI9" s="291">
        <v>0.32750000000000001</v>
      </c>
      <c r="AJ9" s="291">
        <f t="shared" si="20"/>
        <v>0</v>
      </c>
      <c r="AK9" s="291">
        <f t="shared" ref="AK9:AK16" si="25">IF(A9&gt;0,+AF9+AC9+AI9,0)</f>
        <v>0</v>
      </c>
      <c r="AL9" s="291">
        <v>248</v>
      </c>
      <c r="AM9" s="291">
        <f t="shared" si="21"/>
        <v>0</v>
      </c>
      <c r="AN9" s="291">
        <f t="shared" si="22"/>
        <v>0</v>
      </c>
      <c r="AO9" s="313">
        <f t="shared" si="23"/>
        <v>0</v>
      </c>
    </row>
    <row r="10" spans="1:41" s="13" customFormat="1">
      <c r="A10" s="312">
        <v>0</v>
      </c>
      <c r="B10" s="290" t="s">
        <v>1092</v>
      </c>
      <c r="C10" s="290" t="s">
        <v>326</v>
      </c>
      <c r="D10" s="290" t="s">
        <v>327</v>
      </c>
      <c r="E10" s="290" t="s">
        <v>331</v>
      </c>
      <c r="F10" s="290">
        <f t="shared" si="3"/>
        <v>2026</v>
      </c>
      <c r="G10" s="290">
        <f t="shared" si="0"/>
        <v>2026</v>
      </c>
      <c r="H10" s="290">
        <v>2032</v>
      </c>
      <c r="I10" s="291">
        <v>146989</v>
      </c>
      <c r="J10" s="291">
        <v>8</v>
      </c>
      <c r="K10" s="291">
        <f t="shared" si="1"/>
        <v>6</v>
      </c>
      <c r="L10" s="291"/>
      <c r="M10" s="291">
        <v>3</v>
      </c>
      <c r="N10" s="291">
        <f t="shared" si="4"/>
        <v>0</v>
      </c>
      <c r="O10" s="292">
        <f t="shared" si="5"/>
        <v>0</v>
      </c>
      <c r="P10" s="292">
        <f t="shared" si="6"/>
        <v>0</v>
      </c>
      <c r="Q10" s="291">
        <f t="shared" si="7"/>
        <v>0</v>
      </c>
      <c r="R10" s="291">
        <f t="shared" si="8"/>
        <v>0</v>
      </c>
      <c r="S10" s="291">
        <f t="shared" si="9"/>
        <v>0</v>
      </c>
      <c r="T10" s="291">
        <f t="shared" si="10"/>
        <v>0</v>
      </c>
      <c r="U10" s="291">
        <f t="shared" si="11"/>
        <v>0</v>
      </c>
      <c r="V10" s="291">
        <f t="shared" si="12"/>
        <v>0</v>
      </c>
      <c r="W10" s="291">
        <f t="shared" si="24"/>
        <v>0</v>
      </c>
      <c r="X10" s="313">
        <f t="shared" si="13"/>
        <v>0</v>
      </c>
      <c r="Y10" s="321">
        <f t="shared" si="2"/>
        <v>20000</v>
      </c>
      <c r="Z10" s="291">
        <v>12</v>
      </c>
      <c r="AA10" s="291">
        <f t="shared" si="14"/>
        <v>2400</v>
      </c>
      <c r="AB10" s="291">
        <f>+'B.0.ConsumiblesMaquinaria'!J$22</f>
        <v>1.9</v>
      </c>
      <c r="AC10" s="291">
        <f t="shared" si="15"/>
        <v>0</v>
      </c>
      <c r="AD10" s="293">
        <f>0.004738*Y10*1.1</f>
        <v>104.23600000000002</v>
      </c>
      <c r="AE10" s="291">
        <f t="shared" si="16"/>
        <v>4.8</v>
      </c>
      <c r="AF10" s="291">
        <f t="shared" si="17"/>
        <v>0</v>
      </c>
      <c r="AG10" s="291">
        <f t="shared" si="18"/>
        <v>0</v>
      </c>
      <c r="AH10" s="291">
        <f t="shared" si="19"/>
        <v>0</v>
      </c>
      <c r="AI10" s="291">
        <v>0.33662500000000001</v>
      </c>
      <c r="AJ10" s="291">
        <f t="shared" si="20"/>
        <v>0</v>
      </c>
      <c r="AK10" s="291">
        <f t="shared" si="25"/>
        <v>0</v>
      </c>
      <c r="AL10" s="291">
        <v>248</v>
      </c>
      <c r="AM10" s="291">
        <f t="shared" si="21"/>
        <v>0</v>
      </c>
      <c r="AN10" s="291">
        <f t="shared" si="22"/>
        <v>0</v>
      </c>
      <c r="AO10" s="313">
        <f t="shared" si="23"/>
        <v>0</v>
      </c>
    </row>
    <row r="11" spans="1:41" s="13" customFormat="1">
      <c r="A11" s="312">
        <v>0</v>
      </c>
      <c r="B11" s="290" t="s">
        <v>1091</v>
      </c>
      <c r="C11" s="290" t="s">
        <v>326</v>
      </c>
      <c r="D11" s="290" t="s">
        <v>327</v>
      </c>
      <c r="E11" s="290" t="s">
        <v>332</v>
      </c>
      <c r="F11" s="290">
        <f t="shared" si="3"/>
        <v>2026</v>
      </c>
      <c r="G11" s="290">
        <f t="shared" si="0"/>
        <v>2026</v>
      </c>
      <c r="H11" s="290">
        <v>2032</v>
      </c>
      <c r="I11" s="291">
        <v>104500</v>
      </c>
      <c r="J11" s="291">
        <v>8</v>
      </c>
      <c r="K11" s="291">
        <f t="shared" si="1"/>
        <v>6</v>
      </c>
      <c r="L11" s="291"/>
      <c r="M11" s="291">
        <v>3</v>
      </c>
      <c r="N11" s="291">
        <f t="shared" si="4"/>
        <v>0</v>
      </c>
      <c r="O11" s="291">
        <f t="shared" si="5"/>
        <v>0</v>
      </c>
      <c r="P11" s="291">
        <f t="shared" si="6"/>
        <v>0</v>
      </c>
      <c r="Q11" s="291">
        <f t="shared" si="7"/>
        <v>0</v>
      </c>
      <c r="R11" s="291">
        <f t="shared" si="8"/>
        <v>0</v>
      </c>
      <c r="S11" s="291">
        <f t="shared" si="9"/>
        <v>0</v>
      </c>
      <c r="T11" s="291">
        <f t="shared" si="10"/>
        <v>0</v>
      </c>
      <c r="U11" s="291">
        <f t="shared" si="11"/>
        <v>0</v>
      </c>
      <c r="V11" s="291">
        <f t="shared" si="12"/>
        <v>0</v>
      </c>
      <c r="W11" s="291">
        <f t="shared" si="24"/>
        <v>0</v>
      </c>
      <c r="X11" s="313">
        <f t="shared" si="13"/>
        <v>0</v>
      </c>
      <c r="Y11" s="321">
        <f t="shared" si="2"/>
        <v>20000</v>
      </c>
      <c r="Z11" s="291">
        <v>20</v>
      </c>
      <c r="AA11" s="291">
        <f t="shared" si="14"/>
        <v>4000</v>
      </c>
      <c r="AB11" s="291">
        <f>+'B.0.ConsumiblesMaquinaria'!J$22</f>
        <v>1.9</v>
      </c>
      <c r="AC11" s="291">
        <f t="shared" si="15"/>
        <v>0</v>
      </c>
      <c r="AD11" s="293">
        <f>0.004738*Y11*1.33</f>
        <v>126.03080000000001</v>
      </c>
      <c r="AE11" s="291">
        <f t="shared" si="16"/>
        <v>4.8</v>
      </c>
      <c r="AF11" s="291">
        <f t="shared" si="17"/>
        <v>0</v>
      </c>
      <c r="AG11" s="291">
        <f t="shared" si="18"/>
        <v>0</v>
      </c>
      <c r="AH11" s="291">
        <f t="shared" si="19"/>
        <v>0</v>
      </c>
      <c r="AI11" s="291">
        <v>0.2485</v>
      </c>
      <c r="AJ11" s="291">
        <f t="shared" si="20"/>
        <v>0</v>
      </c>
      <c r="AK11" s="291">
        <f t="shared" si="25"/>
        <v>0</v>
      </c>
      <c r="AL11" s="291">
        <v>248</v>
      </c>
      <c r="AM11" s="291">
        <f t="shared" si="21"/>
        <v>0</v>
      </c>
      <c r="AN11" s="291">
        <f t="shared" si="22"/>
        <v>0</v>
      </c>
      <c r="AO11" s="313">
        <f t="shared" si="23"/>
        <v>0</v>
      </c>
    </row>
    <row r="12" spans="1:41" s="13" customFormat="1">
      <c r="A12" s="312">
        <v>0</v>
      </c>
      <c r="B12" s="290" t="s">
        <v>1091</v>
      </c>
      <c r="C12" s="290" t="s">
        <v>326</v>
      </c>
      <c r="D12" s="290" t="s">
        <v>327</v>
      </c>
      <c r="E12" s="290" t="s">
        <v>331</v>
      </c>
      <c r="F12" s="290">
        <f t="shared" si="3"/>
        <v>2026</v>
      </c>
      <c r="G12" s="290">
        <f t="shared" si="0"/>
        <v>2026</v>
      </c>
      <c r="H12" s="290">
        <v>2032</v>
      </c>
      <c r="I12" s="291">
        <v>137956</v>
      </c>
      <c r="J12" s="291">
        <v>8</v>
      </c>
      <c r="K12" s="291">
        <f t="shared" si="1"/>
        <v>6</v>
      </c>
      <c r="L12" s="291"/>
      <c r="M12" s="291">
        <v>3</v>
      </c>
      <c r="N12" s="291">
        <f t="shared" si="4"/>
        <v>0</v>
      </c>
      <c r="O12" s="291">
        <f t="shared" si="5"/>
        <v>0</v>
      </c>
      <c r="P12" s="291">
        <f t="shared" si="6"/>
        <v>0</v>
      </c>
      <c r="Q12" s="291">
        <f t="shared" si="7"/>
        <v>0</v>
      </c>
      <c r="R12" s="291">
        <f t="shared" si="8"/>
        <v>0</v>
      </c>
      <c r="S12" s="291">
        <f t="shared" si="9"/>
        <v>0</v>
      </c>
      <c r="T12" s="291">
        <f t="shared" si="10"/>
        <v>0</v>
      </c>
      <c r="U12" s="291">
        <f t="shared" si="11"/>
        <v>0</v>
      </c>
      <c r="V12" s="291">
        <f t="shared" si="12"/>
        <v>0</v>
      </c>
      <c r="W12" s="291">
        <f t="shared" si="24"/>
        <v>0</v>
      </c>
      <c r="X12" s="313">
        <f t="shared" si="13"/>
        <v>0</v>
      </c>
      <c r="Y12" s="321">
        <f t="shared" si="2"/>
        <v>20000</v>
      </c>
      <c r="Z12" s="291">
        <v>15</v>
      </c>
      <c r="AA12" s="291">
        <f t="shared" si="14"/>
        <v>3000</v>
      </c>
      <c r="AB12" s="291">
        <f>+'B.0.ConsumiblesMaquinaria'!J$22</f>
        <v>1.9</v>
      </c>
      <c r="AC12" s="291">
        <f t="shared" si="15"/>
        <v>0</v>
      </c>
      <c r="AD12" s="293">
        <f>0.004738*Y12*1.1</f>
        <v>104.23600000000002</v>
      </c>
      <c r="AE12" s="291">
        <f t="shared" si="16"/>
        <v>4.8</v>
      </c>
      <c r="AF12" s="291">
        <f t="shared" si="17"/>
        <v>0</v>
      </c>
      <c r="AG12" s="291">
        <f t="shared" si="18"/>
        <v>0</v>
      </c>
      <c r="AH12" s="291">
        <f t="shared" si="19"/>
        <v>0</v>
      </c>
      <c r="AI12" s="291">
        <v>0.215</v>
      </c>
      <c r="AJ12" s="291">
        <f t="shared" si="20"/>
        <v>0</v>
      </c>
      <c r="AK12" s="291">
        <f t="shared" si="25"/>
        <v>0</v>
      </c>
      <c r="AL12" s="291">
        <v>248</v>
      </c>
      <c r="AM12" s="291">
        <f t="shared" si="21"/>
        <v>0</v>
      </c>
      <c r="AN12" s="291">
        <f t="shared" si="22"/>
        <v>0</v>
      </c>
      <c r="AO12" s="313">
        <f t="shared" si="23"/>
        <v>0</v>
      </c>
    </row>
    <row r="13" spans="1:41" s="13" customFormat="1">
      <c r="A13" s="312">
        <v>0</v>
      </c>
      <c r="B13" s="290" t="s">
        <v>1091</v>
      </c>
      <c r="C13" s="290" t="s">
        <v>326</v>
      </c>
      <c r="D13" s="290" t="s">
        <v>327</v>
      </c>
      <c r="E13" s="290" t="s">
        <v>333</v>
      </c>
      <c r="F13" s="290">
        <f t="shared" si="3"/>
        <v>2026</v>
      </c>
      <c r="G13" s="290">
        <f t="shared" si="0"/>
        <v>2026</v>
      </c>
      <c r="H13" s="290">
        <v>2032</v>
      </c>
      <c r="I13" s="291">
        <v>90527</v>
      </c>
      <c r="J13" s="291">
        <v>8</v>
      </c>
      <c r="K13" s="291">
        <f t="shared" si="1"/>
        <v>6</v>
      </c>
      <c r="L13" s="291"/>
      <c r="M13" s="291">
        <v>3</v>
      </c>
      <c r="N13" s="291">
        <f t="shared" si="4"/>
        <v>0</v>
      </c>
      <c r="O13" s="291">
        <f t="shared" si="5"/>
        <v>0</v>
      </c>
      <c r="P13" s="291">
        <f t="shared" si="6"/>
        <v>0</v>
      </c>
      <c r="Q13" s="291">
        <f t="shared" si="7"/>
        <v>0</v>
      </c>
      <c r="R13" s="291">
        <f t="shared" si="8"/>
        <v>0</v>
      </c>
      <c r="S13" s="291">
        <f t="shared" si="9"/>
        <v>0</v>
      </c>
      <c r="T13" s="291">
        <f t="shared" si="10"/>
        <v>0</v>
      </c>
      <c r="U13" s="291">
        <f t="shared" si="11"/>
        <v>0</v>
      </c>
      <c r="V13" s="291">
        <f t="shared" si="12"/>
        <v>0</v>
      </c>
      <c r="W13" s="291">
        <f t="shared" si="24"/>
        <v>0</v>
      </c>
      <c r="X13" s="313">
        <f t="shared" si="13"/>
        <v>0</v>
      </c>
      <c r="Y13" s="321">
        <f t="shared" si="2"/>
        <v>20000</v>
      </c>
      <c r="Z13" s="291">
        <v>14</v>
      </c>
      <c r="AA13" s="291">
        <f t="shared" si="14"/>
        <v>2800</v>
      </c>
      <c r="AB13" s="291">
        <f>+'B.0.ConsumiblesMaquinaria'!J$22</f>
        <v>1.9</v>
      </c>
      <c r="AC13" s="291">
        <f t="shared" si="15"/>
        <v>0</v>
      </c>
      <c r="AD13" s="293">
        <f>0.007738*Y13*1.08</f>
        <v>167.14080000000001</v>
      </c>
      <c r="AE13" s="291">
        <f t="shared" si="16"/>
        <v>4.8</v>
      </c>
      <c r="AF13" s="291">
        <f t="shared" si="17"/>
        <v>0</v>
      </c>
      <c r="AG13" s="291">
        <f t="shared" si="18"/>
        <v>0</v>
      </c>
      <c r="AH13" s="291">
        <f t="shared" si="19"/>
        <v>0</v>
      </c>
      <c r="AI13" s="291">
        <v>0.20030000000000001</v>
      </c>
      <c r="AJ13" s="291">
        <f t="shared" si="20"/>
        <v>0</v>
      </c>
      <c r="AK13" s="291">
        <f t="shared" si="25"/>
        <v>0</v>
      </c>
      <c r="AL13" s="291">
        <v>248</v>
      </c>
      <c r="AM13" s="291">
        <f t="shared" si="21"/>
        <v>0</v>
      </c>
      <c r="AN13" s="291">
        <f t="shared" si="22"/>
        <v>0</v>
      </c>
      <c r="AO13" s="313">
        <f t="shared" si="23"/>
        <v>0</v>
      </c>
    </row>
    <row r="14" spans="1:41" s="13" customFormat="1">
      <c r="A14" s="312">
        <v>0</v>
      </c>
      <c r="B14" s="290" t="s">
        <v>1089</v>
      </c>
      <c r="C14" s="290" t="s">
        <v>326</v>
      </c>
      <c r="D14" s="290" t="s">
        <v>334</v>
      </c>
      <c r="E14" s="290" t="s">
        <v>335</v>
      </c>
      <c r="F14" s="290">
        <f t="shared" si="3"/>
        <v>2026</v>
      </c>
      <c r="G14" s="290">
        <f t="shared" si="0"/>
        <v>2026</v>
      </c>
      <c r="H14" s="290">
        <v>2032</v>
      </c>
      <c r="I14" s="291">
        <v>137950</v>
      </c>
      <c r="J14" s="291">
        <v>8</v>
      </c>
      <c r="K14" s="291">
        <f t="shared" si="1"/>
        <v>6</v>
      </c>
      <c r="L14" s="291"/>
      <c r="M14" s="291">
        <v>3</v>
      </c>
      <c r="N14" s="291">
        <f t="shared" si="4"/>
        <v>0</v>
      </c>
      <c r="O14" s="291">
        <f t="shared" si="5"/>
        <v>0</v>
      </c>
      <c r="P14" s="291">
        <f t="shared" si="6"/>
        <v>0</v>
      </c>
      <c r="Q14" s="291">
        <f t="shared" si="7"/>
        <v>0</v>
      </c>
      <c r="R14" s="291">
        <f t="shared" si="8"/>
        <v>0</v>
      </c>
      <c r="S14" s="291">
        <f t="shared" si="9"/>
        <v>0</v>
      </c>
      <c r="T14" s="291">
        <f t="shared" si="10"/>
        <v>0</v>
      </c>
      <c r="U14" s="291">
        <f t="shared" si="11"/>
        <v>0</v>
      </c>
      <c r="V14" s="291">
        <f t="shared" si="12"/>
        <v>0</v>
      </c>
      <c r="W14" s="291">
        <f t="shared" si="24"/>
        <v>0</v>
      </c>
      <c r="X14" s="313">
        <f t="shared" si="13"/>
        <v>0</v>
      </c>
      <c r="Y14" s="321">
        <f t="shared" si="2"/>
        <v>20000</v>
      </c>
      <c r="Z14" s="291">
        <v>15</v>
      </c>
      <c r="AA14" s="291">
        <f t="shared" si="14"/>
        <v>3000</v>
      </c>
      <c r="AB14" s="291">
        <f>+'B.0.ConsumiblesMaquinaria'!J$22</f>
        <v>1.9</v>
      </c>
      <c r="AC14" s="291">
        <f t="shared" si="15"/>
        <v>0</v>
      </c>
      <c r="AD14" s="293">
        <f>0.004738*Y14*1.14</f>
        <v>108.0264</v>
      </c>
      <c r="AE14" s="291">
        <f t="shared" ref="AE14:AE16" si="26">AE$5</f>
        <v>4.8</v>
      </c>
      <c r="AF14" s="291">
        <f t="shared" si="17"/>
        <v>0</v>
      </c>
      <c r="AG14" s="291">
        <f t="shared" si="18"/>
        <v>0</v>
      </c>
      <c r="AH14" s="291">
        <f t="shared" si="19"/>
        <v>0</v>
      </c>
      <c r="AI14" s="291">
        <v>0.2175</v>
      </c>
      <c r="AJ14" s="291">
        <f t="shared" si="20"/>
        <v>0</v>
      </c>
      <c r="AK14" s="291">
        <f t="shared" si="25"/>
        <v>0</v>
      </c>
      <c r="AL14" s="291">
        <v>248</v>
      </c>
      <c r="AM14" s="291">
        <f t="shared" si="21"/>
        <v>0</v>
      </c>
      <c r="AN14" s="291">
        <f t="shared" si="22"/>
        <v>0</v>
      </c>
      <c r="AO14" s="313">
        <f t="shared" si="23"/>
        <v>0</v>
      </c>
    </row>
    <row r="15" spans="1:41" s="13" customFormat="1">
      <c r="A15" s="312">
        <v>0</v>
      </c>
      <c r="B15" s="290" t="s">
        <v>336</v>
      </c>
      <c r="C15" s="290" t="s">
        <v>326</v>
      </c>
      <c r="D15" s="290" t="s">
        <v>337</v>
      </c>
      <c r="E15" s="290" t="s">
        <v>338</v>
      </c>
      <c r="F15" s="290">
        <f t="shared" si="3"/>
        <v>2026</v>
      </c>
      <c r="G15" s="290">
        <f t="shared" si="0"/>
        <v>2026</v>
      </c>
      <c r="H15" s="290">
        <v>2032</v>
      </c>
      <c r="I15" s="291">
        <v>173589</v>
      </c>
      <c r="J15" s="291">
        <v>8</v>
      </c>
      <c r="K15" s="291">
        <f t="shared" si="1"/>
        <v>6</v>
      </c>
      <c r="L15" s="291"/>
      <c r="M15" s="291">
        <v>3</v>
      </c>
      <c r="N15" s="291">
        <f t="shared" si="4"/>
        <v>0</v>
      </c>
      <c r="O15" s="291">
        <f t="shared" si="5"/>
        <v>0</v>
      </c>
      <c r="P15" s="291">
        <f t="shared" si="6"/>
        <v>0</v>
      </c>
      <c r="Q15" s="291">
        <f t="shared" si="7"/>
        <v>0</v>
      </c>
      <c r="R15" s="291">
        <f t="shared" si="8"/>
        <v>0</v>
      </c>
      <c r="S15" s="291">
        <f t="shared" si="9"/>
        <v>0</v>
      </c>
      <c r="T15" s="291">
        <f t="shared" si="10"/>
        <v>0</v>
      </c>
      <c r="U15" s="291">
        <f t="shared" si="11"/>
        <v>0</v>
      </c>
      <c r="V15" s="291">
        <f t="shared" si="12"/>
        <v>0</v>
      </c>
      <c r="W15" s="291">
        <f t="shared" si="24"/>
        <v>0</v>
      </c>
      <c r="X15" s="313">
        <f t="shared" si="13"/>
        <v>0</v>
      </c>
      <c r="Y15" s="321">
        <f t="shared" si="2"/>
        <v>20000</v>
      </c>
      <c r="Z15" s="291">
        <v>12</v>
      </c>
      <c r="AA15" s="291">
        <f t="shared" si="14"/>
        <v>2400</v>
      </c>
      <c r="AB15" s="291">
        <f>+'B.0.ConsumiblesMaquinaria'!J$22</f>
        <v>1.9</v>
      </c>
      <c r="AC15" s="291">
        <f t="shared" si="15"/>
        <v>0</v>
      </c>
      <c r="AD15" s="293">
        <f>0.004738*Y15*1.11</f>
        <v>105.18360000000001</v>
      </c>
      <c r="AE15" s="291">
        <f t="shared" si="26"/>
        <v>4.8</v>
      </c>
      <c r="AF15" s="291">
        <f t="shared" si="17"/>
        <v>0</v>
      </c>
      <c r="AG15" s="291">
        <f t="shared" si="18"/>
        <v>0</v>
      </c>
      <c r="AH15" s="291">
        <f t="shared" si="19"/>
        <v>0</v>
      </c>
      <c r="AI15" s="291">
        <v>0.41</v>
      </c>
      <c r="AJ15" s="291">
        <f t="shared" si="20"/>
        <v>0</v>
      </c>
      <c r="AK15" s="291">
        <f t="shared" si="25"/>
        <v>0</v>
      </c>
      <c r="AL15" s="291">
        <v>248</v>
      </c>
      <c r="AM15" s="291">
        <f t="shared" si="21"/>
        <v>0</v>
      </c>
      <c r="AN15" s="291">
        <f t="shared" si="22"/>
        <v>0</v>
      </c>
      <c r="AO15" s="313">
        <f t="shared" si="23"/>
        <v>0</v>
      </c>
    </row>
    <row r="16" spans="1:41" s="13" customFormat="1">
      <c r="A16" s="314">
        <v>0</v>
      </c>
      <c r="B16" s="315" t="s">
        <v>1090</v>
      </c>
      <c r="C16" s="315" t="s">
        <v>326</v>
      </c>
      <c r="D16" s="315" t="s">
        <v>339</v>
      </c>
      <c r="E16" s="315" t="s">
        <v>331</v>
      </c>
      <c r="F16" s="315">
        <f t="shared" si="3"/>
        <v>2026</v>
      </c>
      <c r="G16" s="315">
        <f t="shared" si="0"/>
        <v>2026</v>
      </c>
      <c r="H16" s="315">
        <v>2032</v>
      </c>
      <c r="I16" s="316">
        <v>143870</v>
      </c>
      <c r="J16" s="316">
        <v>8</v>
      </c>
      <c r="K16" s="316">
        <f t="shared" si="1"/>
        <v>6</v>
      </c>
      <c r="L16" s="316"/>
      <c r="M16" s="316">
        <v>3</v>
      </c>
      <c r="N16" s="316">
        <f t="shared" si="4"/>
        <v>0</v>
      </c>
      <c r="O16" s="316">
        <f t="shared" si="5"/>
        <v>0</v>
      </c>
      <c r="P16" s="316">
        <f t="shared" si="6"/>
        <v>0</v>
      </c>
      <c r="Q16" s="316">
        <f t="shared" si="7"/>
        <v>0</v>
      </c>
      <c r="R16" s="316">
        <f t="shared" si="8"/>
        <v>0</v>
      </c>
      <c r="S16" s="316">
        <f t="shared" si="9"/>
        <v>0</v>
      </c>
      <c r="T16" s="316">
        <f t="shared" si="10"/>
        <v>0</v>
      </c>
      <c r="U16" s="316">
        <f t="shared" si="11"/>
        <v>0</v>
      </c>
      <c r="V16" s="316">
        <f t="shared" si="12"/>
        <v>0</v>
      </c>
      <c r="W16" s="316">
        <f t="shared" si="24"/>
        <v>0</v>
      </c>
      <c r="X16" s="317">
        <f t="shared" si="13"/>
        <v>0</v>
      </c>
      <c r="Y16" s="322">
        <f t="shared" si="2"/>
        <v>20000</v>
      </c>
      <c r="Z16" s="316">
        <v>17</v>
      </c>
      <c r="AA16" s="316">
        <f t="shared" si="14"/>
        <v>3400</v>
      </c>
      <c r="AB16" s="316">
        <f>+'B.0.ConsumiblesMaquinaria'!J$22</f>
        <v>1.9</v>
      </c>
      <c r="AC16" s="316">
        <f t="shared" si="15"/>
        <v>0</v>
      </c>
      <c r="AD16" s="323">
        <f>0.004738*Y16*1.1</f>
        <v>104.23600000000002</v>
      </c>
      <c r="AE16" s="316">
        <f t="shared" si="26"/>
        <v>4.8</v>
      </c>
      <c r="AF16" s="316">
        <f t="shared" si="17"/>
        <v>0</v>
      </c>
      <c r="AG16" s="316">
        <f t="shared" si="18"/>
        <v>0</v>
      </c>
      <c r="AH16" s="316">
        <f t="shared" si="19"/>
        <v>0</v>
      </c>
      <c r="AI16" s="316">
        <v>0.26</v>
      </c>
      <c r="AJ16" s="316">
        <f t="shared" si="20"/>
        <v>0</v>
      </c>
      <c r="AK16" s="316">
        <f t="shared" si="25"/>
        <v>0</v>
      </c>
      <c r="AL16" s="316">
        <v>248</v>
      </c>
      <c r="AM16" s="316">
        <f t="shared" si="21"/>
        <v>0</v>
      </c>
      <c r="AN16" s="316">
        <f t="shared" si="22"/>
        <v>0</v>
      </c>
      <c r="AO16" s="317">
        <f t="shared" si="23"/>
        <v>0</v>
      </c>
    </row>
    <row r="17" spans="1:41">
      <c r="A17" s="731" t="s">
        <v>340</v>
      </c>
      <c r="B17" s="732" t="s">
        <v>340</v>
      </c>
      <c r="C17" s="732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365"/>
    </row>
    <row r="18" spans="1:41">
      <c r="A18" s="312">
        <v>0</v>
      </c>
      <c r="B18" s="335" t="s">
        <v>341</v>
      </c>
      <c r="C18" s="335" t="s">
        <v>342</v>
      </c>
      <c r="D18" s="335" t="s">
        <v>327</v>
      </c>
      <c r="E18" s="335" t="s">
        <v>343</v>
      </c>
      <c r="F18" s="309">
        <f t="shared" ref="F18:F24" si="27">$G$5</f>
        <v>2026</v>
      </c>
      <c r="G18" s="335">
        <f>G$5</f>
        <v>2026</v>
      </c>
      <c r="H18" s="335">
        <f t="shared" ref="G18:H24" si="28">H$5</f>
        <v>2032</v>
      </c>
      <c r="I18" s="325">
        <v>70000</v>
      </c>
      <c r="J18" s="325">
        <v>8</v>
      </c>
      <c r="K18" s="325">
        <f>H18-G18</f>
        <v>6</v>
      </c>
      <c r="L18" s="456">
        <v>600</v>
      </c>
      <c r="M18" s="325">
        <v>4</v>
      </c>
      <c r="N18" s="325">
        <f t="shared" ref="N18:N24" si="29">I18*A18</f>
        <v>0</v>
      </c>
      <c r="O18" s="325">
        <f t="shared" ref="O18:O24" si="30">IF(A18&gt;0,I18/J18,0)</f>
        <v>0</v>
      </c>
      <c r="P18" s="325">
        <f t="shared" ref="P18:P24" si="31">O18*A18</f>
        <v>0</v>
      </c>
      <c r="Q18" s="325">
        <f t="shared" ref="Q18:Q24" si="32">IF(A18&gt;0,-PMT($Q$6,J18,I18)-O18,0)</f>
        <v>0</v>
      </c>
      <c r="R18" s="325">
        <f t="shared" ref="R18:R24" si="33">Q18*A18</f>
        <v>0</v>
      </c>
      <c r="S18" s="325">
        <f t="shared" ref="S18:S24" si="34">(Q18+O18)*A18</f>
        <v>0</v>
      </c>
      <c r="T18" s="291">
        <f>O18*(T$6+0.02)</f>
        <v>0</v>
      </c>
      <c r="U18" s="325">
        <f t="shared" ref="U18:U24" si="35">T18*A18</f>
        <v>0</v>
      </c>
      <c r="V18" s="325">
        <f t="shared" ref="V18:V24" si="36">O18*(J18-(K18+(G18-F18)))</f>
        <v>0</v>
      </c>
      <c r="W18" s="310">
        <f t="shared" si="24"/>
        <v>0</v>
      </c>
      <c r="X18" s="311">
        <f t="shared" si="13"/>
        <v>0</v>
      </c>
      <c r="Y18" s="324">
        <v>15000</v>
      </c>
      <c r="Z18" s="325">
        <v>20</v>
      </c>
      <c r="AA18" s="325">
        <f>ROUND(Y18*Z18,2)/100</f>
        <v>3000</v>
      </c>
      <c r="AB18" s="325">
        <f>'B.0.ConsumiblesMaquinaria'!$J$25</f>
        <v>0.35</v>
      </c>
      <c r="AC18" s="325">
        <f>IF(A18&gt;0,+ROUND(AB18*AA18/248,2),0)</f>
        <v>0</v>
      </c>
      <c r="AD18" s="326">
        <f>0.003038*Y18*0.7</f>
        <v>31.898999999999997</v>
      </c>
      <c r="AE18" s="325">
        <f t="shared" ref="AE18:AE24" si="37">AE$5</f>
        <v>4.8</v>
      </c>
      <c r="AF18" s="325">
        <f t="shared" ref="AF18:AF24" si="38">IF(A18&gt;0,+ROUND(AE18*AD18/248,2),0)</f>
        <v>0</v>
      </c>
      <c r="AG18" s="325">
        <f>AF18+AC18</f>
        <v>0</v>
      </c>
      <c r="AH18" s="325">
        <f t="shared" ref="AH18:AH24" si="39">(AG18*AL18)*A18</f>
        <v>0</v>
      </c>
      <c r="AI18" s="325">
        <v>0.14899999999999999</v>
      </c>
      <c r="AJ18" s="325">
        <f t="shared" ref="AJ18:AJ24" si="40">(AI18*AL18)*A18</f>
        <v>0</v>
      </c>
      <c r="AK18" s="325">
        <f>IF(A18&gt;0,+AF18+AC18+AI18,0)</f>
        <v>0</v>
      </c>
      <c r="AL18" s="325">
        <v>248</v>
      </c>
      <c r="AM18" s="325">
        <f t="shared" si="21"/>
        <v>0</v>
      </c>
      <c r="AN18" s="325">
        <f t="shared" ref="AN18:AN24" si="41">AM18*A18</f>
        <v>0</v>
      </c>
      <c r="AO18" s="327">
        <f t="shared" ref="AO18:AO24" si="42">X18+AN18</f>
        <v>0</v>
      </c>
    </row>
    <row r="19" spans="1:41">
      <c r="A19" s="312">
        <v>0</v>
      </c>
      <c r="B19" s="294" t="s">
        <v>341</v>
      </c>
      <c r="C19" s="294" t="s">
        <v>344</v>
      </c>
      <c r="D19" s="294" t="s">
        <v>327</v>
      </c>
      <c r="E19" s="294" t="s">
        <v>343</v>
      </c>
      <c r="F19" s="290">
        <f t="shared" si="27"/>
        <v>2026</v>
      </c>
      <c r="G19" s="294">
        <f t="shared" si="28"/>
        <v>2026</v>
      </c>
      <c r="H19" s="294">
        <f t="shared" si="28"/>
        <v>2032</v>
      </c>
      <c r="I19" s="295">
        <v>75000</v>
      </c>
      <c r="J19" s="295">
        <v>8</v>
      </c>
      <c r="K19" s="295">
        <f t="shared" ref="K19:K24" si="43">H19-G19</f>
        <v>6</v>
      </c>
      <c r="L19" s="457">
        <v>600</v>
      </c>
      <c r="M19" s="295">
        <v>3</v>
      </c>
      <c r="N19" s="291">
        <f t="shared" si="29"/>
        <v>0</v>
      </c>
      <c r="O19" s="291">
        <f t="shared" si="30"/>
        <v>0</v>
      </c>
      <c r="P19" s="291">
        <f t="shared" si="31"/>
        <v>0</v>
      </c>
      <c r="Q19" s="291">
        <f t="shared" si="32"/>
        <v>0</v>
      </c>
      <c r="R19" s="291">
        <f t="shared" si="33"/>
        <v>0</v>
      </c>
      <c r="S19" s="291">
        <f t="shared" si="34"/>
        <v>0</v>
      </c>
      <c r="T19" s="291">
        <f>O19*(T$6+0.02)</f>
        <v>0</v>
      </c>
      <c r="U19" s="291">
        <f t="shared" si="35"/>
        <v>0</v>
      </c>
      <c r="V19" s="291">
        <f t="shared" si="36"/>
        <v>0</v>
      </c>
      <c r="W19" s="291">
        <f t="shared" si="24"/>
        <v>0</v>
      </c>
      <c r="X19" s="313">
        <f t="shared" si="13"/>
        <v>0</v>
      </c>
      <c r="Y19" s="328">
        <v>20000</v>
      </c>
      <c r="Z19" s="295">
        <v>3</v>
      </c>
      <c r="AA19" s="295">
        <f t="shared" ref="AA19:AA24" si="44">ROUND(Y19*Z19,2)/100</f>
        <v>600</v>
      </c>
      <c r="AB19" s="295">
        <f>+'B.0.ConsumiblesMaquinaria'!J$22</f>
        <v>1.9</v>
      </c>
      <c r="AC19" s="295">
        <f t="shared" ref="AC19:AC24" si="45">IF(A19&gt;0,+ROUND(AB19*AA19/248,2),0)</f>
        <v>0</v>
      </c>
      <c r="AD19" s="296">
        <f>0.002038*Y19</f>
        <v>40.76</v>
      </c>
      <c r="AE19" s="295">
        <f t="shared" si="37"/>
        <v>4.8</v>
      </c>
      <c r="AF19" s="295">
        <f t="shared" si="38"/>
        <v>0</v>
      </c>
      <c r="AG19" s="295">
        <f t="shared" ref="AG19:AG24" si="46">AF19+AC19</f>
        <v>0</v>
      </c>
      <c r="AH19" s="295">
        <f t="shared" si="39"/>
        <v>0</v>
      </c>
      <c r="AI19" s="295">
        <v>0.3</v>
      </c>
      <c r="AJ19" s="295">
        <f t="shared" si="40"/>
        <v>0</v>
      </c>
      <c r="AK19" s="295">
        <f t="shared" ref="AK19:AK24" si="47">IF(A19&gt;0,+AF19+AC19+AI19,0)</f>
        <v>0</v>
      </c>
      <c r="AL19" s="295">
        <v>248</v>
      </c>
      <c r="AM19" s="295">
        <f t="shared" si="21"/>
        <v>0</v>
      </c>
      <c r="AN19" s="295">
        <f t="shared" si="41"/>
        <v>0</v>
      </c>
      <c r="AO19" s="329">
        <f t="shared" si="42"/>
        <v>0</v>
      </c>
    </row>
    <row r="20" spans="1:41">
      <c r="A20" s="312">
        <v>0</v>
      </c>
      <c r="B20" s="294" t="s">
        <v>341</v>
      </c>
      <c r="C20" s="294" t="s">
        <v>326</v>
      </c>
      <c r="D20" s="294" t="s">
        <v>327</v>
      </c>
      <c r="E20" s="294" t="s">
        <v>345</v>
      </c>
      <c r="F20" s="290">
        <f t="shared" si="27"/>
        <v>2026</v>
      </c>
      <c r="G20" s="294">
        <f t="shared" si="28"/>
        <v>2026</v>
      </c>
      <c r="H20" s="294">
        <f t="shared" si="28"/>
        <v>2032</v>
      </c>
      <c r="I20" s="295">
        <v>42000</v>
      </c>
      <c r="J20" s="295">
        <v>8</v>
      </c>
      <c r="K20" s="295">
        <f t="shared" si="43"/>
        <v>6</v>
      </c>
      <c r="L20" s="457">
        <v>500</v>
      </c>
      <c r="M20" s="295">
        <v>3</v>
      </c>
      <c r="N20" s="291">
        <f t="shared" si="29"/>
        <v>0</v>
      </c>
      <c r="O20" s="291">
        <f t="shared" si="30"/>
        <v>0</v>
      </c>
      <c r="P20" s="291">
        <f t="shared" si="31"/>
        <v>0</v>
      </c>
      <c r="Q20" s="291">
        <f t="shared" si="32"/>
        <v>0</v>
      </c>
      <c r="R20" s="291">
        <f t="shared" si="33"/>
        <v>0</v>
      </c>
      <c r="S20" s="291">
        <f t="shared" si="34"/>
        <v>0</v>
      </c>
      <c r="T20" s="291">
        <f t="shared" ref="T20:T24" si="48">O20*(T$6+0.02)</f>
        <v>0</v>
      </c>
      <c r="U20" s="291">
        <f t="shared" si="35"/>
        <v>0</v>
      </c>
      <c r="V20" s="291">
        <f t="shared" si="36"/>
        <v>0</v>
      </c>
      <c r="W20" s="291">
        <f t="shared" si="24"/>
        <v>0</v>
      </c>
      <c r="X20" s="313">
        <f t="shared" si="13"/>
        <v>0</v>
      </c>
      <c r="Y20" s="328">
        <f>20000</f>
        <v>20000</v>
      </c>
      <c r="Z20" s="295">
        <v>12</v>
      </c>
      <c r="AA20" s="295">
        <f t="shared" si="44"/>
        <v>2400</v>
      </c>
      <c r="AB20" s="295">
        <f>+'B.0.ConsumiblesMaquinaria'!J$22</f>
        <v>1.9</v>
      </c>
      <c r="AC20" s="295">
        <f t="shared" si="45"/>
        <v>0</v>
      </c>
      <c r="AD20" s="296">
        <f>0.002038*Y20*1.04</f>
        <v>42.3904</v>
      </c>
      <c r="AE20" s="295">
        <f t="shared" si="37"/>
        <v>4.8</v>
      </c>
      <c r="AF20" s="295">
        <f t="shared" si="38"/>
        <v>0</v>
      </c>
      <c r="AG20" s="295">
        <f t="shared" si="46"/>
        <v>0</v>
      </c>
      <c r="AH20" s="295">
        <f t="shared" si="39"/>
        <v>0</v>
      </c>
      <c r="AI20" s="295">
        <v>0.11</v>
      </c>
      <c r="AJ20" s="295">
        <f t="shared" si="40"/>
        <v>0</v>
      </c>
      <c r="AK20" s="295">
        <f t="shared" si="47"/>
        <v>0</v>
      </c>
      <c r="AL20" s="295">
        <v>248</v>
      </c>
      <c r="AM20" s="295">
        <f t="shared" si="21"/>
        <v>0</v>
      </c>
      <c r="AN20" s="295">
        <f t="shared" si="41"/>
        <v>0</v>
      </c>
      <c r="AO20" s="329">
        <f t="shared" si="42"/>
        <v>0</v>
      </c>
    </row>
    <row r="21" spans="1:41">
      <c r="A21" s="312">
        <v>0</v>
      </c>
      <c r="B21" s="297" t="s">
        <v>346</v>
      </c>
      <c r="C21" s="297" t="s">
        <v>326</v>
      </c>
      <c r="D21" s="294" t="s">
        <v>327</v>
      </c>
      <c r="E21" s="294" t="s">
        <v>347</v>
      </c>
      <c r="F21" s="290">
        <f t="shared" si="27"/>
        <v>2026</v>
      </c>
      <c r="G21" s="294">
        <f t="shared" si="28"/>
        <v>2026</v>
      </c>
      <c r="H21" s="294">
        <f t="shared" si="28"/>
        <v>2032</v>
      </c>
      <c r="I21" s="295">
        <v>53500</v>
      </c>
      <c r="J21" s="295">
        <v>8</v>
      </c>
      <c r="K21" s="295">
        <f t="shared" si="43"/>
        <v>6</v>
      </c>
      <c r="L21" s="457">
        <v>800</v>
      </c>
      <c r="M21" s="295">
        <v>6</v>
      </c>
      <c r="N21" s="291">
        <f t="shared" si="29"/>
        <v>0</v>
      </c>
      <c r="O21" s="291">
        <f t="shared" si="30"/>
        <v>0</v>
      </c>
      <c r="P21" s="291">
        <f t="shared" si="31"/>
        <v>0</v>
      </c>
      <c r="Q21" s="291">
        <f t="shared" si="32"/>
        <v>0</v>
      </c>
      <c r="R21" s="291">
        <f t="shared" si="33"/>
        <v>0</v>
      </c>
      <c r="S21" s="291">
        <f t="shared" si="34"/>
        <v>0</v>
      </c>
      <c r="T21" s="291">
        <f t="shared" si="48"/>
        <v>0</v>
      </c>
      <c r="U21" s="291">
        <f t="shared" si="35"/>
        <v>0</v>
      </c>
      <c r="V21" s="291">
        <f t="shared" si="36"/>
        <v>0</v>
      </c>
      <c r="W21" s="291">
        <f t="shared" si="24"/>
        <v>0</v>
      </c>
      <c r="X21" s="313">
        <f t="shared" si="13"/>
        <v>0</v>
      </c>
      <c r="Y21" s="328">
        <f>20000</f>
        <v>20000</v>
      </c>
      <c r="Z21" s="295">
        <v>7.9</v>
      </c>
      <c r="AA21" s="295">
        <f t="shared" si="44"/>
        <v>1580</v>
      </c>
      <c r="AB21" s="295">
        <f>+'B.0.ConsumiblesMaquinaria'!J$22</f>
        <v>1.9</v>
      </c>
      <c r="AC21" s="295">
        <f t="shared" si="45"/>
        <v>0</v>
      </c>
      <c r="AD21" s="296">
        <f>0.002038*Y21*1.04</f>
        <v>42.3904</v>
      </c>
      <c r="AE21" s="295">
        <f t="shared" si="37"/>
        <v>4.8</v>
      </c>
      <c r="AF21" s="295">
        <f t="shared" si="38"/>
        <v>0</v>
      </c>
      <c r="AG21" s="295">
        <f t="shared" si="46"/>
        <v>0</v>
      </c>
      <c r="AH21" s="295">
        <f t="shared" si="39"/>
        <v>0</v>
      </c>
      <c r="AI21" s="295">
        <v>1.1366000000000001</v>
      </c>
      <c r="AJ21" s="295">
        <f t="shared" si="40"/>
        <v>0</v>
      </c>
      <c r="AK21" s="295">
        <f t="shared" si="47"/>
        <v>0</v>
      </c>
      <c r="AL21" s="295">
        <v>248</v>
      </c>
      <c r="AM21" s="295">
        <f t="shared" si="21"/>
        <v>0</v>
      </c>
      <c r="AN21" s="295">
        <f t="shared" si="41"/>
        <v>0</v>
      </c>
      <c r="AO21" s="329">
        <f t="shared" si="42"/>
        <v>0</v>
      </c>
    </row>
    <row r="22" spans="1:41">
      <c r="A22" s="312">
        <v>0</v>
      </c>
      <c r="B22" s="297" t="s">
        <v>348</v>
      </c>
      <c r="C22" s="297" t="s">
        <v>326</v>
      </c>
      <c r="D22" s="294" t="s">
        <v>327</v>
      </c>
      <c r="E22" s="294" t="s">
        <v>349</v>
      </c>
      <c r="F22" s="290">
        <f t="shared" si="27"/>
        <v>2026</v>
      </c>
      <c r="G22" s="294">
        <f t="shared" si="28"/>
        <v>2026</v>
      </c>
      <c r="H22" s="294">
        <f t="shared" si="28"/>
        <v>2032</v>
      </c>
      <c r="I22" s="295">
        <v>61000</v>
      </c>
      <c r="J22" s="295">
        <v>8</v>
      </c>
      <c r="K22" s="295">
        <f t="shared" si="43"/>
        <v>6</v>
      </c>
      <c r="L22" s="457">
        <v>900</v>
      </c>
      <c r="M22" s="295">
        <v>9</v>
      </c>
      <c r="N22" s="291">
        <f t="shared" si="29"/>
        <v>0</v>
      </c>
      <c r="O22" s="291">
        <f t="shared" si="30"/>
        <v>0</v>
      </c>
      <c r="P22" s="291">
        <f t="shared" si="31"/>
        <v>0</v>
      </c>
      <c r="Q22" s="291">
        <f t="shared" si="32"/>
        <v>0</v>
      </c>
      <c r="R22" s="291">
        <f t="shared" si="33"/>
        <v>0</v>
      </c>
      <c r="S22" s="291">
        <f t="shared" si="34"/>
        <v>0</v>
      </c>
      <c r="T22" s="291">
        <f t="shared" si="48"/>
        <v>0</v>
      </c>
      <c r="U22" s="291">
        <f t="shared" si="35"/>
        <v>0</v>
      </c>
      <c r="V22" s="291">
        <f t="shared" si="36"/>
        <v>0</v>
      </c>
      <c r="W22" s="291">
        <f t="shared" si="24"/>
        <v>0</v>
      </c>
      <c r="X22" s="313">
        <f t="shared" si="13"/>
        <v>0</v>
      </c>
      <c r="Y22" s="328">
        <f>20000</f>
        <v>20000</v>
      </c>
      <c r="Z22" s="295">
        <v>7.9</v>
      </c>
      <c r="AA22" s="295">
        <f t="shared" si="44"/>
        <v>1580</v>
      </c>
      <c r="AB22" s="295">
        <f>+'B.0.ConsumiblesMaquinaria'!J$22</f>
        <v>1.9</v>
      </c>
      <c r="AC22" s="295">
        <f t="shared" si="45"/>
        <v>0</v>
      </c>
      <c r="AD22" s="296">
        <f>0.002038*Y22*1.04</f>
        <v>42.3904</v>
      </c>
      <c r="AE22" s="295">
        <f t="shared" si="37"/>
        <v>4.8</v>
      </c>
      <c r="AF22" s="295">
        <f t="shared" si="38"/>
        <v>0</v>
      </c>
      <c r="AG22" s="295">
        <f t="shared" si="46"/>
        <v>0</v>
      </c>
      <c r="AH22" s="295">
        <f t="shared" si="39"/>
        <v>0</v>
      </c>
      <c r="AI22" s="295">
        <v>2.1366000000000001</v>
      </c>
      <c r="AJ22" s="295">
        <f t="shared" si="40"/>
        <v>0</v>
      </c>
      <c r="AK22" s="295">
        <f t="shared" si="47"/>
        <v>0</v>
      </c>
      <c r="AL22" s="295">
        <v>248</v>
      </c>
      <c r="AM22" s="295">
        <f t="shared" si="21"/>
        <v>0</v>
      </c>
      <c r="AN22" s="295">
        <f t="shared" si="41"/>
        <v>0</v>
      </c>
      <c r="AO22" s="329">
        <f t="shared" si="42"/>
        <v>0</v>
      </c>
    </row>
    <row r="23" spans="1:41">
      <c r="A23" s="312">
        <v>0</v>
      </c>
      <c r="B23" s="294" t="s">
        <v>350</v>
      </c>
      <c r="C23" s="294" t="s">
        <v>326</v>
      </c>
      <c r="D23" s="294" t="s">
        <v>327</v>
      </c>
      <c r="E23" s="294" t="s">
        <v>351</v>
      </c>
      <c r="F23" s="290">
        <f t="shared" si="27"/>
        <v>2026</v>
      </c>
      <c r="G23" s="294">
        <f t="shared" si="28"/>
        <v>2026</v>
      </c>
      <c r="H23" s="294">
        <f t="shared" si="28"/>
        <v>2032</v>
      </c>
      <c r="I23" s="295">
        <v>49800</v>
      </c>
      <c r="J23" s="295">
        <v>8</v>
      </c>
      <c r="K23" s="295">
        <f t="shared" si="43"/>
        <v>6</v>
      </c>
      <c r="L23" s="457">
        <v>1000</v>
      </c>
      <c r="M23" s="295">
        <v>3</v>
      </c>
      <c r="N23" s="291">
        <f t="shared" si="29"/>
        <v>0</v>
      </c>
      <c r="O23" s="291">
        <f t="shared" si="30"/>
        <v>0</v>
      </c>
      <c r="P23" s="291">
        <f t="shared" si="31"/>
        <v>0</v>
      </c>
      <c r="Q23" s="291">
        <f t="shared" si="32"/>
        <v>0</v>
      </c>
      <c r="R23" s="291">
        <f t="shared" si="33"/>
        <v>0</v>
      </c>
      <c r="S23" s="291">
        <f t="shared" si="34"/>
        <v>0</v>
      </c>
      <c r="T23" s="291">
        <f t="shared" si="48"/>
        <v>0</v>
      </c>
      <c r="U23" s="291">
        <f t="shared" si="35"/>
        <v>0</v>
      </c>
      <c r="V23" s="291">
        <f t="shared" si="36"/>
        <v>0</v>
      </c>
      <c r="W23" s="291">
        <f t="shared" si="24"/>
        <v>0</v>
      </c>
      <c r="X23" s="313">
        <f t="shared" si="13"/>
        <v>0</v>
      </c>
      <c r="Y23" s="328">
        <f>25000</f>
        <v>25000</v>
      </c>
      <c r="Z23" s="295">
        <v>10</v>
      </c>
      <c r="AA23" s="295">
        <f t="shared" si="44"/>
        <v>2500</v>
      </c>
      <c r="AB23" s="295">
        <f>+'B.0.ConsumiblesMaquinaria'!J$22</f>
        <v>1.9</v>
      </c>
      <c r="AC23" s="295">
        <f t="shared" si="45"/>
        <v>0</v>
      </c>
      <c r="AD23" s="296">
        <f>0.003038*Y23*1.05</f>
        <v>79.747500000000002</v>
      </c>
      <c r="AE23" s="295">
        <f t="shared" si="37"/>
        <v>4.8</v>
      </c>
      <c r="AF23" s="295">
        <f t="shared" si="38"/>
        <v>0</v>
      </c>
      <c r="AG23" s="295">
        <f t="shared" si="46"/>
        <v>0</v>
      </c>
      <c r="AH23" s="295">
        <f t="shared" si="39"/>
        <v>0</v>
      </c>
      <c r="AI23" s="298">
        <v>0.12</v>
      </c>
      <c r="AJ23" s="298">
        <f t="shared" si="40"/>
        <v>0</v>
      </c>
      <c r="AK23" s="295">
        <f t="shared" si="47"/>
        <v>0</v>
      </c>
      <c r="AL23" s="295">
        <v>248</v>
      </c>
      <c r="AM23" s="295">
        <f t="shared" si="21"/>
        <v>0</v>
      </c>
      <c r="AN23" s="295">
        <f t="shared" si="41"/>
        <v>0</v>
      </c>
      <c r="AO23" s="329">
        <f t="shared" si="42"/>
        <v>0</v>
      </c>
    </row>
    <row r="24" spans="1:41">
      <c r="A24" s="312">
        <v>0</v>
      </c>
      <c r="B24" s="336" t="s">
        <v>352</v>
      </c>
      <c r="C24" s="336" t="s">
        <v>326</v>
      </c>
      <c r="D24" s="336" t="s">
        <v>327</v>
      </c>
      <c r="E24" s="336" t="s">
        <v>351</v>
      </c>
      <c r="F24" s="315">
        <f t="shared" si="27"/>
        <v>2026</v>
      </c>
      <c r="G24" s="336">
        <f t="shared" si="28"/>
        <v>2026</v>
      </c>
      <c r="H24" s="336">
        <f t="shared" si="28"/>
        <v>2032</v>
      </c>
      <c r="I24" s="331">
        <v>52000</v>
      </c>
      <c r="J24" s="331">
        <v>8</v>
      </c>
      <c r="K24" s="331">
        <f t="shared" si="43"/>
        <v>6</v>
      </c>
      <c r="L24" s="458">
        <v>1100</v>
      </c>
      <c r="M24" s="331">
        <v>5</v>
      </c>
      <c r="N24" s="316">
        <f t="shared" si="29"/>
        <v>0</v>
      </c>
      <c r="O24" s="316">
        <f t="shared" si="30"/>
        <v>0</v>
      </c>
      <c r="P24" s="316">
        <f t="shared" si="31"/>
        <v>0</v>
      </c>
      <c r="Q24" s="316">
        <f t="shared" si="32"/>
        <v>0</v>
      </c>
      <c r="R24" s="316">
        <f t="shared" si="33"/>
        <v>0</v>
      </c>
      <c r="S24" s="316">
        <f t="shared" si="34"/>
        <v>0</v>
      </c>
      <c r="T24" s="291">
        <f t="shared" si="48"/>
        <v>0</v>
      </c>
      <c r="U24" s="316">
        <f t="shared" si="35"/>
        <v>0</v>
      </c>
      <c r="V24" s="316">
        <f t="shared" si="36"/>
        <v>0</v>
      </c>
      <c r="W24" s="316">
        <f t="shared" si="24"/>
        <v>0</v>
      </c>
      <c r="X24" s="317">
        <f t="shared" si="13"/>
        <v>0</v>
      </c>
      <c r="Y24" s="330">
        <f>25000</f>
        <v>25000</v>
      </c>
      <c r="Z24" s="331">
        <v>10</v>
      </c>
      <c r="AA24" s="331">
        <f t="shared" si="44"/>
        <v>2500</v>
      </c>
      <c r="AB24" s="331">
        <f>+'B.0.ConsumiblesMaquinaria'!J$22</f>
        <v>1.9</v>
      </c>
      <c r="AC24" s="331">
        <f t="shared" si="45"/>
        <v>0</v>
      </c>
      <c r="AD24" s="332">
        <f>0.003038*Y24*1.05</f>
        <v>79.747500000000002</v>
      </c>
      <c r="AE24" s="331">
        <f t="shared" si="37"/>
        <v>4.8</v>
      </c>
      <c r="AF24" s="331">
        <f t="shared" si="38"/>
        <v>0</v>
      </c>
      <c r="AG24" s="331">
        <f t="shared" si="46"/>
        <v>0</v>
      </c>
      <c r="AH24" s="331">
        <f t="shared" si="39"/>
        <v>0</v>
      </c>
      <c r="AI24" s="331">
        <v>0.150315</v>
      </c>
      <c r="AJ24" s="331">
        <f t="shared" si="40"/>
        <v>0</v>
      </c>
      <c r="AK24" s="331">
        <f t="shared" si="47"/>
        <v>0</v>
      </c>
      <c r="AL24" s="331">
        <v>248</v>
      </c>
      <c r="AM24" s="331">
        <f t="shared" si="21"/>
        <v>0</v>
      </c>
      <c r="AN24" s="331">
        <f t="shared" si="41"/>
        <v>0</v>
      </c>
      <c r="AO24" s="333">
        <f t="shared" si="42"/>
        <v>0</v>
      </c>
    </row>
    <row r="25" spans="1:41">
      <c r="A25" s="731" t="s">
        <v>353</v>
      </c>
      <c r="B25" s="732" t="s">
        <v>353</v>
      </c>
      <c r="C25" s="732"/>
      <c r="D25" s="93"/>
      <c r="E25" s="93"/>
      <c r="F25" s="93"/>
      <c r="G25" s="93"/>
      <c r="H25" s="93"/>
      <c r="I25" s="93"/>
      <c r="J25" s="93"/>
      <c r="K25" s="93"/>
      <c r="L25" s="459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365"/>
    </row>
    <row r="26" spans="1:41">
      <c r="A26" s="312">
        <v>0</v>
      </c>
      <c r="B26" s="335" t="s">
        <v>354</v>
      </c>
      <c r="C26" s="335" t="s">
        <v>342</v>
      </c>
      <c r="D26" s="335" t="s">
        <v>327</v>
      </c>
      <c r="E26" s="335" t="s">
        <v>355</v>
      </c>
      <c r="F26" s="335">
        <f t="shared" ref="F26:F27" si="49">$G$5</f>
        <v>2026</v>
      </c>
      <c r="G26" s="335">
        <f t="shared" ref="G26:G27" si="50">G$5</f>
        <v>2026</v>
      </c>
      <c r="H26" s="335">
        <f t="shared" ref="H26:H27" si="51">H$5</f>
        <v>2032</v>
      </c>
      <c r="I26" s="325">
        <v>40000</v>
      </c>
      <c r="J26" s="325">
        <v>8</v>
      </c>
      <c r="K26" s="325">
        <f t="shared" ref="K26:K46" si="52">H26-G26</f>
        <v>6</v>
      </c>
      <c r="L26" s="456">
        <v>500</v>
      </c>
      <c r="M26" s="325">
        <v>5</v>
      </c>
      <c r="N26" s="310">
        <f t="shared" ref="N26:N27" si="53">I26*A26</f>
        <v>0</v>
      </c>
      <c r="O26" s="310">
        <f t="shared" ref="O26:O27" si="54">IF(A26&gt;0,I26/J26,0)</f>
        <v>0</v>
      </c>
      <c r="P26" s="310">
        <f t="shared" ref="P26:P27" si="55">O26*A26</f>
        <v>0</v>
      </c>
      <c r="Q26" s="310">
        <f t="shared" ref="Q26:Q27" si="56">IF(A26&gt;0,-PMT($Q$6,J26,I26)-O26,0)</f>
        <v>0</v>
      </c>
      <c r="R26" s="310">
        <f t="shared" ref="R26:R27" si="57">Q26*A26</f>
        <v>0</v>
      </c>
      <c r="S26" s="310">
        <f t="shared" ref="S26:S27" si="58">(Q26+O26)*A26</f>
        <v>0</v>
      </c>
      <c r="T26" s="310">
        <f t="shared" ref="T26:T27" si="59">O26*(T$6+0.02)</f>
        <v>0</v>
      </c>
      <c r="U26" s="310">
        <f t="shared" ref="U26:U27" si="60">T26*A26</f>
        <v>0</v>
      </c>
      <c r="V26" s="310">
        <f t="shared" ref="V26:V27" si="61">O26*(J26-(K26+(G26-F26)))</f>
        <v>0</v>
      </c>
      <c r="W26" s="310">
        <f t="shared" si="24"/>
        <v>0</v>
      </c>
      <c r="X26" s="311">
        <f t="shared" si="13"/>
        <v>0</v>
      </c>
      <c r="Y26" s="324">
        <v>25000</v>
      </c>
      <c r="Z26" s="325">
        <v>20</v>
      </c>
      <c r="AA26" s="325">
        <f>ROUND(Y26*Z26,2)/100</f>
        <v>5000</v>
      </c>
      <c r="AB26" s="325">
        <f>'B.0.ConsumiblesMaquinaria'!$J$25</f>
        <v>0.35</v>
      </c>
      <c r="AC26" s="325">
        <f t="shared" ref="AC26:AC27" si="62">IF(A26&gt;0,+ROUND(AB26*AA26/248,2),0)</f>
        <v>0</v>
      </c>
      <c r="AD26" s="326">
        <f>0.003038*Y26*0.7</f>
        <v>53.164999999999999</v>
      </c>
      <c r="AE26" s="325">
        <f t="shared" ref="AE26:AE27" si="63">AE$5</f>
        <v>4.8</v>
      </c>
      <c r="AF26" s="325">
        <f t="shared" ref="AF26:AF27" si="64">IF(A26&gt;0,+ROUND(AE26*AD26/248,2),0)</f>
        <v>0</v>
      </c>
      <c r="AG26" s="325">
        <f t="shared" ref="AG26:AG27" si="65">AF26+AC26</f>
        <v>0</v>
      </c>
      <c r="AH26" s="325">
        <f t="shared" ref="AH26:AH27" si="66">(AG26*AL26)*A26</f>
        <v>0</v>
      </c>
      <c r="AI26" s="325">
        <v>0.28999999999999998</v>
      </c>
      <c r="AJ26" s="325">
        <f t="shared" ref="AJ26:AJ27" si="67">(AI26*AL26)*A26</f>
        <v>0</v>
      </c>
      <c r="AK26" s="325">
        <f t="shared" ref="AK26:AK27" si="68">IF(A26&gt;0,+AF26+AC26+AI26,0)</f>
        <v>0</v>
      </c>
      <c r="AL26" s="325">
        <v>248</v>
      </c>
      <c r="AM26" s="325">
        <f t="shared" si="21"/>
        <v>0</v>
      </c>
      <c r="AN26" s="325">
        <f t="shared" ref="AN26:AN27" si="69">AM26*A26</f>
        <v>0</v>
      </c>
      <c r="AO26" s="327">
        <f t="shared" ref="AO26:AO27" si="70">X26+AN26</f>
        <v>0</v>
      </c>
    </row>
    <row r="27" spans="1:41">
      <c r="A27" s="314">
        <v>0</v>
      </c>
      <c r="B27" s="336" t="s">
        <v>354</v>
      </c>
      <c r="C27" s="336" t="s">
        <v>356</v>
      </c>
      <c r="D27" s="336" t="s">
        <v>327</v>
      </c>
      <c r="E27" s="336" t="s">
        <v>357</v>
      </c>
      <c r="F27" s="336">
        <f t="shared" si="49"/>
        <v>2026</v>
      </c>
      <c r="G27" s="336">
        <f t="shared" si="50"/>
        <v>2026</v>
      </c>
      <c r="H27" s="336">
        <f t="shared" si="51"/>
        <v>2032</v>
      </c>
      <c r="I27" s="331">
        <v>28000</v>
      </c>
      <c r="J27" s="331">
        <v>4</v>
      </c>
      <c r="K27" s="331">
        <f t="shared" si="52"/>
        <v>6</v>
      </c>
      <c r="L27" s="458">
        <v>400</v>
      </c>
      <c r="M27" s="331">
        <v>4</v>
      </c>
      <c r="N27" s="316">
        <f t="shared" si="53"/>
        <v>0</v>
      </c>
      <c r="O27" s="316">
        <f t="shared" si="54"/>
        <v>0</v>
      </c>
      <c r="P27" s="316">
        <f t="shared" si="55"/>
        <v>0</v>
      </c>
      <c r="Q27" s="316">
        <f t="shared" si="56"/>
        <v>0</v>
      </c>
      <c r="R27" s="316">
        <f t="shared" si="57"/>
        <v>0</v>
      </c>
      <c r="S27" s="316">
        <f t="shared" si="58"/>
        <v>0</v>
      </c>
      <c r="T27" s="316">
        <f t="shared" si="59"/>
        <v>0</v>
      </c>
      <c r="U27" s="316">
        <f t="shared" si="60"/>
        <v>0</v>
      </c>
      <c r="V27" s="316">
        <f t="shared" si="61"/>
        <v>0</v>
      </c>
      <c r="W27" s="316">
        <f t="shared" si="24"/>
        <v>0</v>
      </c>
      <c r="X27" s="317">
        <f t="shared" si="13"/>
        <v>0</v>
      </c>
      <c r="Y27" s="330">
        <f>25000</f>
        <v>25000</v>
      </c>
      <c r="Z27" s="331">
        <v>5.4</v>
      </c>
      <c r="AA27" s="331">
        <f>ROUND(Y27*Z27,2)/100</f>
        <v>1350</v>
      </c>
      <c r="AB27" s="331">
        <f>+'B.0.ConsumiblesMaquinaria'!J$22</f>
        <v>1.9</v>
      </c>
      <c r="AC27" s="331">
        <f t="shared" si="62"/>
        <v>0</v>
      </c>
      <c r="AD27" s="332">
        <f>0.002038*Y27*1.02</f>
        <v>51.968999999999994</v>
      </c>
      <c r="AE27" s="331">
        <f t="shared" si="63"/>
        <v>4.8</v>
      </c>
      <c r="AF27" s="331">
        <f t="shared" si="64"/>
        <v>0</v>
      </c>
      <c r="AG27" s="331">
        <f t="shared" si="65"/>
        <v>0</v>
      </c>
      <c r="AH27" s="331">
        <f t="shared" si="66"/>
        <v>0</v>
      </c>
      <c r="AI27" s="334">
        <v>7.4649999999999994E-2</v>
      </c>
      <c r="AJ27" s="334">
        <f t="shared" si="67"/>
        <v>0</v>
      </c>
      <c r="AK27" s="331">
        <f t="shared" si="68"/>
        <v>0</v>
      </c>
      <c r="AL27" s="331">
        <v>248</v>
      </c>
      <c r="AM27" s="331">
        <f t="shared" si="21"/>
        <v>0</v>
      </c>
      <c r="AN27" s="331">
        <f t="shared" si="69"/>
        <v>0</v>
      </c>
      <c r="AO27" s="333">
        <f t="shared" si="70"/>
        <v>0</v>
      </c>
    </row>
    <row r="28" spans="1:41">
      <c r="A28" s="731" t="s">
        <v>358</v>
      </c>
      <c r="B28" s="732" t="s">
        <v>359</v>
      </c>
      <c r="C28" s="732"/>
      <c r="D28" s="93"/>
      <c r="E28" s="93"/>
      <c r="F28" s="93"/>
      <c r="G28" s="93"/>
      <c r="H28" s="93"/>
      <c r="I28" s="93"/>
      <c r="J28" s="93"/>
      <c r="K28" s="93"/>
      <c r="L28" s="459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365"/>
    </row>
    <row r="29" spans="1:41">
      <c r="A29" s="312">
        <v>0</v>
      </c>
      <c r="B29" s="335" t="s">
        <v>360</v>
      </c>
      <c r="C29" s="335" t="s">
        <v>342</v>
      </c>
      <c r="D29" s="335" t="s">
        <v>361</v>
      </c>
      <c r="E29" s="335" t="s">
        <v>362</v>
      </c>
      <c r="F29" s="335">
        <f t="shared" ref="F29:F35" si="71">$G$5</f>
        <v>2026</v>
      </c>
      <c r="G29" s="335">
        <f t="shared" ref="G29:H35" si="72">G$5</f>
        <v>2026</v>
      </c>
      <c r="H29" s="335">
        <f t="shared" si="72"/>
        <v>2032</v>
      </c>
      <c r="I29" s="325">
        <v>19500</v>
      </c>
      <c r="J29" s="325">
        <v>4</v>
      </c>
      <c r="K29" s="325">
        <f t="shared" si="52"/>
        <v>6</v>
      </c>
      <c r="L29" s="456"/>
      <c r="M29" s="325">
        <v>2</v>
      </c>
      <c r="N29" s="310">
        <f t="shared" ref="N29:N35" si="73">I29*A29</f>
        <v>0</v>
      </c>
      <c r="O29" s="310">
        <f t="shared" ref="O29:O35" si="74">IF(A29&gt;0,I29/J29,0)</f>
        <v>0</v>
      </c>
      <c r="P29" s="310">
        <f t="shared" ref="P29:P35" si="75">O29*A29</f>
        <v>0</v>
      </c>
      <c r="Q29" s="310">
        <f t="shared" ref="Q29:Q35" si="76">IF(A29&gt;0,-PMT($Q$6,J29,I29)-O29,0)</f>
        <v>0</v>
      </c>
      <c r="R29" s="310">
        <f t="shared" ref="R29:R35" si="77">Q29*A29</f>
        <v>0</v>
      </c>
      <c r="S29" s="310">
        <f t="shared" ref="S29:S35" si="78">(Q29+O29)*A29</f>
        <v>0</v>
      </c>
      <c r="T29" s="310">
        <f t="shared" ref="T29:T35" si="79">O29*(T$6+0.02)</f>
        <v>0</v>
      </c>
      <c r="U29" s="310">
        <f t="shared" ref="U29:U35" si="80">T29*A29</f>
        <v>0</v>
      </c>
      <c r="V29" s="310">
        <f t="shared" ref="V29:V35" si="81">O29*(J29-(K29+(G29-F29)))</f>
        <v>0</v>
      </c>
      <c r="W29" s="310">
        <f t="shared" si="24"/>
        <v>0</v>
      </c>
      <c r="X29" s="311">
        <f t="shared" si="13"/>
        <v>0</v>
      </c>
      <c r="Y29" s="324">
        <v>5000</v>
      </c>
      <c r="Z29" s="325">
        <v>20</v>
      </c>
      <c r="AA29" s="325">
        <f t="shared" ref="AA29:AA30" si="82">ROUND(Y29*Z29,2)/100</f>
        <v>1000</v>
      </c>
      <c r="AB29" s="325">
        <f>'B.0.ConsumiblesMaquinaria'!$J$25</f>
        <v>0.35</v>
      </c>
      <c r="AC29" s="325">
        <f t="shared" ref="AC29:AC35" si="83">IF(A29&gt;0,+ROUND(AB29*AA29/248,2),0)</f>
        <v>0</v>
      </c>
      <c r="AD29" s="326">
        <f>0.003038*Y29*0.7</f>
        <v>10.632999999999999</v>
      </c>
      <c r="AE29" s="325">
        <f t="shared" ref="AE29:AE35" si="84">AE$5</f>
        <v>4.8</v>
      </c>
      <c r="AF29" s="325">
        <f t="shared" ref="AF29:AF35" si="85">IF(A29&gt;0,+ROUND(AE29*AD29/248,2),0)</f>
        <v>0</v>
      </c>
      <c r="AG29" s="325">
        <f t="shared" ref="AG29:AG35" si="86">AF29+AC29</f>
        <v>0</v>
      </c>
      <c r="AH29" s="325">
        <f t="shared" ref="AH29:AH35" si="87">(AG29*AL29)*A29</f>
        <v>0</v>
      </c>
      <c r="AI29" s="325">
        <v>3.7499999999999999E-2</v>
      </c>
      <c r="AJ29" s="325">
        <f t="shared" ref="AJ29:AJ35" si="88">(AI29*AL29)*A29</f>
        <v>0</v>
      </c>
      <c r="AK29" s="325">
        <f t="shared" ref="AK29:AK35" si="89">IF(A29&gt;0,+AF29+AC29+AI29,0)</f>
        <v>0</v>
      </c>
      <c r="AL29" s="325">
        <v>248</v>
      </c>
      <c r="AM29" s="325">
        <f t="shared" si="21"/>
        <v>0</v>
      </c>
      <c r="AN29" s="325">
        <f t="shared" ref="AN29:AN35" si="90">AM29*A29</f>
        <v>0</v>
      </c>
      <c r="AO29" s="327">
        <f t="shared" ref="AO29:AO35" si="91">X29+AN29</f>
        <v>0</v>
      </c>
    </row>
    <row r="30" spans="1:41">
      <c r="A30" s="312">
        <v>0</v>
      </c>
      <c r="B30" s="294" t="s">
        <v>363</v>
      </c>
      <c r="C30" s="294" t="s">
        <v>342</v>
      </c>
      <c r="D30" s="294" t="s">
        <v>361</v>
      </c>
      <c r="E30" s="294" t="s">
        <v>364</v>
      </c>
      <c r="F30" s="294">
        <f t="shared" si="71"/>
        <v>2026</v>
      </c>
      <c r="G30" s="294">
        <f t="shared" si="72"/>
        <v>2026</v>
      </c>
      <c r="H30" s="294">
        <f t="shared" si="72"/>
        <v>2032</v>
      </c>
      <c r="I30" s="295">
        <v>37000</v>
      </c>
      <c r="J30" s="295">
        <v>4</v>
      </c>
      <c r="K30" s="295">
        <f t="shared" si="52"/>
        <v>6</v>
      </c>
      <c r="L30" s="457">
        <v>500</v>
      </c>
      <c r="M30" s="295">
        <v>5</v>
      </c>
      <c r="N30" s="291">
        <f t="shared" si="73"/>
        <v>0</v>
      </c>
      <c r="O30" s="291">
        <f t="shared" si="74"/>
        <v>0</v>
      </c>
      <c r="P30" s="291">
        <f t="shared" si="75"/>
        <v>0</v>
      </c>
      <c r="Q30" s="291">
        <f t="shared" si="76"/>
        <v>0</v>
      </c>
      <c r="R30" s="291">
        <f t="shared" si="77"/>
        <v>0</v>
      </c>
      <c r="S30" s="291">
        <f t="shared" si="78"/>
        <v>0</v>
      </c>
      <c r="T30" s="291">
        <f t="shared" si="79"/>
        <v>0</v>
      </c>
      <c r="U30" s="291">
        <f t="shared" si="80"/>
        <v>0</v>
      </c>
      <c r="V30" s="291">
        <f t="shared" si="81"/>
        <v>0</v>
      </c>
      <c r="W30" s="291">
        <f t="shared" si="24"/>
        <v>0</v>
      </c>
      <c r="X30" s="313">
        <f t="shared" si="13"/>
        <v>0</v>
      </c>
      <c r="Y30" s="328">
        <f>15000</f>
        <v>15000</v>
      </c>
      <c r="Z30" s="325">
        <v>20</v>
      </c>
      <c r="AA30" s="325">
        <f t="shared" si="82"/>
        <v>3000</v>
      </c>
      <c r="AB30" s="325">
        <f>'B.0.ConsumiblesMaquinaria'!$J$25</f>
        <v>0.35</v>
      </c>
      <c r="AC30" s="295">
        <f t="shared" si="83"/>
        <v>0</v>
      </c>
      <c r="AD30" s="296">
        <f>0.002038*Y30*0.7</f>
        <v>21.398999999999997</v>
      </c>
      <c r="AE30" s="295">
        <f t="shared" si="84"/>
        <v>4.8</v>
      </c>
      <c r="AF30" s="295">
        <f t="shared" si="85"/>
        <v>0</v>
      </c>
      <c r="AG30" s="295">
        <f t="shared" si="86"/>
        <v>0</v>
      </c>
      <c r="AH30" s="295">
        <f t="shared" si="87"/>
        <v>0</v>
      </c>
      <c r="AI30" s="295">
        <v>8.5000000000000006E-2</v>
      </c>
      <c r="AJ30" s="295">
        <f t="shared" si="88"/>
        <v>0</v>
      </c>
      <c r="AK30" s="295">
        <f t="shared" si="89"/>
        <v>0</v>
      </c>
      <c r="AL30" s="295">
        <v>248</v>
      </c>
      <c r="AM30" s="295">
        <f t="shared" si="21"/>
        <v>0</v>
      </c>
      <c r="AN30" s="295">
        <f t="shared" si="90"/>
        <v>0</v>
      </c>
      <c r="AO30" s="329">
        <f t="shared" si="91"/>
        <v>0</v>
      </c>
    </row>
    <row r="31" spans="1:41">
      <c r="A31" s="312">
        <v>0</v>
      </c>
      <c r="B31" s="294" t="s">
        <v>365</v>
      </c>
      <c r="C31" s="294" t="s">
        <v>344</v>
      </c>
      <c r="D31" s="294" t="s">
        <v>361</v>
      </c>
      <c r="E31" s="294" t="s">
        <v>357</v>
      </c>
      <c r="F31" s="294">
        <f t="shared" si="71"/>
        <v>2026</v>
      </c>
      <c r="G31" s="294">
        <f t="shared" si="72"/>
        <v>2026</v>
      </c>
      <c r="H31" s="294">
        <f t="shared" si="72"/>
        <v>2032</v>
      </c>
      <c r="I31" s="295">
        <v>32000</v>
      </c>
      <c r="J31" s="295">
        <v>4</v>
      </c>
      <c r="K31" s="295">
        <f t="shared" si="52"/>
        <v>6</v>
      </c>
      <c r="L31" s="457">
        <v>500</v>
      </c>
      <c r="M31" s="295">
        <v>5</v>
      </c>
      <c r="N31" s="291">
        <f t="shared" si="73"/>
        <v>0</v>
      </c>
      <c r="O31" s="291">
        <f t="shared" si="74"/>
        <v>0</v>
      </c>
      <c r="P31" s="291">
        <f t="shared" si="75"/>
        <v>0</v>
      </c>
      <c r="Q31" s="291">
        <f t="shared" si="76"/>
        <v>0</v>
      </c>
      <c r="R31" s="291">
        <f t="shared" si="77"/>
        <v>0</v>
      </c>
      <c r="S31" s="291">
        <f t="shared" si="78"/>
        <v>0</v>
      </c>
      <c r="T31" s="291">
        <f t="shared" si="79"/>
        <v>0</v>
      </c>
      <c r="U31" s="291">
        <f t="shared" si="80"/>
        <v>0</v>
      </c>
      <c r="V31" s="291">
        <f t="shared" si="81"/>
        <v>0</v>
      </c>
      <c r="W31" s="291">
        <f t="shared" si="24"/>
        <v>0</v>
      </c>
      <c r="X31" s="313">
        <f t="shared" si="13"/>
        <v>0</v>
      </c>
      <c r="Y31" s="328">
        <f>20000</f>
        <v>20000</v>
      </c>
      <c r="Z31" s="295">
        <v>4.3</v>
      </c>
      <c r="AA31" s="295">
        <f>ROUND(Y31*Z31,2)/100</f>
        <v>860</v>
      </c>
      <c r="AB31" s="295">
        <f>+'B.0.ConsumiblesMaquinaria'!J$22</f>
        <v>1.9</v>
      </c>
      <c r="AC31" s="295">
        <f t="shared" si="83"/>
        <v>0</v>
      </c>
      <c r="AD31" s="296">
        <f>0.002038*Y31*0.9</f>
        <v>36.683999999999997</v>
      </c>
      <c r="AE31" s="295">
        <f t="shared" si="84"/>
        <v>4.8</v>
      </c>
      <c r="AF31" s="295">
        <f t="shared" si="85"/>
        <v>0</v>
      </c>
      <c r="AG31" s="295">
        <f t="shared" si="86"/>
        <v>0</v>
      </c>
      <c r="AH31" s="295">
        <f t="shared" si="87"/>
        <v>0</v>
      </c>
      <c r="AI31" s="295">
        <v>0.12775</v>
      </c>
      <c r="AJ31" s="295">
        <f t="shared" si="88"/>
        <v>0</v>
      </c>
      <c r="AK31" s="295">
        <f t="shared" si="89"/>
        <v>0</v>
      </c>
      <c r="AL31" s="295">
        <v>248</v>
      </c>
      <c r="AM31" s="295">
        <f t="shared" si="21"/>
        <v>0</v>
      </c>
      <c r="AN31" s="295">
        <f t="shared" si="90"/>
        <v>0</v>
      </c>
      <c r="AO31" s="329">
        <f t="shared" si="91"/>
        <v>0</v>
      </c>
    </row>
    <row r="32" spans="1:41">
      <c r="A32" s="312">
        <v>0</v>
      </c>
      <c r="B32" s="294" t="s">
        <v>366</v>
      </c>
      <c r="C32" s="294" t="s">
        <v>344</v>
      </c>
      <c r="D32" s="294" t="s">
        <v>361</v>
      </c>
      <c r="E32" s="294" t="s">
        <v>357</v>
      </c>
      <c r="F32" s="294">
        <f t="shared" si="71"/>
        <v>2026</v>
      </c>
      <c r="G32" s="294">
        <f t="shared" si="72"/>
        <v>2026</v>
      </c>
      <c r="H32" s="294">
        <f t="shared" si="72"/>
        <v>2032</v>
      </c>
      <c r="I32" s="295">
        <v>45000</v>
      </c>
      <c r="J32" s="295">
        <v>4</v>
      </c>
      <c r="K32" s="295">
        <f t="shared" si="52"/>
        <v>6</v>
      </c>
      <c r="L32" s="457">
        <v>600</v>
      </c>
      <c r="M32" s="295">
        <v>5</v>
      </c>
      <c r="N32" s="291">
        <f t="shared" si="73"/>
        <v>0</v>
      </c>
      <c r="O32" s="291">
        <f t="shared" si="74"/>
        <v>0</v>
      </c>
      <c r="P32" s="291">
        <f t="shared" si="75"/>
        <v>0</v>
      </c>
      <c r="Q32" s="291">
        <f t="shared" si="76"/>
        <v>0</v>
      </c>
      <c r="R32" s="291">
        <f t="shared" si="77"/>
        <v>0</v>
      </c>
      <c r="S32" s="291">
        <f t="shared" si="78"/>
        <v>0</v>
      </c>
      <c r="T32" s="291">
        <f t="shared" si="79"/>
        <v>0</v>
      </c>
      <c r="U32" s="291">
        <f t="shared" si="80"/>
        <v>0</v>
      </c>
      <c r="V32" s="291">
        <f t="shared" si="81"/>
        <v>0</v>
      </c>
      <c r="W32" s="291">
        <f t="shared" si="24"/>
        <v>0</v>
      </c>
      <c r="X32" s="313">
        <f t="shared" si="13"/>
        <v>0</v>
      </c>
      <c r="Y32" s="328">
        <v>20000</v>
      </c>
      <c r="Z32" s="295">
        <v>1.7</v>
      </c>
      <c r="AA32" s="295">
        <f>ROUND(Y32*Z32,2)/100</f>
        <v>340</v>
      </c>
      <c r="AB32" s="295">
        <f>+'B.0.ConsumiblesMaquinaria'!J$22</f>
        <v>1.9</v>
      </c>
      <c r="AC32" s="295">
        <f t="shared" si="83"/>
        <v>0</v>
      </c>
      <c r="AD32" s="296">
        <f>0.002038*Y32*0.9</f>
        <v>36.683999999999997</v>
      </c>
      <c r="AE32" s="295">
        <f t="shared" si="84"/>
        <v>4.8</v>
      </c>
      <c r="AF32" s="295">
        <f t="shared" si="85"/>
        <v>0</v>
      </c>
      <c r="AG32" s="295">
        <f t="shared" si="86"/>
        <v>0</v>
      </c>
      <c r="AH32" s="295">
        <f t="shared" si="87"/>
        <v>0</v>
      </c>
      <c r="AI32" s="295">
        <v>0.12775</v>
      </c>
      <c r="AJ32" s="295">
        <f t="shared" si="88"/>
        <v>0</v>
      </c>
      <c r="AK32" s="295">
        <f t="shared" si="89"/>
        <v>0</v>
      </c>
      <c r="AL32" s="295">
        <v>248</v>
      </c>
      <c r="AM32" s="295">
        <f t="shared" si="21"/>
        <v>0</v>
      </c>
      <c r="AN32" s="295">
        <f t="shared" si="90"/>
        <v>0</v>
      </c>
      <c r="AO32" s="329">
        <f t="shared" si="91"/>
        <v>0</v>
      </c>
    </row>
    <row r="33" spans="1:41">
      <c r="A33" s="312">
        <v>0</v>
      </c>
      <c r="B33" s="294" t="s">
        <v>365</v>
      </c>
      <c r="C33" s="294" t="s">
        <v>326</v>
      </c>
      <c r="D33" s="294" t="s">
        <v>361</v>
      </c>
      <c r="E33" s="294" t="s">
        <v>357</v>
      </c>
      <c r="F33" s="294">
        <f t="shared" si="71"/>
        <v>2026</v>
      </c>
      <c r="G33" s="294">
        <f t="shared" si="72"/>
        <v>2026</v>
      </c>
      <c r="H33" s="294">
        <f t="shared" si="72"/>
        <v>2032</v>
      </c>
      <c r="I33" s="295">
        <v>27500</v>
      </c>
      <c r="J33" s="295">
        <v>4</v>
      </c>
      <c r="K33" s="295">
        <f t="shared" si="52"/>
        <v>6</v>
      </c>
      <c r="L33" s="457">
        <v>400</v>
      </c>
      <c r="M33" s="295">
        <v>5</v>
      </c>
      <c r="N33" s="291">
        <f t="shared" si="73"/>
        <v>0</v>
      </c>
      <c r="O33" s="291">
        <f t="shared" si="74"/>
        <v>0</v>
      </c>
      <c r="P33" s="291">
        <f t="shared" si="75"/>
        <v>0</v>
      </c>
      <c r="Q33" s="291">
        <f t="shared" si="76"/>
        <v>0</v>
      </c>
      <c r="R33" s="291">
        <f t="shared" si="77"/>
        <v>0</v>
      </c>
      <c r="S33" s="291">
        <f t="shared" si="78"/>
        <v>0</v>
      </c>
      <c r="T33" s="291">
        <f t="shared" si="79"/>
        <v>0</v>
      </c>
      <c r="U33" s="291">
        <f t="shared" si="80"/>
        <v>0</v>
      </c>
      <c r="V33" s="291">
        <f t="shared" si="81"/>
        <v>0</v>
      </c>
      <c r="W33" s="291">
        <f t="shared" si="24"/>
        <v>0</v>
      </c>
      <c r="X33" s="313">
        <f t="shared" si="13"/>
        <v>0</v>
      </c>
      <c r="Y33" s="328">
        <f>20000</f>
        <v>20000</v>
      </c>
      <c r="Z33" s="295">
        <v>4.4000000000000004</v>
      </c>
      <c r="AA33" s="295">
        <f>ROUND(Y33*Z33,2)/100</f>
        <v>880</v>
      </c>
      <c r="AB33" s="295">
        <f>+'B.0.ConsumiblesMaquinaria'!J$22</f>
        <v>1.9</v>
      </c>
      <c r="AC33" s="295">
        <f t="shared" si="83"/>
        <v>0</v>
      </c>
      <c r="AD33" s="296">
        <f>0.002038*Y33</f>
        <v>40.76</v>
      </c>
      <c r="AE33" s="295">
        <f t="shared" si="84"/>
        <v>4.8</v>
      </c>
      <c r="AF33" s="295">
        <f t="shared" si="85"/>
        <v>0</v>
      </c>
      <c r="AG33" s="295">
        <f t="shared" si="86"/>
        <v>0</v>
      </c>
      <c r="AH33" s="295">
        <f t="shared" si="87"/>
        <v>0</v>
      </c>
      <c r="AI33" s="295">
        <v>7.0749999999999993E-2</v>
      </c>
      <c r="AJ33" s="295">
        <f t="shared" si="88"/>
        <v>0</v>
      </c>
      <c r="AK33" s="295">
        <f t="shared" si="89"/>
        <v>0</v>
      </c>
      <c r="AL33" s="295">
        <v>248</v>
      </c>
      <c r="AM33" s="295">
        <f t="shared" si="21"/>
        <v>0</v>
      </c>
      <c r="AN33" s="295">
        <f t="shared" si="90"/>
        <v>0</v>
      </c>
      <c r="AO33" s="329">
        <f t="shared" si="91"/>
        <v>0</v>
      </c>
    </row>
    <row r="34" spans="1:41">
      <c r="A34" s="312">
        <v>0</v>
      </c>
      <c r="B34" s="294" t="s">
        <v>367</v>
      </c>
      <c r="C34" s="294" t="s">
        <v>326</v>
      </c>
      <c r="D34" s="294" t="s">
        <v>361</v>
      </c>
      <c r="E34" s="294" t="s">
        <v>357</v>
      </c>
      <c r="F34" s="294">
        <f t="shared" si="71"/>
        <v>2026</v>
      </c>
      <c r="G34" s="294">
        <f t="shared" si="72"/>
        <v>2026</v>
      </c>
      <c r="H34" s="294">
        <f t="shared" si="72"/>
        <v>2032</v>
      </c>
      <c r="I34" s="295">
        <v>38000</v>
      </c>
      <c r="J34" s="295">
        <v>4</v>
      </c>
      <c r="K34" s="295">
        <f t="shared" si="52"/>
        <v>6</v>
      </c>
      <c r="L34" s="457">
        <v>700</v>
      </c>
      <c r="M34" s="295">
        <v>5</v>
      </c>
      <c r="N34" s="291">
        <f t="shared" si="73"/>
        <v>0</v>
      </c>
      <c r="O34" s="291">
        <f t="shared" si="74"/>
        <v>0</v>
      </c>
      <c r="P34" s="291">
        <f t="shared" si="75"/>
        <v>0</v>
      </c>
      <c r="Q34" s="291">
        <f t="shared" si="76"/>
        <v>0</v>
      </c>
      <c r="R34" s="291">
        <f t="shared" si="77"/>
        <v>0</v>
      </c>
      <c r="S34" s="291">
        <f t="shared" si="78"/>
        <v>0</v>
      </c>
      <c r="T34" s="291">
        <f t="shared" si="79"/>
        <v>0</v>
      </c>
      <c r="U34" s="291">
        <f t="shared" si="80"/>
        <v>0</v>
      </c>
      <c r="V34" s="291">
        <f t="shared" si="81"/>
        <v>0</v>
      </c>
      <c r="W34" s="291">
        <f t="shared" si="24"/>
        <v>0</v>
      </c>
      <c r="X34" s="313">
        <f t="shared" si="13"/>
        <v>0</v>
      </c>
      <c r="Y34" s="328">
        <f>20000</f>
        <v>20000</v>
      </c>
      <c r="Z34" s="295">
        <v>6.6</v>
      </c>
      <c r="AA34" s="295">
        <f>ROUND(Y34*Z34,2)/100</f>
        <v>1320</v>
      </c>
      <c r="AB34" s="295">
        <f>+'B.0.ConsumiblesMaquinaria'!J$22</f>
        <v>1.9</v>
      </c>
      <c r="AC34" s="295">
        <f t="shared" si="83"/>
        <v>0</v>
      </c>
      <c r="AD34" s="296">
        <f>0.002038*Y34*1.05</f>
        <v>42.798000000000002</v>
      </c>
      <c r="AE34" s="295">
        <f t="shared" si="84"/>
        <v>4.8</v>
      </c>
      <c r="AF34" s="295">
        <f t="shared" si="85"/>
        <v>0</v>
      </c>
      <c r="AG34" s="295">
        <f t="shared" si="86"/>
        <v>0</v>
      </c>
      <c r="AH34" s="295">
        <f t="shared" si="87"/>
        <v>0</v>
      </c>
      <c r="AI34" s="295">
        <v>0.14474999999999999</v>
      </c>
      <c r="AJ34" s="295">
        <f t="shared" si="88"/>
        <v>0</v>
      </c>
      <c r="AK34" s="295">
        <f t="shared" si="89"/>
        <v>0</v>
      </c>
      <c r="AL34" s="295">
        <v>248</v>
      </c>
      <c r="AM34" s="295">
        <f t="shared" si="21"/>
        <v>0</v>
      </c>
      <c r="AN34" s="295">
        <f t="shared" si="90"/>
        <v>0</v>
      </c>
      <c r="AO34" s="329">
        <f t="shared" si="91"/>
        <v>0</v>
      </c>
    </row>
    <row r="35" spans="1:41">
      <c r="A35" s="312">
        <v>0</v>
      </c>
      <c r="B35" s="336" t="s">
        <v>368</v>
      </c>
      <c r="C35" s="336" t="s">
        <v>326</v>
      </c>
      <c r="D35" s="336" t="s">
        <v>361</v>
      </c>
      <c r="E35" s="336" t="s">
        <v>369</v>
      </c>
      <c r="F35" s="336">
        <f t="shared" si="71"/>
        <v>2026</v>
      </c>
      <c r="G35" s="336">
        <f t="shared" si="72"/>
        <v>2026</v>
      </c>
      <c r="H35" s="336">
        <f t="shared" si="72"/>
        <v>2032</v>
      </c>
      <c r="I35" s="331">
        <v>43500</v>
      </c>
      <c r="J35" s="331">
        <v>4</v>
      </c>
      <c r="K35" s="331">
        <f t="shared" si="52"/>
        <v>6</v>
      </c>
      <c r="L35" s="458">
        <v>800</v>
      </c>
      <c r="M35" s="331">
        <v>5</v>
      </c>
      <c r="N35" s="316">
        <f t="shared" si="73"/>
        <v>0</v>
      </c>
      <c r="O35" s="316">
        <f t="shared" si="74"/>
        <v>0</v>
      </c>
      <c r="P35" s="316">
        <f t="shared" si="75"/>
        <v>0</v>
      </c>
      <c r="Q35" s="316">
        <f t="shared" si="76"/>
        <v>0</v>
      </c>
      <c r="R35" s="316">
        <f t="shared" si="77"/>
        <v>0</v>
      </c>
      <c r="S35" s="316">
        <f t="shared" si="78"/>
        <v>0</v>
      </c>
      <c r="T35" s="316">
        <f t="shared" si="79"/>
        <v>0</v>
      </c>
      <c r="U35" s="316">
        <f t="shared" si="80"/>
        <v>0</v>
      </c>
      <c r="V35" s="316">
        <f t="shared" si="81"/>
        <v>0</v>
      </c>
      <c r="W35" s="316">
        <f t="shared" si="24"/>
        <v>0</v>
      </c>
      <c r="X35" s="317">
        <f t="shared" si="13"/>
        <v>0</v>
      </c>
      <c r="Y35" s="330">
        <f>20000</f>
        <v>20000</v>
      </c>
      <c r="Z35" s="331">
        <v>9.8000000000000007</v>
      </c>
      <c r="AA35" s="331">
        <f>ROUND(Y35*Z35,2)/100</f>
        <v>1960</v>
      </c>
      <c r="AB35" s="331">
        <f>+'B.0.ConsumiblesMaquinaria'!J$22</f>
        <v>1.9</v>
      </c>
      <c r="AC35" s="331">
        <f t="shared" si="83"/>
        <v>0</v>
      </c>
      <c r="AD35" s="332">
        <f>0.002038*Y35*1.05</f>
        <v>42.798000000000002</v>
      </c>
      <c r="AE35" s="331">
        <f t="shared" si="84"/>
        <v>4.8</v>
      </c>
      <c r="AF35" s="331">
        <f t="shared" si="85"/>
        <v>0</v>
      </c>
      <c r="AG35" s="331">
        <f t="shared" si="86"/>
        <v>0</v>
      </c>
      <c r="AH35" s="331">
        <f t="shared" si="87"/>
        <v>0</v>
      </c>
      <c r="AI35" s="331">
        <v>0.10355</v>
      </c>
      <c r="AJ35" s="331">
        <f t="shared" si="88"/>
        <v>0</v>
      </c>
      <c r="AK35" s="331">
        <f t="shared" si="89"/>
        <v>0</v>
      </c>
      <c r="AL35" s="331">
        <v>248</v>
      </c>
      <c r="AM35" s="331">
        <f t="shared" si="21"/>
        <v>0</v>
      </c>
      <c r="AN35" s="331">
        <f t="shared" si="90"/>
        <v>0</v>
      </c>
      <c r="AO35" s="333">
        <f t="shared" si="91"/>
        <v>0</v>
      </c>
    </row>
    <row r="36" spans="1:41">
      <c r="A36" s="731" t="s">
        <v>370</v>
      </c>
      <c r="B36" s="732" t="s">
        <v>370</v>
      </c>
      <c r="C36" s="732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365"/>
    </row>
    <row r="37" spans="1:41">
      <c r="A37" s="312">
        <v>0</v>
      </c>
      <c r="B37" s="335" t="s">
        <v>371</v>
      </c>
      <c r="C37" s="335" t="s">
        <v>342</v>
      </c>
      <c r="D37" s="335" t="s">
        <v>327</v>
      </c>
      <c r="E37" s="335" t="s">
        <v>372</v>
      </c>
      <c r="F37" s="335">
        <f t="shared" ref="F37:F46" si="92">$G$5</f>
        <v>2026</v>
      </c>
      <c r="G37" s="335">
        <f t="shared" ref="G37:H46" si="93">G$5</f>
        <v>2026</v>
      </c>
      <c r="H37" s="335">
        <f t="shared" si="93"/>
        <v>2032</v>
      </c>
      <c r="I37" s="325">
        <v>20000</v>
      </c>
      <c r="J37" s="325">
        <v>4</v>
      </c>
      <c r="K37" s="325">
        <f t="shared" si="52"/>
        <v>6</v>
      </c>
      <c r="L37" s="325"/>
      <c r="M37" s="325">
        <v>2</v>
      </c>
      <c r="N37" s="310">
        <f t="shared" ref="N37:N46" si="94">I37*A37</f>
        <v>0</v>
      </c>
      <c r="O37" s="310">
        <f t="shared" ref="O37:O46" si="95">IF(A37&gt;0,I37/J37,0)</f>
        <v>0</v>
      </c>
      <c r="P37" s="310">
        <f t="shared" ref="P37:P46" si="96">O37*A37</f>
        <v>0</v>
      </c>
      <c r="Q37" s="310">
        <f t="shared" ref="Q37:Q46" si="97">IF(A37&gt;0,-PMT($Q$6,J37,I37)-O37,0)</f>
        <v>0</v>
      </c>
      <c r="R37" s="310">
        <f t="shared" ref="R37:R46" si="98">Q37*A37</f>
        <v>0</v>
      </c>
      <c r="S37" s="310">
        <f t="shared" ref="S37:S46" si="99">(Q37+O37)*A37</f>
        <v>0</v>
      </c>
      <c r="T37" s="310">
        <f t="shared" ref="T37:T46" si="100">O37*(T$6+0.02)</f>
        <v>0</v>
      </c>
      <c r="U37" s="310">
        <f t="shared" ref="U37:U46" si="101">T37*A37</f>
        <v>0</v>
      </c>
      <c r="V37" s="310">
        <f t="shared" ref="V37:V46" si="102">O37*(J37-(K37+(G37-F37)))</f>
        <v>0</v>
      </c>
      <c r="W37" s="310">
        <f t="shared" si="24"/>
        <v>0</v>
      </c>
      <c r="X37" s="311">
        <f t="shared" si="13"/>
        <v>0</v>
      </c>
      <c r="Y37" s="324">
        <f>12000</f>
        <v>12000</v>
      </c>
      <c r="Z37" s="325">
        <v>20</v>
      </c>
      <c r="AA37" s="325">
        <f t="shared" ref="AA37:AA40" si="103">ROUND(Y37*Z37,2)/100</f>
        <v>2400</v>
      </c>
      <c r="AB37" s="325">
        <f>'B.0.ConsumiblesMaquinaria'!$J$25</f>
        <v>0.35</v>
      </c>
      <c r="AC37" s="325">
        <f t="shared" ref="AC37:AC46" si="104">IF(A37&gt;0,+ROUND(AB37*AA37/248,2),0)</f>
        <v>0</v>
      </c>
      <c r="AD37" s="326">
        <f>0.002038*Y37</f>
        <v>24.456</v>
      </c>
      <c r="AE37" s="325">
        <f t="shared" ref="AE37:AE46" si="105">AE$5</f>
        <v>4.8</v>
      </c>
      <c r="AF37" s="325">
        <f t="shared" ref="AF37:AF46" si="106">IF(A37&gt;0,+ROUND(AE37*AD37/248,2),0)</f>
        <v>0</v>
      </c>
      <c r="AG37" s="325">
        <f t="shared" ref="AG37:AG46" si="107">AF37+AC37</f>
        <v>0</v>
      </c>
      <c r="AH37" s="325">
        <f t="shared" ref="AH37:AH46" si="108">(AG37*AL37)*A37</f>
        <v>0</v>
      </c>
      <c r="AI37" s="325">
        <v>0.03</v>
      </c>
      <c r="AJ37" s="325">
        <f t="shared" ref="AJ37:AJ46" si="109">(AI37*AL37)*A37</f>
        <v>0</v>
      </c>
      <c r="AK37" s="325">
        <f t="shared" ref="AK37:AK46" si="110">IF(A37&gt;0,+AF37+AC37+AI37,0)</f>
        <v>0</v>
      </c>
      <c r="AL37" s="325">
        <v>248</v>
      </c>
      <c r="AM37" s="325">
        <f t="shared" si="21"/>
        <v>0</v>
      </c>
      <c r="AN37" s="325">
        <f t="shared" ref="AN37:AN46" si="111">AM37*A37</f>
        <v>0</v>
      </c>
      <c r="AO37" s="327">
        <f t="shared" ref="AO37:AO46" si="112">X37+AN37</f>
        <v>0</v>
      </c>
    </row>
    <row r="38" spans="1:41">
      <c r="A38" s="312">
        <v>0</v>
      </c>
      <c r="B38" s="294" t="s">
        <v>373</v>
      </c>
      <c r="C38" s="294" t="s">
        <v>342</v>
      </c>
      <c r="D38" s="294" t="s">
        <v>327</v>
      </c>
      <c r="E38" s="294" t="s">
        <v>374</v>
      </c>
      <c r="F38" s="294">
        <f t="shared" si="92"/>
        <v>2026</v>
      </c>
      <c r="G38" s="294">
        <f t="shared" si="93"/>
        <v>2026</v>
      </c>
      <c r="H38" s="294">
        <f t="shared" si="93"/>
        <v>2032</v>
      </c>
      <c r="I38" s="295">
        <v>53500</v>
      </c>
      <c r="J38" s="295">
        <v>8</v>
      </c>
      <c r="K38" s="295">
        <f t="shared" si="52"/>
        <v>6</v>
      </c>
      <c r="L38" s="295"/>
      <c r="M38" s="295">
        <v>2</v>
      </c>
      <c r="N38" s="291">
        <f t="shared" si="94"/>
        <v>0</v>
      </c>
      <c r="O38" s="291">
        <f t="shared" si="95"/>
        <v>0</v>
      </c>
      <c r="P38" s="291">
        <f t="shared" si="96"/>
        <v>0</v>
      </c>
      <c r="Q38" s="291">
        <f t="shared" si="97"/>
        <v>0</v>
      </c>
      <c r="R38" s="291">
        <f t="shared" si="98"/>
        <v>0</v>
      </c>
      <c r="S38" s="291">
        <f t="shared" si="99"/>
        <v>0</v>
      </c>
      <c r="T38" s="291">
        <f t="shared" si="100"/>
        <v>0</v>
      </c>
      <c r="U38" s="291">
        <f t="shared" si="101"/>
        <v>0</v>
      </c>
      <c r="V38" s="291">
        <f t="shared" si="102"/>
        <v>0</v>
      </c>
      <c r="W38" s="291">
        <f t="shared" si="24"/>
        <v>0</v>
      </c>
      <c r="X38" s="313">
        <f t="shared" si="13"/>
        <v>0</v>
      </c>
      <c r="Y38" s="328">
        <f>15000</f>
        <v>15000</v>
      </c>
      <c r="Z38" s="325">
        <v>20</v>
      </c>
      <c r="AA38" s="325">
        <f t="shared" si="103"/>
        <v>3000</v>
      </c>
      <c r="AB38" s="325">
        <f>'B.0.ConsumiblesMaquinaria'!$J$25</f>
        <v>0.35</v>
      </c>
      <c r="AC38" s="295">
        <f t="shared" si="104"/>
        <v>0</v>
      </c>
      <c r="AD38" s="296">
        <f>0.003038*Y38*0.7</f>
        <v>31.898999999999997</v>
      </c>
      <c r="AE38" s="295">
        <f t="shared" si="105"/>
        <v>4.8</v>
      </c>
      <c r="AF38" s="295">
        <f t="shared" si="106"/>
        <v>0</v>
      </c>
      <c r="AG38" s="295">
        <f t="shared" si="107"/>
        <v>0</v>
      </c>
      <c r="AH38" s="295">
        <f t="shared" si="108"/>
        <v>0</v>
      </c>
      <c r="AI38" s="295">
        <v>0.15</v>
      </c>
      <c r="AJ38" s="295">
        <f t="shared" si="109"/>
        <v>0</v>
      </c>
      <c r="AK38" s="295">
        <f t="shared" si="110"/>
        <v>0</v>
      </c>
      <c r="AL38" s="295">
        <v>248</v>
      </c>
      <c r="AM38" s="295">
        <f t="shared" si="21"/>
        <v>0</v>
      </c>
      <c r="AN38" s="295">
        <f t="shared" si="111"/>
        <v>0</v>
      </c>
      <c r="AO38" s="329">
        <f t="shared" si="112"/>
        <v>0</v>
      </c>
    </row>
    <row r="39" spans="1:41">
      <c r="A39" s="312">
        <v>0</v>
      </c>
      <c r="B39" s="294" t="s">
        <v>375</v>
      </c>
      <c r="C39" s="294" t="s">
        <v>342</v>
      </c>
      <c r="D39" s="294" t="s">
        <v>376</v>
      </c>
      <c r="E39" s="294" t="s">
        <v>377</v>
      </c>
      <c r="F39" s="294">
        <f t="shared" si="92"/>
        <v>2026</v>
      </c>
      <c r="G39" s="294">
        <f t="shared" si="93"/>
        <v>2026</v>
      </c>
      <c r="H39" s="294">
        <f t="shared" si="93"/>
        <v>2032</v>
      </c>
      <c r="I39" s="295">
        <v>49500</v>
      </c>
      <c r="J39" s="295">
        <v>8</v>
      </c>
      <c r="K39" s="295">
        <f t="shared" si="52"/>
        <v>6</v>
      </c>
      <c r="L39" s="295"/>
      <c r="M39" s="295">
        <v>2</v>
      </c>
      <c r="N39" s="291">
        <f t="shared" si="94"/>
        <v>0</v>
      </c>
      <c r="O39" s="291">
        <f t="shared" si="95"/>
        <v>0</v>
      </c>
      <c r="P39" s="291">
        <f t="shared" si="96"/>
        <v>0</v>
      </c>
      <c r="Q39" s="291">
        <f t="shared" si="97"/>
        <v>0</v>
      </c>
      <c r="R39" s="291">
        <f t="shared" si="98"/>
        <v>0</v>
      </c>
      <c r="S39" s="291">
        <f t="shared" si="99"/>
        <v>0</v>
      </c>
      <c r="T39" s="291">
        <f t="shared" si="100"/>
        <v>0</v>
      </c>
      <c r="U39" s="291">
        <f t="shared" si="101"/>
        <v>0</v>
      </c>
      <c r="V39" s="291">
        <f t="shared" si="102"/>
        <v>0</v>
      </c>
      <c r="W39" s="291">
        <f t="shared" si="24"/>
        <v>0</v>
      </c>
      <c r="X39" s="313">
        <f t="shared" si="13"/>
        <v>0</v>
      </c>
      <c r="Y39" s="328">
        <v>10000</v>
      </c>
      <c r="Z39" s="325">
        <v>20</v>
      </c>
      <c r="AA39" s="325">
        <f t="shared" si="103"/>
        <v>2000</v>
      </c>
      <c r="AB39" s="325">
        <f>'B.0.ConsumiblesMaquinaria'!$J$25</f>
        <v>0.35</v>
      </c>
      <c r="AC39" s="296">
        <f t="shared" si="104"/>
        <v>0</v>
      </c>
      <c r="AD39" s="295">
        <f>0.003038*Y39*0.7</f>
        <v>21.265999999999998</v>
      </c>
      <c r="AE39" s="295">
        <f t="shared" si="105"/>
        <v>4.8</v>
      </c>
      <c r="AF39" s="295">
        <f t="shared" si="106"/>
        <v>0</v>
      </c>
      <c r="AG39" s="295">
        <f t="shared" si="107"/>
        <v>0</v>
      </c>
      <c r="AH39" s="295">
        <f t="shared" si="108"/>
        <v>0</v>
      </c>
      <c r="AI39" s="295">
        <v>0.19</v>
      </c>
      <c r="AJ39" s="295">
        <f t="shared" si="109"/>
        <v>0</v>
      </c>
      <c r="AK39" s="295">
        <f t="shared" si="110"/>
        <v>0</v>
      </c>
      <c r="AL39" s="295">
        <v>248</v>
      </c>
      <c r="AM39" s="295">
        <f t="shared" si="21"/>
        <v>0</v>
      </c>
      <c r="AN39" s="295">
        <f t="shared" si="111"/>
        <v>0</v>
      </c>
      <c r="AO39" s="329">
        <f t="shared" si="112"/>
        <v>0</v>
      </c>
    </row>
    <row r="40" spans="1:41">
      <c r="A40" s="312">
        <v>0</v>
      </c>
      <c r="B40" s="294" t="s">
        <v>378</v>
      </c>
      <c r="C40" s="294" t="s">
        <v>342</v>
      </c>
      <c r="D40" s="294" t="s">
        <v>327</v>
      </c>
      <c r="E40" s="294" t="s">
        <v>343</v>
      </c>
      <c r="F40" s="294">
        <f t="shared" si="92"/>
        <v>2026</v>
      </c>
      <c r="G40" s="294">
        <f t="shared" si="93"/>
        <v>2026</v>
      </c>
      <c r="H40" s="294">
        <f t="shared" si="93"/>
        <v>2032</v>
      </c>
      <c r="I40" s="295">
        <v>51500</v>
      </c>
      <c r="J40" s="295">
        <v>4</v>
      </c>
      <c r="K40" s="295">
        <f t="shared" si="52"/>
        <v>6</v>
      </c>
      <c r="L40" s="295"/>
      <c r="M40" s="295">
        <v>4</v>
      </c>
      <c r="N40" s="291">
        <f t="shared" si="94"/>
        <v>0</v>
      </c>
      <c r="O40" s="291">
        <f t="shared" si="95"/>
        <v>0</v>
      </c>
      <c r="P40" s="291">
        <f t="shared" si="96"/>
        <v>0</v>
      </c>
      <c r="Q40" s="291">
        <f t="shared" si="97"/>
        <v>0</v>
      </c>
      <c r="R40" s="291">
        <f t="shared" si="98"/>
        <v>0</v>
      </c>
      <c r="S40" s="291">
        <f t="shared" si="99"/>
        <v>0</v>
      </c>
      <c r="T40" s="291">
        <f t="shared" si="100"/>
        <v>0</v>
      </c>
      <c r="U40" s="291">
        <f t="shared" si="101"/>
        <v>0</v>
      </c>
      <c r="V40" s="291">
        <f t="shared" si="102"/>
        <v>0</v>
      </c>
      <c r="W40" s="291">
        <f t="shared" si="24"/>
        <v>0</v>
      </c>
      <c r="X40" s="313">
        <f t="shared" si="13"/>
        <v>0</v>
      </c>
      <c r="Y40" s="328">
        <v>10000</v>
      </c>
      <c r="Z40" s="325">
        <v>20</v>
      </c>
      <c r="AA40" s="325">
        <f t="shared" si="103"/>
        <v>2000</v>
      </c>
      <c r="AB40" s="325">
        <f>'B.0.ConsumiblesMaquinaria'!$J$25</f>
        <v>0.35</v>
      </c>
      <c r="AC40" s="296">
        <f t="shared" si="104"/>
        <v>0</v>
      </c>
      <c r="AD40" s="295">
        <f>0.003038*Y40*0.7</f>
        <v>21.265999999999998</v>
      </c>
      <c r="AE40" s="295">
        <f t="shared" si="105"/>
        <v>4.8</v>
      </c>
      <c r="AF40" s="295">
        <f t="shared" si="106"/>
        <v>0</v>
      </c>
      <c r="AG40" s="295">
        <f t="shared" si="107"/>
        <v>0</v>
      </c>
      <c r="AH40" s="295">
        <f t="shared" si="108"/>
        <v>0</v>
      </c>
      <c r="AI40" s="295">
        <v>0.14499999999999999</v>
      </c>
      <c r="AJ40" s="295">
        <f t="shared" si="109"/>
        <v>0</v>
      </c>
      <c r="AK40" s="295">
        <f t="shared" si="110"/>
        <v>0</v>
      </c>
      <c r="AL40" s="295">
        <v>248</v>
      </c>
      <c r="AM40" s="295">
        <f t="shared" si="21"/>
        <v>0</v>
      </c>
      <c r="AN40" s="295">
        <f t="shared" si="111"/>
        <v>0</v>
      </c>
      <c r="AO40" s="329">
        <f t="shared" si="112"/>
        <v>0</v>
      </c>
    </row>
    <row r="41" spans="1:41">
      <c r="A41" s="312">
        <v>0</v>
      </c>
      <c r="B41" s="294" t="s">
        <v>373</v>
      </c>
      <c r="C41" s="294" t="s">
        <v>379</v>
      </c>
      <c r="D41" s="294" t="s">
        <v>327</v>
      </c>
      <c r="E41" s="294" t="s">
        <v>380</v>
      </c>
      <c r="F41" s="294">
        <f t="shared" si="92"/>
        <v>2026</v>
      </c>
      <c r="G41" s="294">
        <f t="shared" si="93"/>
        <v>2026</v>
      </c>
      <c r="H41" s="294">
        <f t="shared" si="93"/>
        <v>2032</v>
      </c>
      <c r="I41" s="295">
        <v>28000</v>
      </c>
      <c r="J41" s="295">
        <v>8</v>
      </c>
      <c r="K41" s="295">
        <f t="shared" si="52"/>
        <v>6</v>
      </c>
      <c r="L41" s="295"/>
      <c r="M41" s="295">
        <v>2</v>
      </c>
      <c r="N41" s="291">
        <f t="shared" si="94"/>
        <v>0</v>
      </c>
      <c r="O41" s="291">
        <f t="shared" si="95"/>
        <v>0</v>
      </c>
      <c r="P41" s="291">
        <f t="shared" si="96"/>
        <v>0</v>
      </c>
      <c r="Q41" s="291">
        <f t="shared" si="97"/>
        <v>0</v>
      </c>
      <c r="R41" s="291">
        <f t="shared" si="98"/>
        <v>0</v>
      </c>
      <c r="S41" s="291">
        <f t="shared" si="99"/>
        <v>0</v>
      </c>
      <c r="T41" s="291">
        <f t="shared" si="100"/>
        <v>0</v>
      </c>
      <c r="U41" s="291">
        <f t="shared" si="101"/>
        <v>0</v>
      </c>
      <c r="V41" s="291">
        <f t="shared" si="102"/>
        <v>0</v>
      </c>
      <c r="W41" s="291">
        <f t="shared" si="24"/>
        <v>0</v>
      </c>
      <c r="X41" s="313">
        <f t="shared" si="13"/>
        <v>0</v>
      </c>
      <c r="Y41" s="328">
        <f>25000</f>
        <v>25000</v>
      </c>
      <c r="Z41" s="295">
        <v>15</v>
      </c>
      <c r="AA41" s="295">
        <f>ROUND(Y41*Z41,2)/100</f>
        <v>3750</v>
      </c>
      <c r="AB41" s="295">
        <f>+'B.0.ConsumiblesMaquinaria'!J$26</f>
        <v>1.2</v>
      </c>
      <c r="AC41" s="295">
        <f t="shared" si="104"/>
        <v>0</v>
      </c>
      <c r="AD41" s="296">
        <f>0.003038*Y41*1.05</f>
        <v>79.747500000000002</v>
      </c>
      <c r="AE41" s="295">
        <f t="shared" si="105"/>
        <v>4.8</v>
      </c>
      <c r="AF41" s="295">
        <f t="shared" si="106"/>
        <v>0</v>
      </c>
      <c r="AG41" s="295">
        <f t="shared" si="107"/>
        <v>0</v>
      </c>
      <c r="AH41" s="295">
        <f t="shared" si="108"/>
        <v>0</v>
      </c>
      <c r="AI41" s="295">
        <v>6.0499999999999998E-2</v>
      </c>
      <c r="AJ41" s="295">
        <f t="shared" si="109"/>
        <v>0</v>
      </c>
      <c r="AK41" s="295">
        <f t="shared" si="110"/>
        <v>0</v>
      </c>
      <c r="AL41" s="295">
        <v>248</v>
      </c>
      <c r="AM41" s="295">
        <f t="shared" si="21"/>
        <v>0</v>
      </c>
      <c r="AN41" s="295">
        <f t="shared" si="111"/>
        <v>0</v>
      </c>
      <c r="AO41" s="329">
        <f t="shared" si="112"/>
        <v>0</v>
      </c>
    </row>
    <row r="42" spans="1:41">
      <c r="A42" s="312">
        <v>0</v>
      </c>
      <c r="B42" s="294" t="s">
        <v>381</v>
      </c>
      <c r="C42" s="294" t="s">
        <v>379</v>
      </c>
      <c r="D42" s="294" t="s">
        <v>327</v>
      </c>
      <c r="E42" s="294" t="s">
        <v>380</v>
      </c>
      <c r="F42" s="294">
        <f t="shared" si="92"/>
        <v>2026</v>
      </c>
      <c r="G42" s="294">
        <f t="shared" si="93"/>
        <v>2026</v>
      </c>
      <c r="H42" s="294">
        <f t="shared" si="93"/>
        <v>2032</v>
      </c>
      <c r="I42" s="295">
        <v>30000</v>
      </c>
      <c r="J42" s="295">
        <v>8</v>
      </c>
      <c r="K42" s="295">
        <f t="shared" si="52"/>
        <v>6</v>
      </c>
      <c r="L42" s="295"/>
      <c r="M42" s="295">
        <v>2</v>
      </c>
      <c r="N42" s="291">
        <f t="shared" si="94"/>
        <v>0</v>
      </c>
      <c r="O42" s="291">
        <f t="shared" si="95"/>
        <v>0</v>
      </c>
      <c r="P42" s="291">
        <f t="shared" si="96"/>
        <v>0</v>
      </c>
      <c r="Q42" s="291">
        <f t="shared" si="97"/>
        <v>0</v>
      </c>
      <c r="R42" s="291">
        <f t="shared" si="98"/>
        <v>0</v>
      </c>
      <c r="S42" s="291">
        <f t="shared" si="99"/>
        <v>0</v>
      </c>
      <c r="T42" s="291">
        <f t="shared" si="100"/>
        <v>0</v>
      </c>
      <c r="U42" s="291">
        <f t="shared" si="101"/>
        <v>0</v>
      </c>
      <c r="V42" s="291">
        <f t="shared" si="102"/>
        <v>0</v>
      </c>
      <c r="W42" s="291">
        <f t="shared" si="24"/>
        <v>0</v>
      </c>
      <c r="X42" s="313">
        <f t="shared" si="13"/>
        <v>0</v>
      </c>
      <c r="Y42" s="328">
        <f>25000</f>
        <v>25000</v>
      </c>
      <c r="Z42" s="295">
        <v>15</v>
      </c>
      <c r="AA42" s="295">
        <f>ROUND(Y42*Z42,2)/100</f>
        <v>3750</v>
      </c>
      <c r="AB42" s="295">
        <f>+'B.0.ConsumiblesMaquinaria'!J$26</f>
        <v>1.2</v>
      </c>
      <c r="AC42" s="295">
        <f t="shared" si="104"/>
        <v>0</v>
      </c>
      <c r="AD42" s="296">
        <f>0.003038*Y42*1.05</f>
        <v>79.747500000000002</v>
      </c>
      <c r="AE42" s="295">
        <f t="shared" si="105"/>
        <v>4.8</v>
      </c>
      <c r="AF42" s="295">
        <f t="shared" si="106"/>
        <v>0</v>
      </c>
      <c r="AG42" s="295">
        <f t="shared" si="107"/>
        <v>0</v>
      </c>
      <c r="AH42" s="295">
        <f t="shared" si="108"/>
        <v>0</v>
      </c>
      <c r="AI42" s="295">
        <v>6.0499999999999998E-2</v>
      </c>
      <c r="AJ42" s="295">
        <f t="shared" si="109"/>
        <v>0</v>
      </c>
      <c r="AK42" s="295">
        <f t="shared" si="110"/>
        <v>0</v>
      </c>
      <c r="AL42" s="295">
        <v>248</v>
      </c>
      <c r="AM42" s="295">
        <f t="shared" si="21"/>
        <v>0</v>
      </c>
      <c r="AN42" s="295">
        <f t="shared" si="111"/>
        <v>0</v>
      </c>
      <c r="AO42" s="329">
        <f t="shared" si="112"/>
        <v>0</v>
      </c>
    </row>
    <row r="43" spans="1:41">
      <c r="A43" s="312">
        <v>0</v>
      </c>
      <c r="B43" s="294" t="s">
        <v>382</v>
      </c>
      <c r="C43" s="294" t="s">
        <v>326</v>
      </c>
      <c r="D43" s="294" t="s">
        <v>383</v>
      </c>
      <c r="E43" s="294" t="s">
        <v>384</v>
      </c>
      <c r="F43" s="294">
        <f t="shared" si="92"/>
        <v>2026</v>
      </c>
      <c r="G43" s="294">
        <f t="shared" si="93"/>
        <v>2026</v>
      </c>
      <c r="H43" s="294">
        <f t="shared" si="93"/>
        <v>2032</v>
      </c>
      <c r="I43" s="295">
        <v>90000</v>
      </c>
      <c r="J43" s="295">
        <v>8</v>
      </c>
      <c r="K43" s="295">
        <f t="shared" si="52"/>
        <v>6</v>
      </c>
      <c r="L43" s="295"/>
      <c r="M43" s="295">
        <v>3</v>
      </c>
      <c r="N43" s="291">
        <f t="shared" si="94"/>
        <v>0</v>
      </c>
      <c r="O43" s="291">
        <f t="shared" si="95"/>
        <v>0</v>
      </c>
      <c r="P43" s="291">
        <f t="shared" si="96"/>
        <v>0</v>
      </c>
      <c r="Q43" s="291">
        <f t="shared" si="97"/>
        <v>0</v>
      </c>
      <c r="R43" s="291">
        <f t="shared" si="98"/>
        <v>0</v>
      </c>
      <c r="S43" s="291">
        <f t="shared" si="99"/>
        <v>0</v>
      </c>
      <c r="T43" s="291">
        <f t="shared" si="100"/>
        <v>0</v>
      </c>
      <c r="U43" s="291">
        <f t="shared" si="101"/>
        <v>0</v>
      </c>
      <c r="V43" s="291">
        <f t="shared" si="102"/>
        <v>0</v>
      </c>
      <c r="W43" s="291">
        <f t="shared" si="24"/>
        <v>0</v>
      </c>
      <c r="X43" s="313">
        <f t="shared" si="13"/>
        <v>0</v>
      </c>
      <c r="Y43" s="328">
        <f>12000</f>
        <v>12000</v>
      </c>
      <c r="Z43" s="295">
        <v>15</v>
      </c>
      <c r="AA43" s="295">
        <f>ROUND(Y43*Z43,2)/100</f>
        <v>1800</v>
      </c>
      <c r="AB43" s="295">
        <f>+'B.0.ConsumiblesMaquinaria'!J$22</f>
        <v>1.9</v>
      </c>
      <c r="AC43" s="295">
        <f t="shared" si="104"/>
        <v>0</v>
      </c>
      <c r="AD43" s="296">
        <f>0.003338*Y43*1.07</f>
        <v>42.859920000000002</v>
      </c>
      <c r="AE43" s="295">
        <f t="shared" si="105"/>
        <v>4.8</v>
      </c>
      <c r="AF43" s="295">
        <f t="shared" si="106"/>
        <v>0</v>
      </c>
      <c r="AG43" s="295">
        <f t="shared" si="107"/>
        <v>0</v>
      </c>
      <c r="AH43" s="295">
        <f t="shared" si="108"/>
        <v>0</v>
      </c>
      <c r="AI43" s="295">
        <v>0.25</v>
      </c>
      <c r="AJ43" s="295">
        <f t="shared" si="109"/>
        <v>0</v>
      </c>
      <c r="AK43" s="295">
        <f t="shared" si="110"/>
        <v>0</v>
      </c>
      <c r="AL43" s="295">
        <v>248</v>
      </c>
      <c r="AM43" s="295">
        <f t="shared" si="21"/>
        <v>0</v>
      </c>
      <c r="AN43" s="295">
        <f t="shared" si="111"/>
        <v>0</v>
      </c>
      <c r="AO43" s="329">
        <f t="shared" si="112"/>
        <v>0</v>
      </c>
    </row>
    <row r="44" spans="1:41">
      <c r="A44" s="312">
        <v>0</v>
      </c>
      <c r="B44" s="290" t="s">
        <v>373</v>
      </c>
      <c r="C44" s="290" t="s">
        <v>356</v>
      </c>
      <c r="D44" s="290" t="s">
        <v>385</v>
      </c>
      <c r="E44" s="290" t="s">
        <v>386</v>
      </c>
      <c r="F44" s="294">
        <f t="shared" si="92"/>
        <v>2026</v>
      </c>
      <c r="G44" s="290">
        <f t="shared" si="93"/>
        <v>2026</v>
      </c>
      <c r="H44" s="290">
        <f t="shared" si="93"/>
        <v>2032</v>
      </c>
      <c r="I44" s="291">
        <v>48000</v>
      </c>
      <c r="J44" s="291">
        <v>4</v>
      </c>
      <c r="K44" s="291">
        <f t="shared" si="52"/>
        <v>6</v>
      </c>
      <c r="L44" s="291"/>
      <c r="M44" s="291">
        <v>2</v>
      </c>
      <c r="N44" s="291">
        <f t="shared" si="94"/>
        <v>0</v>
      </c>
      <c r="O44" s="291">
        <f t="shared" si="95"/>
        <v>0</v>
      </c>
      <c r="P44" s="291">
        <f t="shared" si="96"/>
        <v>0</v>
      </c>
      <c r="Q44" s="291">
        <f t="shared" si="97"/>
        <v>0</v>
      </c>
      <c r="R44" s="291">
        <f t="shared" si="98"/>
        <v>0</v>
      </c>
      <c r="S44" s="291">
        <f t="shared" si="99"/>
        <v>0</v>
      </c>
      <c r="T44" s="291">
        <f t="shared" si="100"/>
        <v>0</v>
      </c>
      <c r="U44" s="291">
        <f t="shared" si="101"/>
        <v>0</v>
      </c>
      <c r="V44" s="291">
        <f t="shared" si="102"/>
        <v>0</v>
      </c>
      <c r="W44" s="291">
        <f t="shared" si="24"/>
        <v>0</v>
      </c>
      <c r="X44" s="313">
        <f t="shared" si="13"/>
        <v>0</v>
      </c>
      <c r="Y44" s="321">
        <f>15000</f>
        <v>15000</v>
      </c>
      <c r="Z44" s="295"/>
      <c r="AA44" s="295"/>
      <c r="AB44" s="295">
        <f>+'B.0.ConsumiblesMaquinaria'!J$22</f>
        <v>1.9</v>
      </c>
      <c r="AC44" s="295">
        <f t="shared" si="104"/>
        <v>0</v>
      </c>
      <c r="AD44" s="296">
        <f>0.003038*Y44*0.7</f>
        <v>31.898999999999997</v>
      </c>
      <c r="AE44" s="295">
        <f t="shared" si="105"/>
        <v>4.8</v>
      </c>
      <c r="AF44" s="295">
        <f t="shared" si="106"/>
        <v>0</v>
      </c>
      <c r="AG44" s="295">
        <f t="shared" si="107"/>
        <v>0</v>
      </c>
      <c r="AH44" s="295">
        <f t="shared" si="108"/>
        <v>0</v>
      </c>
      <c r="AI44" s="295">
        <v>0.2</v>
      </c>
      <c r="AJ44" s="295">
        <f t="shared" si="109"/>
        <v>0</v>
      </c>
      <c r="AK44" s="295">
        <f t="shared" si="110"/>
        <v>0</v>
      </c>
      <c r="AL44" s="295">
        <v>248</v>
      </c>
      <c r="AM44" s="295">
        <f t="shared" si="21"/>
        <v>0</v>
      </c>
      <c r="AN44" s="295">
        <f t="shared" si="111"/>
        <v>0</v>
      </c>
      <c r="AO44" s="329">
        <f t="shared" si="112"/>
        <v>0</v>
      </c>
    </row>
    <row r="45" spans="1:41">
      <c r="A45" s="312">
        <v>0</v>
      </c>
      <c r="B45" s="294" t="s">
        <v>373</v>
      </c>
      <c r="C45" s="294" t="s">
        <v>356</v>
      </c>
      <c r="D45" s="294" t="s">
        <v>327</v>
      </c>
      <c r="E45" s="294" t="s">
        <v>380</v>
      </c>
      <c r="F45" s="294">
        <f t="shared" si="92"/>
        <v>2026</v>
      </c>
      <c r="G45" s="294">
        <f t="shared" si="93"/>
        <v>2026</v>
      </c>
      <c r="H45" s="294">
        <f t="shared" si="93"/>
        <v>2032</v>
      </c>
      <c r="I45" s="295">
        <v>28500</v>
      </c>
      <c r="J45" s="295">
        <v>8</v>
      </c>
      <c r="K45" s="295">
        <f t="shared" si="52"/>
        <v>6</v>
      </c>
      <c r="L45" s="295"/>
      <c r="M45" s="295">
        <v>2</v>
      </c>
      <c r="N45" s="291">
        <f t="shared" si="94"/>
        <v>0</v>
      </c>
      <c r="O45" s="291">
        <f t="shared" si="95"/>
        <v>0</v>
      </c>
      <c r="P45" s="291">
        <f t="shared" si="96"/>
        <v>0</v>
      </c>
      <c r="Q45" s="291">
        <f t="shared" si="97"/>
        <v>0</v>
      </c>
      <c r="R45" s="291">
        <f t="shared" si="98"/>
        <v>0</v>
      </c>
      <c r="S45" s="291">
        <f t="shared" si="99"/>
        <v>0</v>
      </c>
      <c r="T45" s="291">
        <f t="shared" si="100"/>
        <v>0</v>
      </c>
      <c r="U45" s="291">
        <f t="shared" si="101"/>
        <v>0</v>
      </c>
      <c r="V45" s="291">
        <f t="shared" si="102"/>
        <v>0</v>
      </c>
      <c r="W45" s="291">
        <f t="shared" si="24"/>
        <v>0</v>
      </c>
      <c r="X45" s="313">
        <f t="shared" si="13"/>
        <v>0</v>
      </c>
      <c r="Y45" s="328">
        <f>25000</f>
        <v>25000</v>
      </c>
      <c r="Z45" s="295">
        <v>8.6</v>
      </c>
      <c r="AA45" s="295">
        <f>ROUND(Y45*Z45,2)/100</f>
        <v>2150</v>
      </c>
      <c r="AB45" s="295">
        <f>+'B.0.ConsumiblesMaquinaria'!J$22</f>
        <v>1.9</v>
      </c>
      <c r="AC45" s="295">
        <f t="shared" si="104"/>
        <v>0</v>
      </c>
      <c r="AD45" s="296">
        <f>0.003038*Y45*1.05</f>
        <v>79.747500000000002</v>
      </c>
      <c r="AE45" s="295">
        <f t="shared" si="105"/>
        <v>4.8</v>
      </c>
      <c r="AF45" s="295">
        <f t="shared" si="106"/>
        <v>0</v>
      </c>
      <c r="AG45" s="295">
        <f t="shared" si="107"/>
        <v>0</v>
      </c>
      <c r="AH45" s="295">
        <f t="shared" si="108"/>
        <v>0</v>
      </c>
      <c r="AI45" s="295">
        <v>0.05</v>
      </c>
      <c r="AJ45" s="295">
        <f t="shared" si="109"/>
        <v>0</v>
      </c>
      <c r="AK45" s="295">
        <f t="shared" si="110"/>
        <v>0</v>
      </c>
      <c r="AL45" s="295">
        <v>248</v>
      </c>
      <c r="AM45" s="295">
        <f t="shared" si="21"/>
        <v>0</v>
      </c>
      <c r="AN45" s="295">
        <f t="shared" si="111"/>
        <v>0</v>
      </c>
      <c r="AO45" s="329">
        <f t="shared" si="112"/>
        <v>0</v>
      </c>
    </row>
    <row r="46" spans="1:41">
      <c r="A46" s="312">
        <v>0</v>
      </c>
      <c r="B46" s="336" t="s">
        <v>381</v>
      </c>
      <c r="C46" s="336" t="s">
        <v>356</v>
      </c>
      <c r="D46" s="336" t="s">
        <v>327</v>
      </c>
      <c r="E46" s="336" t="s">
        <v>387</v>
      </c>
      <c r="F46" s="336">
        <f t="shared" si="92"/>
        <v>2026</v>
      </c>
      <c r="G46" s="336">
        <f t="shared" si="93"/>
        <v>2026</v>
      </c>
      <c r="H46" s="336">
        <f t="shared" si="93"/>
        <v>2032</v>
      </c>
      <c r="I46" s="331">
        <v>39750</v>
      </c>
      <c r="J46" s="331">
        <v>8</v>
      </c>
      <c r="K46" s="331">
        <f t="shared" si="52"/>
        <v>6</v>
      </c>
      <c r="L46" s="331"/>
      <c r="M46" s="331">
        <v>2</v>
      </c>
      <c r="N46" s="316">
        <f t="shared" si="94"/>
        <v>0</v>
      </c>
      <c r="O46" s="316">
        <f t="shared" si="95"/>
        <v>0</v>
      </c>
      <c r="P46" s="316">
        <f t="shared" si="96"/>
        <v>0</v>
      </c>
      <c r="Q46" s="316">
        <f t="shared" si="97"/>
        <v>0</v>
      </c>
      <c r="R46" s="316">
        <f t="shared" si="98"/>
        <v>0</v>
      </c>
      <c r="S46" s="316">
        <f t="shared" si="99"/>
        <v>0</v>
      </c>
      <c r="T46" s="316">
        <f t="shared" si="100"/>
        <v>0</v>
      </c>
      <c r="U46" s="316">
        <f t="shared" si="101"/>
        <v>0</v>
      </c>
      <c r="V46" s="316">
        <f t="shared" si="102"/>
        <v>0</v>
      </c>
      <c r="W46" s="316">
        <f t="shared" si="24"/>
        <v>0</v>
      </c>
      <c r="X46" s="317">
        <f t="shared" si="13"/>
        <v>0</v>
      </c>
      <c r="Y46" s="330">
        <f>25000</f>
        <v>25000</v>
      </c>
      <c r="Z46" s="331">
        <v>8</v>
      </c>
      <c r="AA46" s="331">
        <f>ROUND(Y46*Z46,2)/100</f>
        <v>2000</v>
      </c>
      <c r="AB46" s="331">
        <f>+'B.0.ConsumiblesMaquinaria'!J$22</f>
        <v>1.9</v>
      </c>
      <c r="AC46" s="331">
        <f t="shared" si="104"/>
        <v>0</v>
      </c>
      <c r="AD46" s="332">
        <f>0.002038*Y46*1.02</f>
        <v>51.968999999999994</v>
      </c>
      <c r="AE46" s="331">
        <f t="shared" si="105"/>
        <v>4.8</v>
      </c>
      <c r="AF46" s="331">
        <f t="shared" si="106"/>
        <v>0</v>
      </c>
      <c r="AG46" s="331">
        <f t="shared" si="107"/>
        <v>0</v>
      </c>
      <c r="AH46" s="331">
        <f t="shared" si="108"/>
        <v>0</v>
      </c>
      <c r="AI46" s="331">
        <v>0.17499999999999999</v>
      </c>
      <c r="AJ46" s="331">
        <f t="shared" si="109"/>
        <v>0</v>
      </c>
      <c r="AK46" s="331">
        <f t="shared" si="110"/>
        <v>0</v>
      </c>
      <c r="AL46" s="331">
        <v>248</v>
      </c>
      <c r="AM46" s="331">
        <f t="shared" si="21"/>
        <v>0</v>
      </c>
      <c r="AN46" s="331">
        <f t="shared" si="111"/>
        <v>0</v>
      </c>
      <c r="AO46" s="333">
        <f t="shared" si="112"/>
        <v>0</v>
      </c>
    </row>
    <row r="47" spans="1:41" ht="6.75" customHeight="1">
      <c r="A47" s="375"/>
      <c r="AO47" s="376"/>
    </row>
    <row r="48" spans="1:41">
      <c r="A48" s="377" t="s">
        <v>388</v>
      </c>
      <c r="B48" s="378"/>
      <c r="C48" s="378"/>
      <c r="D48" s="378"/>
      <c r="E48" s="378"/>
      <c r="F48" s="378"/>
      <c r="G48" s="378"/>
      <c r="H48" s="378"/>
      <c r="I48" s="378"/>
      <c r="J48" s="378"/>
      <c r="K48" s="378"/>
      <c r="L48" s="378"/>
      <c r="M48" s="378"/>
      <c r="N48" s="378"/>
      <c r="O48" s="378"/>
      <c r="P48" s="378"/>
      <c r="Q48" s="378"/>
      <c r="R48" s="378"/>
      <c r="S48" s="378"/>
      <c r="T48" s="378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378"/>
      <c r="AI48" s="378"/>
      <c r="AJ48" s="378"/>
      <c r="AK48" s="378"/>
      <c r="AL48" s="378"/>
      <c r="AM48" s="378"/>
      <c r="AN48" s="378"/>
      <c r="AO48" s="379">
        <f>SUM(AO7:AO46)</f>
        <v>0</v>
      </c>
    </row>
    <row r="50" spans="8:36">
      <c r="H50" s="460" t="s">
        <v>1046</v>
      </c>
      <c r="I50" s="461"/>
      <c r="J50" s="461"/>
      <c r="K50" s="461"/>
      <c r="L50" s="461"/>
      <c r="M50" s="461"/>
      <c r="N50" s="462">
        <f>SUM(N7:N46)</f>
        <v>0</v>
      </c>
    </row>
    <row r="51" spans="8:36">
      <c r="I51" s="460" t="s">
        <v>1047</v>
      </c>
      <c r="J51" s="461"/>
      <c r="K51" s="461"/>
      <c r="L51" s="461"/>
      <c r="M51" s="461"/>
      <c r="N51" s="463"/>
      <c r="O51" s="463"/>
      <c r="P51" s="462">
        <f>SUM(P7:P46)</f>
        <v>0</v>
      </c>
    </row>
    <row r="52" spans="8:36">
      <c r="K52" s="460" t="s">
        <v>1048</v>
      </c>
      <c r="L52" s="461"/>
      <c r="M52" s="461"/>
      <c r="N52" s="461"/>
      <c r="O52" s="461"/>
      <c r="P52" s="463"/>
      <c r="Q52" s="463"/>
      <c r="R52" s="462">
        <f>SUM(R6:R46)</f>
        <v>0</v>
      </c>
    </row>
    <row r="53" spans="8:36">
      <c r="L53" s="711" t="s">
        <v>1049</v>
      </c>
      <c r="M53" s="711"/>
      <c r="N53" s="711"/>
      <c r="O53" s="711"/>
      <c r="P53" s="461"/>
      <c r="Q53" s="463"/>
      <c r="R53" s="463"/>
      <c r="S53" s="462">
        <f>SUM(S7:S46)</f>
        <v>0</v>
      </c>
      <c r="AD53" s="711" t="s">
        <v>1035</v>
      </c>
      <c r="AE53" s="711"/>
      <c r="AF53" s="711"/>
      <c r="AG53" s="711"/>
      <c r="AH53" s="462">
        <f>SUM(AH7:AH46)</f>
        <v>0</v>
      </c>
    </row>
    <row r="54" spans="8:36">
      <c r="O54" s="711" t="s">
        <v>1050</v>
      </c>
      <c r="P54" s="711"/>
      <c r="Q54" s="711"/>
      <c r="R54" s="711"/>
      <c r="S54" s="711"/>
      <c r="T54" s="711"/>
      <c r="U54" s="462">
        <f>SUM(U7:U46)</f>
        <v>0</v>
      </c>
      <c r="AF54" s="711" t="s">
        <v>1051</v>
      </c>
      <c r="AG54" s="711"/>
      <c r="AH54" s="711"/>
      <c r="AI54" s="711"/>
      <c r="AJ54" s="462">
        <f>SUM(AJ7:AJ46)</f>
        <v>0</v>
      </c>
    </row>
  </sheetData>
  <mergeCells count="23">
    <mergeCell ref="A2:M3"/>
    <mergeCell ref="O54:T54"/>
    <mergeCell ref="AF54:AI54"/>
    <mergeCell ref="A17:C17"/>
    <mergeCell ref="A25:C25"/>
    <mergeCell ref="A28:C28"/>
    <mergeCell ref="A36:C36"/>
    <mergeCell ref="A1:AO1"/>
    <mergeCell ref="Z3:AC3"/>
    <mergeCell ref="AD3:AF3"/>
    <mergeCell ref="L53:O53"/>
    <mergeCell ref="AD53:AG53"/>
    <mergeCell ref="A6:C6"/>
    <mergeCell ref="AK3:AK4"/>
    <mergeCell ref="AO2:AO5"/>
    <mergeCell ref="AM3:AM4"/>
    <mergeCell ref="Y2:AN2"/>
    <mergeCell ref="AN3:AN4"/>
    <mergeCell ref="AL3:AL4"/>
    <mergeCell ref="AG3:AG4"/>
    <mergeCell ref="AH3:AH4"/>
    <mergeCell ref="Y3:Y4"/>
    <mergeCell ref="N2:X3"/>
  </mergeCells>
  <conditionalFormatting sqref="N7:X16">
    <cfRule type="cellIs" dxfId="29" priority="4" operator="equal">
      <formula>0</formula>
    </cfRule>
  </conditionalFormatting>
  <conditionalFormatting sqref="N26:X27">
    <cfRule type="cellIs" dxfId="28" priority="9" operator="equal">
      <formula>0</formula>
    </cfRule>
  </conditionalFormatting>
  <conditionalFormatting sqref="N29:X35">
    <cfRule type="cellIs" dxfId="27" priority="8" operator="equal">
      <formula>0</formula>
    </cfRule>
  </conditionalFormatting>
  <conditionalFormatting sqref="N37:X46">
    <cfRule type="cellIs" dxfId="26" priority="7" operator="equal">
      <formula>0</formula>
    </cfRule>
  </conditionalFormatting>
  <conditionalFormatting sqref="T18 N19:X24">
    <cfRule type="cellIs" dxfId="25" priority="10" operator="equal">
      <formula>0</formula>
    </cfRule>
  </conditionalFormatting>
  <conditionalFormatting sqref="W18:X18">
    <cfRule type="cellIs" dxfId="24" priority="16" operator="equal">
      <formula>0</formula>
    </cfRule>
  </conditionalFormatting>
  <conditionalFormatting sqref="Z7:AB7 Z8:AO46">
    <cfRule type="cellIs" dxfId="23" priority="12" operator="equal">
      <formula>0</formula>
    </cfRule>
  </conditionalFormatting>
  <conditionalFormatting sqref="AC7">
    <cfRule type="cellIs" dxfId="22" priority="5" operator="equal">
      <formula>0</formula>
    </cfRule>
  </conditionalFormatting>
  <conditionalFormatting sqref="AD7:AO7">
    <cfRule type="cellIs" dxfId="21" priority="1" operator="equal">
      <formula>0</formula>
    </cfRule>
  </conditionalFormatting>
  <conditionalFormatting sqref="AO8 AO17 AO25 AO28 AO36">
    <cfRule type="cellIs" dxfId="20" priority="21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8" scale="48" orientation="landscape" r:id="rId1"/>
  <rowBreaks count="1" manualBreakCount="1">
    <brk id="27" max="16383" man="1"/>
  </rowBreaks>
  <colBreaks count="1" manualBreakCount="1">
    <brk id="24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X569"/>
  <sheetViews>
    <sheetView showGridLines="0" zoomScaleNormal="100" workbookViewId="0">
      <selection activeCell="Q19" sqref="Q19"/>
    </sheetView>
  </sheetViews>
  <sheetFormatPr baseColWidth="10" defaultColWidth="11.44140625" defaultRowHeight="14.4"/>
  <cols>
    <col min="1" max="1" width="11" style="219" customWidth="1"/>
    <col min="2" max="10" width="3.33203125" style="48" customWidth="1"/>
    <col min="11" max="11" width="14.109375" style="48" customWidth="1"/>
    <col min="12" max="13" width="3.33203125" style="48" customWidth="1"/>
    <col min="14" max="16" width="14.21875" style="48" customWidth="1"/>
    <col min="17" max="17" width="14.6640625" style="48" customWidth="1"/>
    <col min="18" max="19" width="13.88671875" style="48" customWidth="1"/>
    <col min="20" max="20" width="14.21875" style="48" customWidth="1"/>
    <col min="21" max="22" width="3.33203125" style="48" customWidth="1"/>
    <col min="23" max="16384" width="11.44140625" style="48"/>
  </cols>
  <sheetData>
    <row r="1" spans="1:20" ht="15" customHeight="1">
      <c r="B1" s="527" t="s">
        <v>0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9"/>
    </row>
    <row r="2" spans="1:20" ht="3.75" customHeight="1">
      <c r="B2" s="22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24"/>
    </row>
    <row r="3" spans="1:20" ht="15" customHeight="1">
      <c r="B3" s="227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 t="s">
        <v>904</v>
      </c>
      <c r="O3" s="229" t="s">
        <v>905</v>
      </c>
      <c r="P3" s="229" t="s">
        <v>906</v>
      </c>
      <c r="Q3" s="229" t="s">
        <v>907</v>
      </c>
      <c r="R3" s="229" t="s">
        <v>908</v>
      </c>
      <c r="S3" s="229" t="s">
        <v>909</v>
      </c>
      <c r="T3" s="436" t="s">
        <v>910</v>
      </c>
    </row>
    <row r="4" spans="1:20" s="440" customFormat="1" ht="9.6" customHeight="1">
      <c r="A4" s="438"/>
      <c r="B4" s="439"/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90">
        <f>CanonAnual!O4</f>
        <v>1</v>
      </c>
      <c r="O4" s="490">
        <f>CanonAnual!P4</f>
        <v>1</v>
      </c>
      <c r="P4" s="490">
        <f>CanonAnual!Q4</f>
        <v>1</v>
      </c>
      <c r="Q4" s="490">
        <f>CanonAnual!R4</f>
        <v>1</v>
      </c>
      <c r="R4" s="490">
        <f>CanonAnual!S4</f>
        <v>1</v>
      </c>
      <c r="S4" s="490">
        <f>CanonAnual!T4</f>
        <v>1</v>
      </c>
      <c r="T4" s="491">
        <f>CanonAnual!U4</f>
        <v>1</v>
      </c>
    </row>
    <row r="5" spans="1:20" ht="15" customHeight="1">
      <c r="A5" s="221" t="s">
        <v>1</v>
      </c>
      <c r="B5" s="530" t="s">
        <v>2</v>
      </c>
      <c r="C5" s="531"/>
      <c r="D5" s="531"/>
      <c r="E5" s="531"/>
      <c r="F5" s="531"/>
      <c r="G5" s="531"/>
      <c r="H5" s="531"/>
      <c r="I5" s="531"/>
      <c r="J5" s="531"/>
      <c r="K5" s="531"/>
      <c r="L5" s="532">
        <f>'Caracteristicas Contrato'!E8</f>
        <v>0.8</v>
      </c>
      <c r="M5" s="533"/>
      <c r="N5" s="384">
        <f>N7*$L$5</f>
        <v>0</v>
      </c>
      <c r="O5" s="384">
        <f t="shared" ref="O5:T5" si="0">O7*$L$5</f>
        <v>0</v>
      </c>
      <c r="P5" s="384">
        <f t="shared" si="0"/>
        <v>0</v>
      </c>
      <c r="Q5" s="384">
        <f t="shared" si="0"/>
        <v>0</v>
      </c>
      <c r="R5" s="384">
        <f t="shared" si="0"/>
        <v>0</v>
      </c>
      <c r="S5" s="384">
        <f t="shared" si="0"/>
        <v>0</v>
      </c>
      <c r="T5" s="484">
        <f t="shared" si="0"/>
        <v>0</v>
      </c>
    </row>
    <row r="6" spans="1:20" ht="15" customHeight="1">
      <c r="A6" s="221" t="s">
        <v>3</v>
      </c>
      <c r="B6" s="534" t="s">
        <v>4</v>
      </c>
      <c r="C6" s="535"/>
      <c r="D6" s="535"/>
      <c r="E6" s="535"/>
      <c r="F6" s="535"/>
      <c r="G6" s="535"/>
      <c r="H6" s="535"/>
      <c r="I6" s="535"/>
      <c r="J6" s="535"/>
      <c r="K6" s="535"/>
      <c r="L6" s="536">
        <f>'Caracteristicas Contrato'!E10</f>
        <v>0.19999999999999996</v>
      </c>
      <c r="M6" s="537"/>
      <c r="N6" s="384">
        <f>N7*$L$6</f>
        <v>0</v>
      </c>
      <c r="O6" s="384">
        <f t="shared" ref="O6:T6" si="1">O7*$L$6</f>
        <v>0</v>
      </c>
      <c r="P6" s="384">
        <f t="shared" si="1"/>
        <v>0</v>
      </c>
      <c r="Q6" s="384">
        <f t="shared" si="1"/>
        <v>0</v>
      </c>
      <c r="R6" s="384">
        <f t="shared" si="1"/>
        <v>0</v>
      </c>
      <c r="S6" s="384">
        <f t="shared" si="1"/>
        <v>0</v>
      </c>
      <c r="T6" s="484">
        <f t="shared" si="1"/>
        <v>0</v>
      </c>
    </row>
    <row r="7" spans="1:20" ht="15" customHeight="1">
      <c r="A7" s="221" t="s">
        <v>5</v>
      </c>
      <c r="B7" s="538" t="s">
        <v>6</v>
      </c>
      <c r="C7" s="539"/>
      <c r="D7" s="539"/>
      <c r="E7" s="539"/>
      <c r="F7" s="539"/>
      <c r="G7" s="539"/>
      <c r="H7" s="539"/>
      <c r="I7" s="539"/>
      <c r="J7" s="539"/>
      <c r="K7" s="539"/>
      <c r="L7" s="537"/>
      <c r="M7" s="537"/>
      <c r="N7" s="380">
        <f>CanonAnual!O13</f>
        <v>0</v>
      </c>
      <c r="O7" s="380">
        <f>CanonAnual!P13</f>
        <v>0</v>
      </c>
      <c r="P7" s="380">
        <f>CanonAnual!Q13</f>
        <v>0</v>
      </c>
      <c r="Q7" s="380">
        <f>CanonAnual!R13</f>
        <v>0</v>
      </c>
      <c r="R7" s="380">
        <f>CanonAnual!S13</f>
        <v>0</v>
      </c>
      <c r="S7" s="380">
        <f>CanonAnual!T13</f>
        <v>0</v>
      </c>
      <c r="T7" s="485">
        <f>CanonAnual!U13</f>
        <v>0</v>
      </c>
    </row>
    <row r="8" spans="1:20" ht="15" customHeight="1">
      <c r="A8" s="221" t="s">
        <v>7</v>
      </c>
      <c r="B8" s="534" t="s">
        <v>8</v>
      </c>
      <c r="C8" s="535"/>
      <c r="D8" s="535"/>
      <c r="E8" s="535"/>
      <c r="F8" s="535"/>
      <c r="G8" s="535"/>
      <c r="H8" s="535"/>
      <c r="I8" s="535"/>
      <c r="J8" s="535"/>
      <c r="K8" s="535"/>
      <c r="L8" s="536">
        <f>'Caracteristicas Contrato'!E12</f>
        <v>0.13</v>
      </c>
      <c r="M8" s="537"/>
      <c r="N8" s="437">
        <f>N7*$L$8</f>
        <v>0</v>
      </c>
      <c r="O8" s="437">
        <f t="shared" ref="O8:T8" si="2">O7*$L$8</f>
        <v>0</v>
      </c>
      <c r="P8" s="437">
        <f t="shared" si="2"/>
        <v>0</v>
      </c>
      <c r="Q8" s="437">
        <f t="shared" si="2"/>
        <v>0</v>
      </c>
      <c r="R8" s="437">
        <f t="shared" si="2"/>
        <v>0</v>
      </c>
      <c r="S8" s="437">
        <f t="shared" si="2"/>
        <v>0</v>
      </c>
      <c r="T8" s="486">
        <f t="shared" si="2"/>
        <v>0</v>
      </c>
    </row>
    <row r="9" spans="1:20" ht="15" customHeight="1">
      <c r="A9" s="221" t="s">
        <v>9</v>
      </c>
      <c r="B9" s="534" t="s">
        <v>10</v>
      </c>
      <c r="C9" s="535"/>
      <c r="D9" s="535"/>
      <c r="E9" s="535"/>
      <c r="F9" s="535"/>
      <c r="G9" s="535"/>
      <c r="H9" s="535"/>
      <c r="I9" s="535"/>
      <c r="J9" s="535"/>
      <c r="K9" s="535"/>
      <c r="L9" s="536">
        <f>'Caracteristicas Contrato'!E14</f>
        <v>0.06</v>
      </c>
      <c r="M9" s="537"/>
      <c r="N9" s="437">
        <f>N7*$L$9</f>
        <v>0</v>
      </c>
      <c r="O9" s="437">
        <f t="shared" ref="O9:T9" si="3">O7*$L$9</f>
        <v>0</v>
      </c>
      <c r="P9" s="437">
        <f t="shared" si="3"/>
        <v>0</v>
      </c>
      <c r="Q9" s="437">
        <f t="shared" si="3"/>
        <v>0</v>
      </c>
      <c r="R9" s="437">
        <f t="shared" si="3"/>
        <v>0</v>
      </c>
      <c r="S9" s="437">
        <f t="shared" si="3"/>
        <v>0</v>
      </c>
      <c r="T9" s="486">
        <f t="shared" si="3"/>
        <v>0</v>
      </c>
    </row>
    <row r="10" spans="1:20" ht="15" customHeight="1">
      <c r="A10" s="221" t="s">
        <v>11</v>
      </c>
      <c r="B10" s="538" t="s">
        <v>12</v>
      </c>
      <c r="C10" s="539"/>
      <c r="D10" s="539"/>
      <c r="E10" s="539"/>
      <c r="F10" s="539"/>
      <c r="G10" s="539"/>
      <c r="H10" s="539"/>
      <c r="I10" s="539"/>
      <c r="J10" s="539"/>
      <c r="K10" s="539"/>
      <c r="L10" s="537"/>
      <c r="M10" s="537"/>
      <c r="N10" s="380">
        <f>N9+N8+N7</f>
        <v>0</v>
      </c>
      <c r="O10" s="380">
        <f t="shared" ref="O10:T10" si="4">O9+O8+O7</f>
        <v>0</v>
      </c>
      <c r="P10" s="380">
        <f t="shared" si="4"/>
        <v>0</v>
      </c>
      <c r="Q10" s="380">
        <f t="shared" si="4"/>
        <v>0</v>
      </c>
      <c r="R10" s="380">
        <f t="shared" si="4"/>
        <v>0</v>
      </c>
      <c r="S10" s="380">
        <f t="shared" si="4"/>
        <v>0</v>
      </c>
      <c r="T10" s="485">
        <f t="shared" si="4"/>
        <v>0</v>
      </c>
    </row>
    <row r="11" spans="1:20" ht="15" customHeight="1">
      <c r="A11" s="221" t="s">
        <v>13</v>
      </c>
      <c r="B11" s="534" t="s">
        <v>14</v>
      </c>
      <c r="C11" s="535"/>
      <c r="D11" s="535"/>
      <c r="E11" s="535"/>
      <c r="F11" s="535"/>
      <c r="G11" s="535"/>
      <c r="H11" s="535"/>
      <c r="I11" s="535"/>
      <c r="J11" s="535"/>
      <c r="K11" s="535"/>
      <c r="L11" s="536">
        <v>0.21</v>
      </c>
      <c r="M11" s="537"/>
      <c r="N11" s="384">
        <f>CanonAnual!O18</f>
        <v>0</v>
      </c>
      <c r="O11" s="384">
        <f>CanonAnual!P18</f>
        <v>0</v>
      </c>
      <c r="P11" s="384">
        <f>CanonAnual!Q18</f>
        <v>0</v>
      </c>
      <c r="Q11" s="384">
        <f>CanonAnual!R18</f>
        <v>0</v>
      </c>
      <c r="R11" s="384">
        <f>CanonAnual!S18</f>
        <v>0</v>
      </c>
      <c r="S11" s="384">
        <f>CanonAnual!T18</f>
        <v>0</v>
      </c>
      <c r="T11" s="484">
        <f>CanonAnual!U18</f>
        <v>0</v>
      </c>
    </row>
    <row r="12" spans="1:20" ht="15" customHeight="1">
      <c r="A12" s="221" t="s">
        <v>15</v>
      </c>
      <c r="B12" s="534" t="s">
        <v>16</v>
      </c>
      <c r="C12" s="535"/>
      <c r="D12" s="535"/>
      <c r="E12" s="535"/>
      <c r="F12" s="535"/>
      <c r="G12" s="535"/>
      <c r="H12" s="535"/>
      <c r="I12" s="535"/>
      <c r="J12" s="535"/>
      <c r="K12" s="535"/>
      <c r="L12" s="536">
        <v>0.1</v>
      </c>
      <c r="M12" s="537"/>
      <c r="N12" s="384">
        <f>CanonAnual!O20</f>
        <v>0</v>
      </c>
      <c r="O12" s="384">
        <f>CanonAnual!P20</f>
        <v>0</v>
      </c>
      <c r="P12" s="384">
        <f>CanonAnual!Q20</f>
        <v>0</v>
      </c>
      <c r="Q12" s="384">
        <f>CanonAnual!R20</f>
        <v>0</v>
      </c>
      <c r="R12" s="384">
        <f>CanonAnual!S20</f>
        <v>0</v>
      </c>
      <c r="S12" s="384">
        <f>CanonAnual!T20</f>
        <v>0</v>
      </c>
      <c r="T12" s="484">
        <f>CanonAnual!U20</f>
        <v>0</v>
      </c>
    </row>
    <row r="13" spans="1:20" ht="15" customHeight="1">
      <c r="A13" s="221" t="s">
        <v>17</v>
      </c>
      <c r="B13" s="540" t="s">
        <v>18</v>
      </c>
      <c r="C13" s="541"/>
      <c r="D13" s="541"/>
      <c r="E13" s="541"/>
      <c r="F13" s="541"/>
      <c r="G13" s="541"/>
      <c r="H13" s="541"/>
      <c r="I13" s="541"/>
      <c r="J13" s="541"/>
      <c r="K13" s="541"/>
      <c r="L13" s="542"/>
      <c r="M13" s="543"/>
      <c r="N13" s="381">
        <f>CanonAnual!O21</f>
        <v>0</v>
      </c>
      <c r="O13" s="381">
        <f>CanonAnual!P21</f>
        <v>0</v>
      </c>
      <c r="P13" s="381">
        <f>CanonAnual!Q21</f>
        <v>0</v>
      </c>
      <c r="Q13" s="381">
        <f>CanonAnual!R21</f>
        <v>0</v>
      </c>
      <c r="R13" s="381">
        <f>CanonAnual!S21</f>
        <v>0</v>
      </c>
      <c r="S13" s="381">
        <f>CanonAnual!T21</f>
        <v>0</v>
      </c>
      <c r="T13" s="487">
        <f>CanonAnual!U21</f>
        <v>0</v>
      </c>
    </row>
    <row r="14" spans="1:20" ht="15" customHeight="1">
      <c r="A14" s="221"/>
      <c r="B14" s="538" t="s">
        <v>1102</v>
      </c>
      <c r="C14" s="539"/>
      <c r="D14" s="539"/>
      <c r="E14" s="539"/>
      <c r="F14" s="539"/>
      <c r="G14" s="539"/>
      <c r="H14" s="539"/>
      <c r="I14" s="539"/>
      <c r="J14" s="539"/>
      <c r="K14" s="539"/>
      <c r="L14" s="537"/>
      <c r="M14" s="537"/>
      <c r="N14" s="380">
        <f>'Trabajos Medición-Suministro'!P36*N4</f>
        <v>0</v>
      </c>
      <c r="O14" s="380">
        <f>'Trabajos Medición-Suministro'!$P$36*((IF(('A. Resumen Costes Personal Año'!$D$14=2026),(1+'Caracteristicas Contrato'!$E$18),1)))*O4</f>
        <v>0</v>
      </c>
      <c r="P14" s="380">
        <f>'Trabajos Medición-Suministro'!$P$36*((IF(('A. Resumen Costes Personal Año'!$D$14=2026),(1+'Caracteristicas Contrato'!$E$18)^(2),IF(('A. Resumen Costes Personal Año'!$D$14=2027),(1+'Caracteristicas Contrato'!$E$18)^(1),1))))*P4</f>
        <v>0</v>
      </c>
      <c r="Q14" s="380">
        <f>'Trabajos Medición-Suministro'!$P$36*((IF(('A. Resumen Costes Personal Año'!$D$14=2026),(1+'Caracteristicas Contrato'!$E$18)^(3),IF(('A. Resumen Costes Personal Año'!$D$14=2027),(1+'Caracteristicas Contrato'!$E$18)^(2),IF(('A. Resumen Costes Personal Año'!$D$14=2028),(1+'Caracteristicas Contrato'!$E$18)^(1),1)))))*Q4</f>
        <v>0</v>
      </c>
      <c r="R14" s="380">
        <f>'Trabajos Medición-Suministro'!$P$36*((1+'Caracteristicas Contrato'!$E$18)^4)*R4</f>
        <v>0</v>
      </c>
      <c r="S14" s="380">
        <f>'Trabajos Medición-Suministro'!$P$36*((IF(('A.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Contrato'!$E$18)^(1),1)))))))*S4</f>
        <v>0</v>
      </c>
      <c r="T14" s="484">
        <f>'Trabajos Medición-Suministro'!$P$36*((IF(('A.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Contrato'!$E$18)^(1),1)))))))*T4)</f>
        <v>0</v>
      </c>
    </row>
    <row r="15" spans="1:20" ht="15" customHeight="1">
      <c r="A15" s="221" t="s">
        <v>7</v>
      </c>
      <c r="B15" s="534" t="s">
        <v>8</v>
      </c>
      <c r="C15" s="535"/>
      <c r="D15" s="535"/>
      <c r="E15" s="535"/>
      <c r="F15" s="535"/>
      <c r="G15" s="535"/>
      <c r="H15" s="535"/>
      <c r="I15" s="535"/>
      <c r="J15" s="535"/>
      <c r="K15" s="535"/>
      <c r="L15" s="536">
        <f>'Caracteristicas Contrato'!E12</f>
        <v>0.13</v>
      </c>
      <c r="M15" s="537"/>
      <c r="N15" s="437">
        <f>N14*$L$15</f>
        <v>0</v>
      </c>
      <c r="O15" s="437">
        <f t="shared" ref="O15:T15" si="5">O14*$L$8</f>
        <v>0</v>
      </c>
      <c r="P15" s="437">
        <f t="shared" si="5"/>
        <v>0</v>
      </c>
      <c r="Q15" s="437">
        <f t="shared" si="5"/>
        <v>0</v>
      </c>
      <c r="R15" s="437">
        <f t="shared" si="5"/>
        <v>0</v>
      </c>
      <c r="S15" s="437">
        <f t="shared" si="5"/>
        <v>0</v>
      </c>
      <c r="T15" s="486">
        <f t="shared" si="5"/>
        <v>0</v>
      </c>
    </row>
    <row r="16" spans="1:20" ht="15" customHeight="1">
      <c r="A16" s="221" t="s">
        <v>9</v>
      </c>
      <c r="B16" s="534" t="s">
        <v>10</v>
      </c>
      <c r="C16" s="535"/>
      <c r="D16" s="535"/>
      <c r="E16" s="535"/>
      <c r="F16" s="535"/>
      <c r="G16" s="535"/>
      <c r="H16" s="535"/>
      <c r="I16" s="535"/>
      <c r="J16" s="535"/>
      <c r="K16" s="535"/>
      <c r="L16" s="536">
        <f>'Caracteristicas Contrato'!E14</f>
        <v>0.06</v>
      </c>
      <c r="M16" s="537"/>
      <c r="N16" s="437">
        <f>N14*$L$9</f>
        <v>0</v>
      </c>
      <c r="O16" s="437">
        <f t="shared" ref="O16:S16" si="6">O14*$L$9</f>
        <v>0</v>
      </c>
      <c r="P16" s="437">
        <f t="shared" si="6"/>
        <v>0</v>
      </c>
      <c r="Q16" s="437">
        <f t="shared" si="6"/>
        <v>0</v>
      </c>
      <c r="R16" s="437">
        <f t="shared" si="6"/>
        <v>0</v>
      </c>
      <c r="S16" s="437">
        <f t="shared" si="6"/>
        <v>0</v>
      </c>
      <c r="T16" s="486">
        <f>T14*$L$9</f>
        <v>0</v>
      </c>
    </row>
    <row r="17" spans="1:24" ht="15" customHeight="1">
      <c r="A17" s="221" t="s">
        <v>19</v>
      </c>
      <c r="B17" s="538" t="s">
        <v>20</v>
      </c>
      <c r="C17" s="539"/>
      <c r="D17" s="539"/>
      <c r="E17" s="539"/>
      <c r="F17" s="539"/>
      <c r="G17" s="539"/>
      <c r="H17" s="539"/>
      <c r="I17" s="539"/>
      <c r="J17" s="539"/>
      <c r="K17" s="539"/>
      <c r="L17" s="537"/>
      <c r="M17" s="537"/>
      <c r="N17" s="380">
        <f>N16+N15+N14</f>
        <v>0</v>
      </c>
      <c r="O17" s="380">
        <f t="shared" ref="O17:T17" si="7">O16+O15+O14</f>
        <v>0</v>
      </c>
      <c r="P17" s="380">
        <f t="shared" si="7"/>
        <v>0</v>
      </c>
      <c r="Q17" s="380">
        <f t="shared" si="7"/>
        <v>0</v>
      </c>
      <c r="R17" s="380">
        <f t="shared" si="7"/>
        <v>0</v>
      </c>
      <c r="S17" s="380">
        <f t="shared" si="7"/>
        <v>0</v>
      </c>
      <c r="T17" s="485">
        <f t="shared" si="7"/>
        <v>0</v>
      </c>
    </row>
    <row r="18" spans="1:24" ht="15" customHeight="1">
      <c r="A18" s="221" t="s">
        <v>21</v>
      </c>
      <c r="B18" s="534" t="s">
        <v>22</v>
      </c>
      <c r="C18" s="535"/>
      <c r="D18" s="535"/>
      <c r="E18" s="535"/>
      <c r="F18" s="535"/>
      <c r="G18" s="535"/>
      <c r="H18" s="535"/>
      <c r="I18" s="535"/>
      <c r="J18" s="535"/>
      <c r="K18" s="535"/>
      <c r="L18" s="536">
        <v>0.21</v>
      </c>
      <c r="M18" s="537"/>
      <c r="N18" s="384">
        <f>N17*$L$18</f>
        <v>0</v>
      </c>
      <c r="O18" s="384">
        <f t="shared" ref="O18:T18" si="8">O17*$L$18</f>
        <v>0</v>
      </c>
      <c r="P18" s="384">
        <f t="shared" si="8"/>
        <v>0</v>
      </c>
      <c r="Q18" s="384">
        <f t="shared" si="8"/>
        <v>0</v>
      </c>
      <c r="R18" s="384">
        <f t="shared" si="8"/>
        <v>0</v>
      </c>
      <c r="S18" s="384">
        <f t="shared" si="8"/>
        <v>0</v>
      </c>
      <c r="T18" s="484">
        <f t="shared" si="8"/>
        <v>0</v>
      </c>
    </row>
    <row r="19" spans="1:24" ht="15" customHeight="1">
      <c r="A19" s="221" t="s">
        <v>23</v>
      </c>
      <c r="B19" s="540" t="s">
        <v>24</v>
      </c>
      <c r="C19" s="541"/>
      <c r="D19" s="541"/>
      <c r="E19" s="541"/>
      <c r="F19" s="541"/>
      <c r="G19" s="541"/>
      <c r="H19" s="541"/>
      <c r="I19" s="541"/>
      <c r="J19" s="541"/>
      <c r="K19" s="541"/>
      <c r="L19" s="542"/>
      <c r="M19" s="543"/>
      <c r="N19" s="381">
        <f>N17+N18</f>
        <v>0</v>
      </c>
      <c r="O19" s="382">
        <f t="shared" ref="O19:T19" si="9">O17+O18</f>
        <v>0</v>
      </c>
      <c r="P19" s="382">
        <f t="shared" si="9"/>
        <v>0</v>
      </c>
      <c r="Q19" s="382">
        <f t="shared" si="9"/>
        <v>0</v>
      </c>
      <c r="R19" s="382">
        <f t="shared" si="9"/>
        <v>0</v>
      </c>
      <c r="S19" s="382">
        <f t="shared" si="9"/>
        <v>0</v>
      </c>
      <c r="T19" s="488">
        <f t="shared" si="9"/>
        <v>0</v>
      </c>
    </row>
    <row r="20" spans="1:24" ht="15" customHeight="1">
      <c r="A20" s="221" t="s">
        <v>25</v>
      </c>
      <c r="B20" s="544" t="s">
        <v>26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6"/>
      <c r="M20" s="547"/>
      <c r="N20" s="383">
        <f>N10+N17</f>
        <v>0</v>
      </c>
      <c r="O20" s="383">
        <f t="shared" ref="O20:T20" si="10">O10+O17</f>
        <v>0</v>
      </c>
      <c r="P20" s="383">
        <f t="shared" si="10"/>
        <v>0</v>
      </c>
      <c r="Q20" s="383">
        <f t="shared" si="10"/>
        <v>0</v>
      </c>
      <c r="R20" s="383">
        <f t="shared" si="10"/>
        <v>0</v>
      </c>
      <c r="S20" s="383">
        <f t="shared" si="10"/>
        <v>0</v>
      </c>
      <c r="T20" s="489">
        <f t="shared" si="10"/>
        <v>0</v>
      </c>
    </row>
    <row r="21" spans="1:24" ht="15" customHeight="1">
      <c r="A21" s="221" t="s">
        <v>27</v>
      </c>
      <c r="B21" s="538" t="s">
        <v>28</v>
      </c>
      <c r="C21" s="539"/>
      <c r="D21" s="539"/>
      <c r="E21" s="539"/>
      <c r="F21" s="539"/>
      <c r="G21" s="539"/>
      <c r="H21" s="539"/>
      <c r="I21" s="539"/>
      <c r="J21" s="539"/>
      <c r="K21" s="539"/>
      <c r="L21" s="536"/>
      <c r="M21" s="537"/>
      <c r="N21" s="380">
        <f>N13+N19</f>
        <v>0</v>
      </c>
      <c r="O21" s="380">
        <f t="shared" ref="O21:T21" si="11">O13+O19</f>
        <v>0</v>
      </c>
      <c r="P21" s="380">
        <f t="shared" si="11"/>
        <v>0</v>
      </c>
      <c r="Q21" s="380">
        <f t="shared" si="11"/>
        <v>0</v>
      </c>
      <c r="R21" s="380">
        <f t="shared" si="11"/>
        <v>0</v>
      </c>
      <c r="S21" s="380">
        <f t="shared" si="11"/>
        <v>0</v>
      </c>
      <c r="T21" s="485">
        <f t="shared" si="11"/>
        <v>0</v>
      </c>
    </row>
    <row r="22" spans="1:24" ht="15" customHeight="1">
      <c r="A22" s="221" t="s">
        <v>29</v>
      </c>
      <c r="B22" s="553" t="s">
        <v>30</v>
      </c>
      <c r="C22" s="554"/>
      <c r="D22" s="554"/>
      <c r="E22" s="554"/>
      <c r="F22" s="554"/>
      <c r="G22" s="554"/>
      <c r="H22" s="554"/>
      <c r="I22" s="554"/>
      <c r="J22" s="554"/>
      <c r="K22" s="554"/>
      <c r="L22" s="555">
        <f>N20+O20+P20+Q20+R20+S20+T20</f>
        <v>0</v>
      </c>
      <c r="M22" s="556"/>
      <c r="N22" s="556"/>
      <c r="O22" s="556"/>
      <c r="P22" s="556"/>
      <c r="Q22" s="556"/>
      <c r="R22" s="556"/>
      <c r="S22" s="556"/>
      <c r="T22" s="557"/>
    </row>
    <row r="23" spans="1:24" ht="15" customHeight="1">
      <c r="A23" s="221" t="s">
        <v>31</v>
      </c>
      <c r="B23" s="558" t="s">
        <v>32</v>
      </c>
      <c r="C23" s="559"/>
      <c r="D23" s="559"/>
      <c r="E23" s="559"/>
      <c r="F23" s="559"/>
      <c r="G23" s="559"/>
      <c r="H23" s="559"/>
      <c r="I23" s="559"/>
      <c r="J23" s="559"/>
      <c r="K23" s="559"/>
      <c r="L23" s="560">
        <f>N21+O21+P21+Q21+R21+S21+T21</f>
        <v>0</v>
      </c>
      <c r="M23" s="561"/>
      <c r="N23" s="561"/>
      <c r="O23" s="561"/>
      <c r="P23" s="561"/>
      <c r="Q23" s="561"/>
      <c r="R23" s="561"/>
      <c r="S23" s="561"/>
      <c r="T23" s="562"/>
    </row>
    <row r="24" spans="1:24" ht="15" customHeight="1">
      <c r="A24" s="221" t="s">
        <v>33</v>
      </c>
      <c r="B24" s="530" t="s">
        <v>34</v>
      </c>
      <c r="C24" s="531"/>
      <c r="D24" s="531"/>
      <c r="E24" s="531"/>
      <c r="F24" s="531"/>
      <c r="G24" s="531"/>
      <c r="H24" s="531"/>
      <c r="I24" s="531"/>
      <c r="J24" s="531"/>
      <c r="K24" s="531"/>
      <c r="L24" s="532"/>
      <c r="M24" s="533"/>
      <c r="N24" s="563" t="e">
        <f>100%-N25</f>
        <v>#DIV/0!</v>
      </c>
      <c r="O24" s="564"/>
      <c r="P24" s="564"/>
      <c r="Q24" s="564"/>
      <c r="R24" s="564"/>
      <c r="S24" s="564"/>
      <c r="T24" s="565"/>
    </row>
    <row r="25" spans="1:24" ht="15" customHeight="1">
      <c r="A25" s="221" t="s">
        <v>33</v>
      </c>
      <c r="B25" s="566" t="s">
        <v>35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8"/>
      <c r="M25" s="569"/>
      <c r="N25" s="570" t="e">
        <f>((SUM(N8:T9)+SUM(N15:T16))/L22)</f>
        <v>#DIV/0!</v>
      </c>
      <c r="O25" s="571"/>
      <c r="P25" s="571"/>
      <c r="Q25" s="571"/>
      <c r="R25" s="571"/>
      <c r="S25" s="571"/>
      <c r="T25" s="572"/>
    </row>
    <row r="26" spans="1:24" ht="6.75" customHeight="1">
      <c r="B26" s="548"/>
      <c r="C26" s="549"/>
      <c r="D26" s="549"/>
      <c r="E26" s="549"/>
      <c r="F26" s="549"/>
      <c r="G26" s="549"/>
      <c r="H26" s="549"/>
      <c r="I26" s="549"/>
      <c r="J26" s="549"/>
      <c r="K26" s="549"/>
      <c r="L26" s="550"/>
      <c r="M26" s="551"/>
      <c r="N26" s="50"/>
      <c r="O26" s="50"/>
      <c r="P26" s="50"/>
      <c r="Q26" s="50"/>
      <c r="R26" s="50"/>
      <c r="S26" s="50"/>
      <c r="T26" s="224"/>
    </row>
    <row r="27" spans="1:24" s="218" customFormat="1" ht="15" customHeight="1">
      <c r="A27" s="222"/>
      <c r="B27" s="230" t="s">
        <v>36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2"/>
    </row>
    <row r="28" spans="1:24" ht="15" customHeight="1">
      <c r="A28" s="221" t="s">
        <v>29</v>
      </c>
      <c r="B28" s="538" t="s">
        <v>37</v>
      </c>
      <c r="C28" s="539"/>
      <c r="D28" s="539"/>
      <c r="E28" s="539"/>
      <c r="F28" s="539"/>
      <c r="G28" s="539"/>
      <c r="H28" s="539"/>
      <c r="I28" s="539"/>
      <c r="J28" s="539"/>
      <c r="K28" s="539"/>
      <c r="L28" s="536"/>
      <c r="M28" s="536"/>
      <c r="N28" s="536"/>
      <c r="O28" s="536"/>
      <c r="P28" s="536"/>
      <c r="Q28" s="536"/>
      <c r="R28" s="536"/>
      <c r="S28" s="536"/>
      <c r="T28" s="552"/>
    </row>
    <row r="29" spans="1:24" ht="15" customHeight="1">
      <c r="A29" s="579" t="s">
        <v>38</v>
      </c>
      <c r="B29" s="534" t="s">
        <v>39</v>
      </c>
      <c r="C29" s="535"/>
      <c r="D29" s="535"/>
      <c r="E29" s="535"/>
      <c r="F29" s="535"/>
      <c r="G29" s="535"/>
      <c r="H29" s="535"/>
      <c r="I29" s="535"/>
      <c r="J29" s="535"/>
      <c r="K29" s="535"/>
      <c r="L29" s="536"/>
      <c r="M29" s="536"/>
      <c r="N29" s="536"/>
      <c r="O29" s="536"/>
      <c r="P29" s="536"/>
      <c r="Q29" s="536"/>
      <c r="R29" s="536"/>
      <c r="S29" s="536"/>
      <c r="T29" s="552"/>
    </row>
    <row r="30" spans="1:24" ht="30.75" customHeight="1">
      <c r="A30" s="579"/>
      <c r="B30" s="223"/>
      <c r="C30" s="580" t="s">
        <v>40</v>
      </c>
      <c r="D30" s="580"/>
      <c r="E30" s="580"/>
      <c r="F30" s="580"/>
      <c r="G30" s="580"/>
      <c r="H30" s="580"/>
      <c r="I30" s="580"/>
      <c r="J30" s="580"/>
      <c r="K30" s="580"/>
      <c r="L30" s="581">
        <f>N10*W30</f>
        <v>0</v>
      </c>
      <c r="M30" s="582"/>
      <c r="N30" s="582"/>
      <c r="O30" s="582"/>
      <c r="P30" s="582"/>
      <c r="Q30" s="582"/>
      <c r="R30" s="582"/>
      <c r="S30" s="582"/>
      <c r="T30" s="583"/>
      <c r="U30" s="13"/>
      <c r="V30" s="13"/>
      <c r="W30" s="225">
        <v>1.0169999999999999</v>
      </c>
      <c r="X30" s="13" t="s">
        <v>41</v>
      </c>
    </row>
    <row r="31" spans="1:24" ht="15" customHeight="1">
      <c r="A31" s="579"/>
      <c r="B31" s="223"/>
      <c r="C31" s="535" t="s">
        <v>42</v>
      </c>
      <c r="D31" s="535"/>
      <c r="E31" s="535"/>
      <c r="F31" s="535"/>
      <c r="G31" s="535"/>
      <c r="H31" s="535"/>
      <c r="I31" s="535"/>
      <c r="J31" s="535"/>
      <c r="K31" s="535"/>
      <c r="L31" s="581">
        <f>N17*W30</f>
        <v>0</v>
      </c>
      <c r="M31" s="582"/>
      <c r="N31" s="582"/>
      <c r="O31" s="582"/>
      <c r="P31" s="582"/>
      <c r="Q31" s="582"/>
      <c r="R31" s="582"/>
      <c r="S31" s="582"/>
      <c r="T31" s="583"/>
      <c r="U31" s="13"/>
      <c r="V31" s="13"/>
      <c r="W31" s="16"/>
      <c r="X31" s="13"/>
    </row>
    <row r="32" spans="1:24" ht="31.5" customHeight="1">
      <c r="A32" s="579"/>
      <c r="B32" s="223"/>
      <c r="C32" s="580" t="s">
        <v>43</v>
      </c>
      <c r="D32" s="580"/>
      <c r="E32" s="580"/>
      <c r="F32" s="580"/>
      <c r="G32" s="580"/>
      <c r="H32" s="580"/>
      <c r="I32" s="580"/>
      <c r="J32" s="580"/>
      <c r="K32" s="580"/>
      <c r="L32" s="581">
        <f>N10*W32</f>
        <v>0</v>
      </c>
      <c r="M32" s="582"/>
      <c r="N32" s="582"/>
      <c r="O32" s="582"/>
      <c r="P32" s="582"/>
      <c r="Q32" s="582"/>
      <c r="R32" s="582"/>
      <c r="S32" s="582"/>
      <c r="T32" s="583"/>
      <c r="U32" s="13"/>
      <c r="V32" s="13"/>
      <c r="W32" s="225">
        <v>1.012</v>
      </c>
      <c r="X32" s="13" t="s">
        <v>44</v>
      </c>
    </row>
    <row r="33" spans="1:24" ht="15" customHeight="1">
      <c r="A33" s="579"/>
      <c r="B33" s="223"/>
      <c r="C33" s="535" t="s">
        <v>45</v>
      </c>
      <c r="D33" s="535"/>
      <c r="E33" s="535"/>
      <c r="F33" s="535"/>
      <c r="G33" s="535"/>
      <c r="H33" s="535"/>
      <c r="I33" s="535"/>
      <c r="J33" s="535"/>
      <c r="K33" s="535"/>
      <c r="L33" s="581">
        <f>N17*W32</f>
        <v>0</v>
      </c>
      <c r="M33" s="582"/>
      <c r="N33" s="582"/>
      <c r="O33" s="582"/>
      <c r="P33" s="582"/>
      <c r="Q33" s="582"/>
      <c r="R33" s="582"/>
      <c r="S33" s="582"/>
      <c r="T33" s="583"/>
      <c r="U33" s="13"/>
      <c r="V33" s="13"/>
      <c r="W33" s="16"/>
      <c r="X33" s="13"/>
    </row>
    <row r="34" spans="1:24" ht="15" customHeight="1">
      <c r="A34" s="221" t="s">
        <v>46</v>
      </c>
      <c r="B34" s="223" t="s">
        <v>47</v>
      </c>
      <c r="C34" s="89"/>
      <c r="D34" s="89"/>
      <c r="E34" s="89"/>
      <c r="F34" s="89"/>
      <c r="G34" s="89"/>
      <c r="H34" s="89"/>
      <c r="I34" s="89"/>
      <c r="J34" s="89"/>
      <c r="K34" s="89"/>
      <c r="L34" s="573">
        <f>L22*W34</f>
        <v>0</v>
      </c>
      <c r="M34" s="574"/>
      <c r="N34" s="574"/>
      <c r="O34" s="574"/>
      <c r="P34" s="574"/>
      <c r="Q34" s="574"/>
      <c r="R34" s="574"/>
      <c r="S34" s="574"/>
      <c r="T34" s="575"/>
      <c r="U34" s="13"/>
      <c r="V34" s="13"/>
      <c r="W34" s="226">
        <v>0.12</v>
      </c>
      <c r="X34" s="13" t="s">
        <v>48</v>
      </c>
    </row>
    <row r="35" spans="1:24" ht="6" customHeight="1">
      <c r="A35" s="221"/>
      <c r="B35" s="22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107"/>
    </row>
    <row r="36" spans="1:24" ht="15" customHeight="1">
      <c r="A36" s="221" t="s">
        <v>49</v>
      </c>
      <c r="B36" s="558" t="s">
        <v>50</v>
      </c>
      <c r="C36" s="559"/>
      <c r="D36" s="559"/>
      <c r="E36" s="559"/>
      <c r="F36" s="559"/>
      <c r="G36" s="559"/>
      <c r="H36" s="559"/>
      <c r="I36" s="559"/>
      <c r="J36" s="559"/>
      <c r="K36" s="559"/>
      <c r="L36" s="576">
        <f>L34+L33+L32+L31+L30+L22</f>
        <v>0</v>
      </c>
      <c r="M36" s="577"/>
      <c r="N36" s="577"/>
      <c r="O36" s="577"/>
      <c r="P36" s="577"/>
      <c r="Q36" s="577"/>
      <c r="R36" s="577"/>
      <c r="S36" s="577"/>
      <c r="T36" s="578"/>
    </row>
    <row r="37" spans="1:24" ht="15" customHeight="1"/>
    <row r="38" spans="1:24" ht="15" customHeight="1"/>
    <row r="39" spans="1:24" ht="15" customHeight="1"/>
    <row r="40" spans="1:24" ht="15" customHeight="1"/>
    <row r="41" spans="1:24" ht="15" customHeight="1"/>
    <row r="42" spans="1:24" ht="15" customHeight="1"/>
    <row r="43" spans="1:24" ht="15" customHeight="1"/>
    <row r="44" spans="1:24" ht="15" customHeight="1"/>
    <row r="45" spans="1:24" ht="15" customHeight="1"/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</sheetData>
  <mergeCells count="63">
    <mergeCell ref="B15:K15"/>
    <mergeCell ref="L15:M15"/>
    <mergeCell ref="B16:K16"/>
    <mergeCell ref="L16:M16"/>
    <mergeCell ref="B14:K14"/>
    <mergeCell ref="L14:M14"/>
    <mergeCell ref="L34:T34"/>
    <mergeCell ref="B36:K36"/>
    <mergeCell ref="L36:T36"/>
    <mergeCell ref="A29:A33"/>
    <mergeCell ref="B29:K29"/>
    <mergeCell ref="L29:T29"/>
    <mergeCell ref="C30:K30"/>
    <mergeCell ref="L30:T30"/>
    <mergeCell ref="C31:K31"/>
    <mergeCell ref="L31:T31"/>
    <mergeCell ref="C32:K32"/>
    <mergeCell ref="L32:T32"/>
    <mergeCell ref="C33:K33"/>
    <mergeCell ref="L33:T33"/>
    <mergeCell ref="B26:K26"/>
    <mergeCell ref="L26:M26"/>
    <mergeCell ref="B28:K28"/>
    <mergeCell ref="L28:T28"/>
    <mergeCell ref="B21:K21"/>
    <mergeCell ref="L21:M21"/>
    <mergeCell ref="B22:K22"/>
    <mergeCell ref="L22:T22"/>
    <mergeCell ref="B23:K23"/>
    <mergeCell ref="L23:T23"/>
    <mergeCell ref="B24:K24"/>
    <mergeCell ref="L24:M24"/>
    <mergeCell ref="N24:T24"/>
    <mergeCell ref="B25:K25"/>
    <mergeCell ref="L25:M25"/>
    <mergeCell ref="N25:T25"/>
    <mergeCell ref="B19:K19"/>
    <mergeCell ref="L19:M19"/>
    <mergeCell ref="B20:K20"/>
    <mergeCell ref="L20:M20"/>
    <mergeCell ref="B17:K17"/>
    <mergeCell ref="L17:M17"/>
    <mergeCell ref="B18:K18"/>
    <mergeCell ref="L18:M18"/>
    <mergeCell ref="B12:K12"/>
    <mergeCell ref="L12:M12"/>
    <mergeCell ref="B13:K13"/>
    <mergeCell ref="L13:M13"/>
    <mergeCell ref="B10:K10"/>
    <mergeCell ref="L10:M10"/>
    <mergeCell ref="B11:K11"/>
    <mergeCell ref="L11:M11"/>
    <mergeCell ref="B9:K9"/>
    <mergeCell ref="L9:M9"/>
    <mergeCell ref="B6:K6"/>
    <mergeCell ref="L6:M6"/>
    <mergeCell ref="B7:K7"/>
    <mergeCell ref="L7:M7"/>
    <mergeCell ref="B1:T1"/>
    <mergeCell ref="B5:K5"/>
    <mergeCell ref="L5:M5"/>
    <mergeCell ref="B8:K8"/>
    <mergeCell ref="L8:M8"/>
  </mergeCells>
  <conditionalFormatting sqref="N4:T4">
    <cfRule type="cellIs" dxfId="124" priority="2" operator="equal">
      <formula>0</formula>
    </cfRule>
  </conditionalFormatting>
  <conditionalFormatting sqref="N5:T19">
    <cfRule type="cellIs" dxfId="123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6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39991454817346722"/>
  </sheetPr>
  <dimension ref="A1:AQ104"/>
  <sheetViews>
    <sheetView zoomScale="60" zoomScaleNormal="60" workbookViewId="0">
      <selection activeCell="Q80" activeCellId="7" sqref="Q8:Q25 Q27:Q30 Q32:Q47 Q49:Q54 Q56:Q60 Q62:Q64 Q66:Q78 Q80:Q98"/>
    </sheetView>
  </sheetViews>
  <sheetFormatPr baseColWidth="10" defaultColWidth="11.44140625" defaultRowHeight="14.4"/>
  <cols>
    <col min="1" max="1" width="8.6640625" style="48" customWidth="1"/>
    <col min="2" max="2" width="45.5546875" style="48" customWidth="1"/>
    <col min="3" max="3" width="11.44140625" style="48"/>
    <col min="4" max="4" width="29.6640625" style="48" customWidth="1"/>
    <col min="5" max="9" width="11.44140625" style="48"/>
    <col min="10" max="10" width="14.33203125" style="48" customWidth="1"/>
    <col min="11" max="11" width="13.21875" style="48" customWidth="1"/>
    <col min="12" max="12" width="12.88671875" style="48" customWidth="1"/>
    <col min="13" max="13" width="13.109375" style="48" customWidth="1"/>
    <col min="14" max="14" width="14" style="48" customWidth="1"/>
    <col min="15" max="15" width="11.44140625" style="48"/>
    <col min="16" max="16" width="13.109375" style="48" customWidth="1"/>
    <col min="17" max="17" width="11.44140625" style="48"/>
    <col min="18" max="19" width="13.5546875" style="48" customWidth="1"/>
    <col min="20" max="23" width="11.44140625" style="48"/>
    <col min="24" max="24" width="14.33203125" style="48" customWidth="1"/>
    <col min="25" max="38" width="11.44140625" style="48"/>
    <col min="39" max="39" width="14.21875" style="48" customWidth="1"/>
    <col min="40" max="40" width="19.33203125" style="48" customWidth="1"/>
    <col min="41" max="41" width="15.88671875" style="48" customWidth="1"/>
    <col min="42" max="16384" width="11.44140625" style="48"/>
  </cols>
  <sheetData>
    <row r="1" spans="1:43" ht="24.75" customHeight="1">
      <c r="A1" s="738" t="s">
        <v>389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739"/>
      <c r="AN1" s="739"/>
      <c r="AO1" s="740"/>
      <c r="AP1" s="100">
        <v>5</v>
      </c>
      <c r="AQ1" s="103" t="s">
        <v>390</v>
      </c>
    </row>
    <row r="2" spans="1:43" ht="12.75" customHeight="1">
      <c r="A2" s="729" t="s">
        <v>287</v>
      </c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3" t="s">
        <v>288</v>
      </c>
      <c r="O2" s="724"/>
      <c r="P2" s="724"/>
      <c r="Q2" s="724"/>
      <c r="R2" s="724"/>
      <c r="S2" s="724"/>
      <c r="T2" s="724"/>
      <c r="U2" s="724"/>
      <c r="V2" s="724"/>
      <c r="W2" s="724"/>
      <c r="X2" s="725"/>
      <c r="Y2" s="741" t="s">
        <v>289</v>
      </c>
      <c r="Z2" s="699"/>
      <c r="AA2" s="699"/>
      <c r="AB2" s="699"/>
      <c r="AC2" s="699"/>
      <c r="AD2" s="699"/>
      <c r="AE2" s="699"/>
      <c r="AF2" s="699"/>
      <c r="AG2" s="699"/>
      <c r="AH2" s="699"/>
      <c r="AI2" s="699"/>
      <c r="AJ2" s="699"/>
      <c r="AK2" s="699"/>
      <c r="AL2" s="699"/>
      <c r="AM2" s="97"/>
      <c r="AN2" s="97"/>
      <c r="AO2" s="746" t="s">
        <v>290</v>
      </c>
      <c r="AP2" s="100">
        <v>1.25</v>
      </c>
      <c r="AQ2" s="104" t="s">
        <v>391</v>
      </c>
    </row>
    <row r="3" spans="1:43" ht="53.4" customHeight="1">
      <c r="A3" s="748" t="s">
        <v>296</v>
      </c>
      <c r="B3" s="742" t="s">
        <v>297</v>
      </c>
      <c r="C3" s="750" t="s">
        <v>298</v>
      </c>
      <c r="D3" s="742" t="s">
        <v>392</v>
      </c>
      <c r="E3" s="744" t="s">
        <v>393</v>
      </c>
      <c r="F3" s="742" t="s">
        <v>305</v>
      </c>
      <c r="G3" s="744" t="s">
        <v>394</v>
      </c>
      <c r="H3" s="742" t="s">
        <v>395</v>
      </c>
      <c r="I3" s="94" t="s">
        <v>301</v>
      </c>
      <c r="J3" s="94" t="s">
        <v>198</v>
      </c>
      <c r="K3" s="94" t="s">
        <v>199</v>
      </c>
      <c r="L3" s="94" t="s">
        <v>304</v>
      </c>
      <c r="M3" s="744" t="s">
        <v>396</v>
      </c>
      <c r="N3" s="736" t="s">
        <v>307</v>
      </c>
      <c r="O3" s="736" t="s">
        <v>308</v>
      </c>
      <c r="P3" s="720" t="s">
        <v>1052</v>
      </c>
      <c r="Q3" s="736" t="s">
        <v>309</v>
      </c>
      <c r="R3" s="720" t="s">
        <v>1053</v>
      </c>
      <c r="S3" s="720" t="s">
        <v>1041</v>
      </c>
      <c r="T3" s="736" t="s">
        <v>310</v>
      </c>
      <c r="U3" s="720" t="s">
        <v>1042</v>
      </c>
      <c r="V3" s="736" t="s">
        <v>311</v>
      </c>
      <c r="W3" s="737" t="s">
        <v>312</v>
      </c>
      <c r="X3" s="733" t="s">
        <v>883</v>
      </c>
      <c r="Y3" s="710" t="s">
        <v>293</v>
      </c>
      <c r="Z3" s="710"/>
      <c r="AA3" s="710"/>
      <c r="AB3" s="710"/>
      <c r="AC3" s="710" t="s">
        <v>292</v>
      </c>
      <c r="AD3" s="710"/>
      <c r="AE3" s="710"/>
      <c r="AF3" s="710"/>
      <c r="AG3" s="720" t="s">
        <v>1043</v>
      </c>
      <c r="AH3" s="720" t="s">
        <v>1044</v>
      </c>
      <c r="AI3" s="288" t="s">
        <v>294</v>
      </c>
      <c r="AJ3" s="720" t="s">
        <v>1045</v>
      </c>
      <c r="AK3" s="714" t="s">
        <v>295</v>
      </c>
      <c r="AL3" s="714" t="s">
        <v>397</v>
      </c>
      <c r="AM3" s="714" t="s">
        <v>886</v>
      </c>
      <c r="AN3" s="733" t="s">
        <v>887</v>
      </c>
      <c r="AO3" s="746"/>
    </row>
    <row r="4" spans="1:43" ht="33.75" customHeight="1">
      <c r="A4" s="749"/>
      <c r="B4" s="743"/>
      <c r="C4" s="751"/>
      <c r="D4" s="743"/>
      <c r="E4" s="745"/>
      <c r="F4" s="743"/>
      <c r="G4" s="745"/>
      <c r="H4" s="743"/>
      <c r="I4" s="368"/>
      <c r="J4" s="368">
        <f>'B.1.Vehículos'!G5</f>
        <v>2026</v>
      </c>
      <c r="K4" s="368">
        <f>'B.1.Vehículos'!H5</f>
        <v>2032</v>
      </c>
      <c r="L4" s="368">
        <f>K4-J4</f>
        <v>6</v>
      </c>
      <c r="M4" s="745"/>
      <c r="N4" s="736"/>
      <c r="O4" s="736"/>
      <c r="P4" s="721"/>
      <c r="Q4" s="736"/>
      <c r="R4" s="721"/>
      <c r="S4" s="721"/>
      <c r="T4" s="736"/>
      <c r="U4" s="721"/>
      <c r="V4" s="736"/>
      <c r="W4" s="737"/>
      <c r="X4" s="733"/>
      <c r="Y4" s="99" t="s">
        <v>398</v>
      </c>
      <c r="Z4" s="99" t="s">
        <v>399</v>
      </c>
      <c r="AA4" s="99" t="s">
        <v>316</v>
      </c>
      <c r="AB4" s="99" t="s">
        <v>317</v>
      </c>
      <c r="AC4" s="99" t="s">
        <v>400</v>
      </c>
      <c r="AD4" s="99" t="s">
        <v>401</v>
      </c>
      <c r="AE4" s="99" t="s">
        <v>402</v>
      </c>
      <c r="AF4" s="99" t="s">
        <v>403</v>
      </c>
      <c r="AG4" s="721"/>
      <c r="AH4" s="721"/>
      <c r="AI4" s="289" t="s">
        <v>318</v>
      </c>
      <c r="AJ4" s="721"/>
      <c r="AK4" s="714"/>
      <c r="AL4" s="714"/>
      <c r="AM4" s="714"/>
      <c r="AN4" s="733"/>
      <c r="AO4" s="746"/>
    </row>
    <row r="5" spans="1:43">
      <c r="A5" s="369" t="s">
        <v>319</v>
      </c>
      <c r="B5" s="370"/>
      <c r="C5" s="371"/>
      <c r="D5" s="370"/>
      <c r="E5" s="372" t="s">
        <v>7</v>
      </c>
      <c r="F5" s="370"/>
      <c r="G5" s="372"/>
      <c r="H5" s="370" t="s">
        <v>9</v>
      </c>
      <c r="I5" s="372"/>
      <c r="J5" s="372"/>
      <c r="K5" s="372"/>
      <c r="L5" s="372" t="s">
        <v>320</v>
      </c>
      <c r="M5" s="372"/>
      <c r="N5" s="370" t="s">
        <v>321</v>
      </c>
      <c r="O5" s="370" t="s">
        <v>322</v>
      </c>
      <c r="P5" s="370"/>
      <c r="Q5" s="370" t="s">
        <v>186</v>
      </c>
      <c r="R5" s="370"/>
      <c r="S5" s="370"/>
      <c r="T5" s="370" t="s">
        <v>323</v>
      </c>
      <c r="U5" s="370"/>
      <c r="V5" s="370"/>
      <c r="W5" s="370" t="s">
        <v>324</v>
      </c>
      <c r="X5" s="370" t="s">
        <v>884</v>
      </c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735"/>
      <c r="AL5" s="735"/>
      <c r="AM5" s="735"/>
      <c r="AN5" s="734"/>
      <c r="AO5" s="747"/>
    </row>
    <row r="6" spans="1:43" ht="15" customHeight="1">
      <c r="A6" s="752" t="s">
        <v>404</v>
      </c>
      <c r="B6" s="753"/>
      <c r="C6" s="753"/>
      <c r="D6" s="753"/>
      <c r="E6" s="753"/>
      <c r="F6" s="753"/>
      <c r="G6" s="93"/>
      <c r="H6" s="93"/>
      <c r="I6" s="93"/>
      <c r="J6" s="93"/>
      <c r="K6" s="93"/>
      <c r="L6" s="93"/>
      <c r="M6" s="93"/>
      <c r="N6" s="93"/>
      <c r="O6" s="93"/>
      <c r="P6" s="93"/>
      <c r="Q6" s="93">
        <f>'B. Resumen Costes Veh_Maq'!D9</f>
        <v>0.05</v>
      </c>
      <c r="R6" s="93"/>
      <c r="S6" s="93"/>
      <c r="T6" s="93">
        <v>0.03</v>
      </c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101">
        <v>1E-4</v>
      </c>
      <c r="AJ6" s="101"/>
      <c r="AK6" s="93"/>
      <c r="AL6" s="93"/>
      <c r="AM6" s="93"/>
      <c r="AN6" s="93"/>
      <c r="AO6" s="102"/>
    </row>
    <row r="7" spans="1:43">
      <c r="A7" s="344">
        <v>0</v>
      </c>
      <c r="B7" s="337" t="s">
        <v>405</v>
      </c>
      <c r="C7" s="338" t="s">
        <v>406</v>
      </c>
      <c r="D7" s="338" t="s">
        <v>407</v>
      </c>
      <c r="E7" s="339">
        <v>1653.75</v>
      </c>
      <c r="F7" s="340"/>
      <c r="G7" s="339">
        <f>22*8*AP$1</f>
        <v>880</v>
      </c>
      <c r="H7" s="340">
        <v>4</v>
      </c>
      <c r="I7" s="340"/>
      <c r="J7" s="341">
        <f>J$4</f>
        <v>2026</v>
      </c>
      <c r="K7" s="341">
        <f>K$4</f>
        <v>2032</v>
      </c>
      <c r="L7" s="341">
        <f>L$4</f>
        <v>6</v>
      </c>
      <c r="M7" s="339">
        <v>6.5999999046325701</v>
      </c>
      <c r="N7" s="339">
        <f>E7*A7</f>
        <v>0</v>
      </c>
      <c r="O7" s="339">
        <f>IF(A7&gt;0,E7/H7,0)</f>
        <v>0</v>
      </c>
      <c r="P7" s="339">
        <f>O7*A7</f>
        <v>0</v>
      </c>
      <c r="Q7" s="339">
        <f>IF(A7&gt;0,-PMT($Q$6,H7,E7)-O7,0)</f>
        <v>0</v>
      </c>
      <c r="R7" s="339">
        <f>Q7*A7</f>
        <v>0</v>
      </c>
      <c r="S7" s="339">
        <f>(R7+P7)</f>
        <v>0</v>
      </c>
      <c r="T7" s="339">
        <f>O7*T$6</f>
        <v>0</v>
      </c>
      <c r="U7" s="339">
        <f>T7*A7</f>
        <v>0</v>
      </c>
      <c r="V7" s="342">
        <f>IF((H7-L7)&lt;0,0,(O7*(H7-(L7))))</f>
        <v>0</v>
      </c>
      <c r="W7" s="342">
        <f>IF(A7&gt;0,(O7+Q7+T7),0)</f>
        <v>0</v>
      </c>
      <c r="X7" s="343">
        <f>(O7+Q7+T7)*A7</f>
        <v>0</v>
      </c>
      <c r="Y7" s="353">
        <f>VLOOKUP(M7,'B.0.ConsumiblesMaquinaria'!C$7:D$16,2)</f>
        <v>3.5000000000000003E-2</v>
      </c>
      <c r="Z7" s="340">
        <f>IF(A7&gt;0,+G7*Y7,0)</f>
        <v>0</v>
      </c>
      <c r="AA7" s="340">
        <f>+'B.0.ConsumiblesMaquinaria'!J$23</f>
        <v>9.879999999999999</v>
      </c>
      <c r="AB7" s="340">
        <f>IF(A7&gt;0,+ROUND(Y7*AP$1*AA7,4),0)</f>
        <v>0</v>
      </c>
      <c r="AC7" s="339">
        <f>0.9*AC$102</f>
        <v>0</v>
      </c>
      <c r="AD7" s="339">
        <f>IF(A7&gt;0,ROUND(AC7*G7,2),0)</f>
        <v>0</v>
      </c>
      <c r="AE7" s="340">
        <f>+'B.0.ConsumiblesMaquinaria'!J$22</f>
        <v>1.9</v>
      </c>
      <c r="AF7" s="340">
        <f>IF(A7&gt;0,+ROUND(AC7*AP$1*AE7,4),0)</f>
        <v>0</v>
      </c>
      <c r="AG7" s="340">
        <f>AF7+AB7</f>
        <v>0</v>
      </c>
      <c r="AH7" s="340">
        <f>(AG7*AL7)*A7</f>
        <v>0</v>
      </c>
      <c r="AI7" s="354">
        <f>IF(A7&gt;0,E7*AI$6,0)</f>
        <v>0</v>
      </c>
      <c r="AJ7" s="354">
        <f>(AI7*AL7)*A7</f>
        <v>0</v>
      </c>
      <c r="AK7" s="340">
        <f>IF(A7&gt;0,(AF7+AB7+AI7),0)</f>
        <v>0</v>
      </c>
      <c r="AL7" s="341">
        <v>180</v>
      </c>
      <c r="AM7" s="339">
        <f>AL7*AK7</f>
        <v>0</v>
      </c>
      <c r="AN7" s="355">
        <f>AM7*A7</f>
        <v>0</v>
      </c>
      <c r="AO7" s="356">
        <f>AN7+X7</f>
        <v>0</v>
      </c>
    </row>
    <row r="8" spans="1:43">
      <c r="A8" s="344">
        <v>0</v>
      </c>
      <c r="B8" s="299" t="s">
        <v>408</v>
      </c>
      <c r="C8" s="300" t="s">
        <v>406</v>
      </c>
      <c r="D8" s="300" t="s">
        <v>407</v>
      </c>
      <c r="E8" s="301">
        <v>2289.81</v>
      </c>
      <c r="F8" s="302"/>
      <c r="G8" s="301">
        <f t="shared" ref="G8:G46" si="0">22*8*AP$1</f>
        <v>880</v>
      </c>
      <c r="H8" s="302">
        <v>2</v>
      </c>
      <c r="I8" s="302"/>
      <c r="J8" s="303">
        <f t="shared" ref="J8:L25" si="1">J$4</f>
        <v>2026</v>
      </c>
      <c r="K8" s="303">
        <f t="shared" si="1"/>
        <v>2032</v>
      </c>
      <c r="L8" s="303">
        <f t="shared" si="1"/>
        <v>6</v>
      </c>
      <c r="M8" s="301">
        <v>6.5999999046325701</v>
      </c>
      <c r="N8" s="301">
        <f t="shared" ref="N8:N71" si="2">E8*A8</f>
        <v>0</v>
      </c>
      <c r="O8" s="301">
        <f t="shared" ref="O8:O25" si="3">IF(A8&gt;0,E8/H8,0)</f>
        <v>0</v>
      </c>
      <c r="P8" s="301">
        <f t="shared" ref="P8:P25" si="4">O8*A8</f>
        <v>0</v>
      </c>
      <c r="Q8" s="301">
        <f t="shared" ref="Q8:Q25" si="5">IF(A8&gt;0,-PMT($Q$6,H8,E8)-O8,0)</f>
        <v>0</v>
      </c>
      <c r="R8" s="301">
        <f t="shared" ref="R8:R25" si="6">Q8*A8</f>
        <v>0</v>
      </c>
      <c r="S8" s="301">
        <f t="shared" ref="S8:S24" si="7">(R8+P8)</f>
        <v>0</v>
      </c>
      <c r="T8" s="301">
        <f t="shared" ref="T8:T25" si="8">O8*T$6</f>
        <v>0</v>
      </c>
      <c r="U8" s="301">
        <f t="shared" ref="U8:U25" si="9">T8*A8</f>
        <v>0</v>
      </c>
      <c r="V8" s="304">
        <f t="shared" ref="V8:V71" si="10">IF((H8-L8)&lt;0,0,(O8*(H8-(L8))))</f>
        <v>0</v>
      </c>
      <c r="W8" s="304">
        <f t="shared" ref="W8:W25" si="11">IF(A8&gt;0,(O8+Q8+T8),0)</f>
        <v>0</v>
      </c>
      <c r="X8" s="345">
        <f t="shared" ref="X8:X25" si="12">(O8+Q8+T8)*A8</f>
        <v>0</v>
      </c>
      <c r="Y8" s="357">
        <f>VLOOKUP(M8,'B.0.ConsumiblesMaquinaria'!C$7:D$16,2)</f>
        <v>3.5000000000000003E-2</v>
      </c>
      <c r="Z8" s="302">
        <f t="shared" ref="Z8:Z71" si="13">IF(A8&gt;0,+G8*Y8,0)</f>
        <v>0</v>
      </c>
      <c r="AA8" s="302">
        <f>+'B.0.ConsumiblesMaquinaria'!J$23</f>
        <v>9.879999999999999</v>
      </c>
      <c r="AB8" s="302">
        <f t="shared" ref="AB8:AB25" si="14">+ROUND(Y8*AP$1*AA8,2)</f>
        <v>1.73</v>
      </c>
      <c r="AC8" s="301">
        <f>1*AC$102</f>
        <v>0</v>
      </c>
      <c r="AD8" s="301">
        <f t="shared" ref="AD8:AD71" si="15">IF(A8&gt;0,ROUND(AC8*G8,2),0)</f>
        <v>0</v>
      </c>
      <c r="AE8" s="302">
        <f>+'B.0.ConsumiblesMaquinaria'!J$22</f>
        <v>1.9</v>
      </c>
      <c r="AF8" s="302">
        <f t="shared" ref="AF8:AF71" si="16">IF(A8&gt;0,+ROUND(AC8*AP$1*AE8,4),0)</f>
        <v>0</v>
      </c>
      <c r="AG8" s="302">
        <f t="shared" ref="AG8:AG25" si="17">AF8+AB8</f>
        <v>1.73</v>
      </c>
      <c r="AH8" s="302">
        <f t="shared" ref="AH8:AH25" si="18">(AG8*AL8)*A8</f>
        <v>0</v>
      </c>
      <c r="AI8" s="306">
        <f t="shared" ref="AI8:AI25" si="19">IF(A8&gt;0,E8*AI$6,0)</f>
        <v>0</v>
      </c>
      <c r="AJ8" s="306">
        <f t="shared" ref="AJ8:AJ25" si="20">(AI8*AL8)*A8</f>
        <v>0</v>
      </c>
      <c r="AK8" s="302">
        <f t="shared" ref="AK8:AK25" si="21">IF(A8&gt;0,(AF8+AB8+AI8),0)</f>
        <v>0</v>
      </c>
      <c r="AL8" s="303">
        <v>180</v>
      </c>
      <c r="AM8" s="301">
        <f t="shared" ref="AM8:AM25" si="22">AL8*AK8</f>
        <v>0</v>
      </c>
      <c r="AN8" s="305">
        <f t="shared" ref="AN8:AN25" si="23">AM8*A8</f>
        <v>0</v>
      </c>
      <c r="AO8" s="358">
        <f t="shared" ref="AO8:AO25" si="24">AN8+X8</f>
        <v>0</v>
      </c>
    </row>
    <row r="9" spans="1:43">
      <c r="A9" s="344">
        <v>0</v>
      </c>
      <c r="B9" s="299" t="s">
        <v>409</v>
      </c>
      <c r="C9" s="300" t="s">
        <v>406</v>
      </c>
      <c r="D9" s="300" t="s">
        <v>407</v>
      </c>
      <c r="E9" s="301">
        <v>6147.04</v>
      </c>
      <c r="F9" s="302"/>
      <c r="G9" s="301">
        <f t="shared" si="0"/>
        <v>880</v>
      </c>
      <c r="H9" s="302">
        <v>4</v>
      </c>
      <c r="I9" s="302"/>
      <c r="J9" s="303">
        <f t="shared" si="1"/>
        <v>2026</v>
      </c>
      <c r="K9" s="303">
        <f t="shared" si="1"/>
        <v>2032</v>
      </c>
      <c r="L9" s="303">
        <f t="shared" si="1"/>
        <v>6</v>
      </c>
      <c r="M9" s="301">
        <v>13</v>
      </c>
      <c r="N9" s="301">
        <f t="shared" si="2"/>
        <v>0</v>
      </c>
      <c r="O9" s="301">
        <f t="shared" si="3"/>
        <v>0</v>
      </c>
      <c r="P9" s="301">
        <f t="shared" si="4"/>
        <v>0</v>
      </c>
      <c r="Q9" s="301">
        <f t="shared" si="5"/>
        <v>0</v>
      </c>
      <c r="R9" s="301">
        <f t="shared" si="6"/>
        <v>0</v>
      </c>
      <c r="S9" s="301">
        <f t="shared" si="7"/>
        <v>0</v>
      </c>
      <c r="T9" s="301">
        <f t="shared" si="8"/>
        <v>0</v>
      </c>
      <c r="U9" s="301">
        <f t="shared" si="9"/>
        <v>0</v>
      </c>
      <c r="V9" s="304">
        <f t="shared" si="10"/>
        <v>0</v>
      </c>
      <c r="W9" s="304">
        <f t="shared" si="11"/>
        <v>0</v>
      </c>
      <c r="X9" s="345">
        <f t="shared" si="12"/>
        <v>0</v>
      </c>
      <c r="Y9" s="357">
        <f>VLOOKUP(M9,'B.0.ConsumiblesMaquinaria'!C$7:D$16,2)</f>
        <v>3.5000000000000003E-2</v>
      </c>
      <c r="Z9" s="302">
        <f t="shared" si="13"/>
        <v>0</v>
      </c>
      <c r="AA9" s="302">
        <f>+'B.0.ConsumiblesMaquinaria'!J$23</f>
        <v>9.879999999999999</v>
      </c>
      <c r="AB9" s="302">
        <f t="shared" si="14"/>
        <v>1.73</v>
      </c>
      <c r="AC9" s="301">
        <f>1.2*AC$102</f>
        <v>0</v>
      </c>
      <c r="AD9" s="301">
        <f t="shared" si="15"/>
        <v>0</v>
      </c>
      <c r="AE9" s="302">
        <f>+'B.0.ConsumiblesMaquinaria'!J$22</f>
        <v>1.9</v>
      </c>
      <c r="AF9" s="302">
        <f t="shared" si="16"/>
        <v>0</v>
      </c>
      <c r="AG9" s="302">
        <f t="shared" si="17"/>
        <v>1.73</v>
      </c>
      <c r="AH9" s="302">
        <f t="shared" si="18"/>
        <v>0</v>
      </c>
      <c r="AI9" s="306">
        <f t="shared" si="19"/>
        <v>0</v>
      </c>
      <c r="AJ9" s="306">
        <f t="shared" si="20"/>
        <v>0</v>
      </c>
      <c r="AK9" s="302">
        <f t="shared" si="21"/>
        <v>0</v>
      </c>
      <c r="AL9" s="303">
        <v>180</v>
      </c>
      <c r="AM9" s="301">
        <f t="shared" si="22"/>
        <v>0</v>
      </c>
      <c r="AN9" s="305">
        <f t="shared" si="23"/>
        <v>0</v>
      </c>
      <c r="AO9" s="358">
        <f t="shared" si="24"/>
        <v>0</v>
      </c>
    </row>
    <row r="10" spans="1:43">
      <c r="A10" s="344">
        <v>0</v>
      </c>
      <c r="B10" s="299" t="s">
        <v>410</v>
      </c>
      <c r="C10" s="300" t="s">
        <v>406</v>
      </c>
      <c r="D10" s="300" t="s">
        <v>407</v>
      </c>
      <c r="E10" s="301">
        <v>8062.5</v>
      </c>
      <c r="F10" s="302"/>
      <c r="G10" s="301">
        <f t="shared" si="0"/>
        <v>880</v>
      </c>
      <c r="H10" s="302">
        <v>4</v>
      </c>
      <c r="I10" s="302"/>
      <c r="J10" s="303">
        <f t="shared" si="1"/>
        <v>2026</v>
      </c>
      <c r="K10" s="303">
        <f t="shared" si="1"/>
        <v>2032</v>
      </c>
      <c r="L10" s="303">
        <f t="shared" si="1"/>
        <v>6</v>
      </c>
      <c r="M10" s="301">
        <v>12.5</v>
      </c>
      <c r="N10" s="301">
        <f t="shared" si="2"/>
        <v>0</v>
      </c>
      <c r="O10" s="301">
        <f t="shared" si="3"/>
        <v>0</v>
      </c>
      <c r="P10" s="301">
        <f t="shared" si="4"/>
        <v>0</v>
      </c>
      <c r="Q10" s="301">
        <f t="shared" si="5"/>
        <v>0</v>
      </c>
      <c r="R10" s="301">
        <f t="shared" si="6"/>
        <v>0</v>
      </c>
      <c r="S10" s="301">
        <f t="shared" si="7"/>
        <v>0</v>
      </c>
      <c r="T10" s="301">
        <f t="shared" si="8"/>
        <v>0</v>
      </c>
      <c r="U10" s="301">
        <f t="shared" si="9"/>
        <v>0</v>
      </c>
      <c r="V10" s="304">
        <f t="shared" si="10"/>
        <v>0</v>
      </c>
      <c r="W10" s="304">
        <f t="shared" si="11"/>
        <v>0</v>
      </c>
      <c r="X10" s="345">
        <f t="shared" si="12"/>
        <v>0</v>
      </c>
      <c r="Y10" s="357">
        <f>VLOOKUP(M10,'B.0.ConsumiblesMaquinaria'!C$7:D$16,2)</f>
        <v>3.5000000000000003E-2</v>
      </c>
      <c r="Z10" s="302">
        <f t="shared" si="13"/>
        <v>0</v>
      </c>
      <c r="AA10" s="302">
        <f>+'B.0.ConsumiblesMaquinaria'!J$23</f>
        <v>9.879999999999999</v>
      </c>
      <c r="AB10" s="302">
        <f t="shared" si="14"/>
        <v>1.73</v>
      </c>
      <c r="AC10" s="301">
        <f>1.2*AC$102</f>
        <v>0</v>
      </c>
      <c r="AD10" s="301">
        <f t="shared" si="15"/>
        <v>0</v>
      </c>
      <c r="AE10" s="302">
        <f>+'B.0.ConsumiblesMaquinaria'!J$22</f>
        <v>1.9</v>
      </c>
      <c r="AF10" s="302">
        <f t="shared" si="16"/>
        <v>0</v>
      </c>
      <c r="AG10" s="302">
        <f t="shared" si="17"/>
        <v>1.73</v>
      </c>
      <c r="AH10" s="302">
        <f t="shared" si="18"/>
        <v>0</v>
      </c>
      <c r="AI10" s="306">
        <f t="shared" si="19"/>
        <v>0</v>
      </c>
      <c r="AJ10" s="306">
        <f t="shared" si="20"/>
        <v>0</v>
      </c>
      <c r="AK10" s="302">
        <f t="shared" si="21"/>
        <v>0</v>
      </c>
      <c r="AL10" s="303">
        <v>180</v>
      </c>
      <c r="AM10" s="301">
        <f t="shared" si="22"/>
        <v>0</v>
      </c>
      <c r="AN10" s="305">
        <f t="shared" si="23"/>
        <v>0</v>
      </c>
      <c r="AO10" s="358">
        <f t="shared" si="24"/>
        <v>0</v>
      </c>
    </row>
    <row r="11" spans="1:43">
      <c r="A11" s="344">
        <v>0</v>
      </c>
      <c r="B11" s="299" t="s">
        <v>411</v>
      </c>
      <c r="C11" s="300" t="s">
        <v>406</v>
      </c>
      <c r="D11" s="300" t="s">
        <v>407</v>
      </c>
      <c r="E11" s="301">
        <v>8125</v>
      </c>
      <c r="F11" s="302"/>
      <c r="G11" s="301">
        <f t="shared" si="0"/>
        <v>880</v>
      </c>
      <c r="H11" s="302">
        <v>4</v>
      </c>
      <c r="I11" s="302"/>
      <c r="J11" s="303">
        <f t="shared" si="1"/>
        <v>2026</v>
      </c>
      <c r="K11" s="303">
        <f t="shared" si="1"/>
        <v>2032</v>
      </c>
      <c r="L11" s="303">
        <f t="shared" si="1"/>
        <v>6</v>
      </c>
      <c r="M11" s="301">
        <v>23</v>
      </c>
      <c r="N11" s="301">
        <f t="shared" si="2"/>
        <v>0</v>
      </c>
      <c r="O11" s="301">
        <f t="shared" si="3"/>
        <v>0</v>
      </c>
      <c r="P11" s="301">
        <f t="shared" si="4"/>
        <v>0</v>
      </c>
      <c r="Q11" s="301">
        <f t="shared" si="5"/>
        <v>0</v>
      </c>
      <c r="R11" s="301">
        <f t="shared" si="6"/>
        <v>0</v>
      </c>
      <c r="S11" s="301">
        <f t="shared" si="7"/>
        <v>0</v>
      </c>
      <c r="T11" s="301">
        <f t="shared" si="8"/>
        <v>0</v>
      </c>
      <c r="U11" s="301">
        <f t="shared" si="9"/>
        <v>0</v>
      </c>
      <c r="V11" s="304">
        <f t="shared" si="10"/>
        <v>0</v>
      </c>
      <c r="W11" s="304">
        <f t="shared" si="11"/>
        <v>0</v>
      </c>
      <c r="X11" s="345">
        <f t="shared" si="12"/>
        <v>0</v>
      </c>
      <c r="Y11" s="357">
        <f>VLOOKUP(M11,'B.0.ConsumiblesMaquinaria'!C$7:D$16,2)</f>
        <v>3.9E-2</v>
      </c>
      <c r="Z11" s="302">
        <f t="shared" si="13"/>
        <v>0</v>
      </c>
      <c r="AA11" s="302">
        <f>+'B.0.ConsumiblesMaquinaria'!J$23</f>
        <v>9.879999999999999</v>
      </c>
      <c r="AB11" s="302">
        <f>+ROUND(Y11*AP$1*AA11,2)</f>
        <v>1.93</v>
      </c>
      <c r="AC11" s="301">
        <f>2*AC$102</f>
        <v>0</v>
      </c>
      <c r="AD11" s="301">
        <f t="shared" si="15"/>
        <v>0</v>
      </c>
      <c r="AE11" s="302">
        <f>+'B.0.ConsumiblesMaquinaria'!J$22</f>
        <v>1.9</v>
      </c>
      <c r="AF11" s="302">
        <f t="shared" si="16"/>
        <v>0</v>
      </c>
      <c r="AG11" s="302">
        <f t="shared" si="17"/>
        <v>1.93</v>
      </c>
      <c r="AH11" s="302">
        <f t="shared" si="18"/>
        <v>0</v>
      </c>
      <c r="AI11" s="306">
        <f t="shared" si="19"/>
        <v>0</v>
      </c>
      <c r="AJ11" s="306">
        <f t="shared" si="20"/>
        <v>0</v>
      </c>
      <c r="AK11" s="302">
        <f t="shared" si="21"/>
        <v>0</v>
      </c>
      <c r="AL11" s="303">
        <v>180</v>
      </c>
      <c r="AM11" s="301">
        <f t="shared" si="22"/>
        <v>0</v>
      </c>
      <c r="AN11" s="305">
        <f t="shared" si="23"/>
        <v>0</v>
      </c>
      <c r="AO11" s="358">
        <f t="shared" si="24"/>
        <v>0</v>
      </c>
    </row>
    <row r="12" spans="1:43">
      <c r="A12" s="344">
        <v>0</v>
      </c>
      <c r="B12" s="299" t="s">
        <v>412</v>
      </c>
      <c r="C12" s="300" t="s">
        <v>406</v>
      </c>
      <c r="D12" s="300" t="s">
        <v>413</v>
      </c>
      <c r="E12" s="301">
        <v>15250</v>
      </c>
      <c r="F12" s="302"/>
      <c r="G12" s="301">
        <f t="shared" si="0"/>
        <v>880</v>
      </c>
      <c r="H12" s="302">
        <v>4</v>
      </c>
      <c r="I12" s="302"/>
      <c r="J12" s="303">
        <f t="shared" si="1"/>
        <v>2026</v>
      </c>
      <c r="K12" s="303">
        <f t="shared" si="1"/>
        <v>2032</v>
      </c>
      <c r="L12" s="303">
        <f t="shared" si="1"/>
        <v>6</v>
      </c>
      <c r="M12" s="301">
        <v>27</v>
      </c>
      <c r="N12" s="301">
        <f t="shared" si="2"/>
        <v>0</v>
      </c>
      <c r="O12" s="301">
        <f t="shared" si="3"/>
        <v>0</v>
      </c>
      <c r="P12" s="301">
        <f t="shared" si="4"/>
        <v>0</v>
      </c>
      <c r="Q12" s="301">
        <f t="shared" si="5"/>
        <v>0</v>
      </c>
      <c r="R12" s="301">
        <f t="shared" si="6"/>
        <v>0</v>
      </c>
      <c r="S12" s="301">
        <f t="shared" si="7"/>
        <v>0</v>
      </c>
      <c r="T12" s="301">
        <f t="shared" si="8"/>
        <v>0</v>
      </c>
      <c r="U12" s="301">
        <f t="shared" si="9"/>
        <v>0</v>
      </c>
      <c r="V12" s="304">
        <f t="shared" si="10"/>
        <v>0</v>
      </c>
      <c r="W12" s="304">
        <f t="shared" si="11"/>
        <v>0</v>
      </c>
      <c r="X12" s="345">
        <f t="shared" si="12"/>
        <v>0</v>
      </c>
      <c r="Y12" s="357">
        <f>VLOOKUP(M12,'B.0.ConsumiblesMaquinaria'!C$7:D$16,2)</f>
        <v>3.9E-2</v>
      </c>
      <c r="Z12" s="302">
        <f t="shared" si="13"/>
        <v>0</v>
      </c>
      <c r="AA12" s="302">
        <f>+'B.0.ConsumiblesMaquinaria'!J$23</f>
        <v>9.879999999999999</v>
      </c>
      <c r="AB12" s="302">
        <f t="shared" si="14"/>
        <v>1.93</v>
      </c>
      <c r="AC12" s="301">
        <f>1.5*AC$102</f>
        <v>0</v>
      </c>
      <c r="AD12" s="301">
        <f t="shared" si="15"/>
        <v>0</v>
      </c>
      <c r="AE12" s="302">
        <f>+'B.0.ConsumiblesMaquinaria'!J$22</f>
        <v>1.9</v>
      </c>
      <c r="AF12" s="302">
        <f t="shared" si="16"/>
        <v>0</v>
      </c>
      <c r="AG12" s="302">
        <f t="shared" si="17"/>
        <v>1.93</v>
      </c>
      <c r="AH12" s="302">
        <f t="shared" si="18"/>
        <v>0</v>
      </c>
      <c r="AI12" s="306">
        <f t="shared" si="19"/>
        <v>0</v>
      </c>
      <c r="AJ12" s="306">
        <f t="shared" si="20"/>
        <v>0</v>
      </c>
      <c r="AK12" s="302">
        <f t="shared" si="21"/>
        <v>0</v>
      </c>
      <c r="AL12" s="303">
        <v>180</v>
      </c>
      <c r="AM12" s="301">
        <f t="shared" si="22"/>
        <v>0</v>
      </c>
      <c r="AN12" s="305">
        <f t="shared" si="23"/>
        <v>0</v>
      </c>
      <c r="AO12" s="358">
        <f t="shared" si="24"/>
        <v>0</v>
      </c>
    </row>
    <row r="13" spans="1:43">
      <c r="A13" s="344">
        <v>0</v>
      </c>
      <c r="B13" s="299" t="s">
        <v>414</v>
      </c>
      <c r="C13" s="300" t="s">
        <v>406</v>
      </c>
      <c r="D13" s="300" t="s">
        <v>415</v>
      </c>
      <c r="E13" s="301">
        <v>17645</v>
      </c>
      <c r="F13" s="302"/>
      <c r="G13" s="301">
        <f t="shared" si="0"/>
        <v>880</v>
      </c>
      <c r="H13" s="302">
        <v>8</v>
      </c>
      <c r="I13" s="302"/>
      <c r="J13" s="303">
        <f t="shared" si="1"/>
        <v>2026</v>
      </c>
      <c r="K13" s="303">
        <f t="shared" si="1"/>
        <v>2032</v>
      </c>
      <c r="L13" s="303">
        <f t="shared" si="1"/>
        <v>6</v>
      </c>
      <c r="M13" s="301">
        <v>24</v>
      </c>
      <c r="N13" s="301">
        <f t="shared" si="2"/>
        <v>0</v>
      </c>
      <c r="O13" s="301">
        <f t="shared" si="3"/>
        <v>0</v>
      </c>
      <c r="P13" s="301">
        <f t="shared" si="4"/>
        <v>0</v>
      </c>
      <c r="Q13" s="301">
        <f t="shared" si="5"/>
        <v>0</v>
      </c>
      <c r="R13" s="301">
        <f t="shared" si="6"/>
        <v>0</v>
      </c>
      <c r="S13" s="301">
        <f t="shared" si="7"/>
        <v>0</v>
      </c>
      <c r="T13" s="301">
        <f t="shared" si="8"/>
        <v>0</v>
      </c>
      <c r="U13" s="301">
        <f t="shared" si="9"/>
        <v>0</v>
      </c>
      <c r="V13" s="304">
        <f t="shared" si="10"/>
        <v>0</v>
      </c>
      <c r="W13" s="304">
        <f t="shared" si="11"/>
        <v>0</v>
      </c>
      <c r="X13" s="345">
        <f t="shared" si="12"/>
        <v>0</v>
      </c>
      <c r="Y13" s="357">
        <f>VLOOKUP(M13,'B.0.ConsumiblesMaquinaria'!C$7:D$16,2)</f>
        <v>3.9E-2</v>
      </c>
      <c r="Z13" s="302">
        <f t="shared" si="13"/>
        <v>0</v>
      </c>
      <c r="AA13" s="302">
        <f>+'B.0.ConsumiblesMaquinaria'!J$23</f>
        <v>9.879999999999999</v>
      </c>
      <c r="AB13" s="302">
        <f t="shared" si="14"/>
        <v>1.93</v>
      </c>
      <c r="AC13" s="301">
        <f>3.29999995231628*AC$102</f>
        <v>0</v>
      </c>
      <c r="AD13" s="301">
        <f t="shared" si="15"/>
        <v>0</v>
      </c>
      <c r="AE13" s="302">
        <f>+'B.0.ConsumiblesMaquinaria'!J$22</f>
        <v>1.9</v>
      </c>
      <c r="AF13" s="302">
        <f t="shared" si="16"/>
        <v>0</v>
      </c>
      <c r="AG13" s="302">
        <f t="shared" si="17"/>
        <v>1.93</v>
      </c>
      <c r="AH13" s="302">
        <f t="shared" si="18"/>
        <v>0</v>
      </c>
      <c r="AI13" s="306">
        <f t="shared" si="19"/>
        <v>0</v>
      </c>
      <c r="AJ13" s="306">
        <f t="shared" si="20"/>
        <v>0</v>
      </c>
      <c r="AK13" s="302">
        <f t="shared" si="21"/>
        <v>0</v>
      </c>
      <c r="AL13" s="303">
        <v>180</v>
      </c>
      <c r="AM13" s="301">
        <f t="shared" si="22"/>
        <v>0</v>
      </c>
      <c r="AN13" s="305">
        <f t="shared" si="23"/>
        <v>0</v>
      </c>
      <c r="AO13" s="358">
        <f t="shared" si="24"/>
        <v>0</v>
      </c>
    </row>
    <row r="14" spans="1:43">
      <c r="A14" s="344">
        <v>0</v>
      </c>
      <c r="B14" s="299" t="s">
        <v>416</v>
      </c>
      <c r="C14" s="300" t="s">
        <v>417</v>
      </c>
      <c r="D14" s="300" t="s">
        <v>418</v>
      </c>
      <c r="E14" s="301">
        <v>6250</v>
      </c>
      <c r="F14" s="302"/>
      <c r="G14" s="301">
        <f t="shared" si="0"/>
        <v>880</v>
      </c>
      <c r="H14" s="302">
        <v>8</v>
      </c>
      <c r="I14" s="302"/>
      <c r="J14" s="303">
        <f t="shared" si="1"/>
        <v>2026</v>
      </c>
      <c r="K14" s="303">
        <f t="shared" si="1"/>
        <v>2032</v>
      </c>
      <c r="L14" s="303">
        <f t="shared" si="1"/>
        <v>6</v>
      </c>
      <c r="M14" s="301">
        <v>7</v>
      </c>
      <c r="N14" s="301">
        <f t="shared" si="2"/>
        <v>0</v>
      </c>
      <c r="O14" s="301">
        <f t="shared" si="3"/>
        <v>0</v>
      </c>
      <c r="P14" s="301">
        <f t="shared" si="4"/>
        <v>0</v>
      </c>
      <c r="Q14" s="301">
        <f t="shared" si="5"/>
        <v>0</v>
      </c>
      <c r="R14" s="301">
        <f t="shared" si="6"/>
        <v>0</v>
      </c>
      <c r="S14" s="301">
        <f t="shared" si="7"/>
        <v>0</v>
      </c>
      <c r="T14" s="301">
        <f t="shared" si="8"/>
        <v>0</v>
      </c>
      <c r="U14" s="301">
        <f t="shared" si="9"/>
        <v>0</v>
      </c>
      <c r="V14" s="304">
        <f t="shared" si="10"/>
        <v>0</v>
      </c>
      <c r="W14" s="304">
        <f t="shared" si="11"/>
        <v>0</v>
      </c>
      <c r="X14" s="345">
        <f t="shared" si="12"/>
        <v>0</v>
      </c>
      <c r="Y14" s="357">
        <f>VLOOKUP(M14,'B.0.ConsumiblesMaquinaria'!C$7:D$16,2)</f>
        <v>3.5000000000000003E-2</v>
      </c>
      <c r="Z14" s="302">
        <f t="shared" si="13"/>
        <v>0</v>
      </c>
      <c r="AA14" s="302">
        <f>+'B.0.ConsumiblesMaquinaria'!J$24</f>
        <v>4.8</v>
      </c>
      <c r="AB14" s="302">
        <f t="shared" si="14"/>
        <v>0.84</v>
      </c>
      <c r="AC14" s="301">
        <f>1*AC$102</f>
        <v>0</v>
      </c>
      <c r="AD14" s="301">
        <f t="shared" si="15"/>
        <v>0</v>
      </c>
      <c r="AE14" s="302">
        <f>+'B.0.ConsumiblesMaquinaria'!J$22</f>
        <v>1.9</v>
      </c>
      <c r="AF14" s="302">
        <f t="shared" si="16"/>
        <v>0</v>
      </c>
      <c r="AG14" s="302">
        <f t="shared" si="17"/>
        <v>0.84</v>
      </c>
      <c r="AH14" s="302">
        <f t="shared" si="18"/>
        <v>0</v>
      </c>
      <c r="AI14" s="306">
        <f t="shared" si="19"/>
        <v>0</v>
      </c>
      <c r="AJ14" s="306">
        <f t="shared" si="20"/>
        <v>0</v>
      </c>
      <c r="AK14" s="302">
        <f t="shared" si="21"/>
        <v>0</v>
      </c>
      <c r="AL14" s="303">
        <v>180</v>
      </c>
      <c r="AM14" s="301">
        <f t="shared" si="22"/>
        <v>0</v>
      </c>
      <c r="AN14" s="305">
        <f t="shared" si="23"/>
        <v>0</v>
      </c>
      <c r="AO14" s="358">
        <f t="shared" si="24"/>
        <v>0</v>
      </c>
    </row>
    <row r="15" spans="1:43">
      <c r="A15" s="344">
        <v>0</v>
      </c>
      <c r="B15" s="299" t="s">
        <v>419</v>
      </c>
      <c r="C15" s="300" t="s">
        <v>417</v>
      </c>
      <c r="D15" s="300" t="s">
        <v>420</v>
      </c>
      <c r="E15" s="301">
        <v>15000</v>
      </c>
      <c r="F15" s="302"/>
      <c r="G15" s="301">
        <f t="shared" si="0"/>
        <v>880</v>
      </c>
      <c r="H15" s="302">
        <v>8</v>
      </c>
      <c r="I15" s="302"/>
      <c r="J15" s="303">
        <f t="shared" si="1"/>
        <v>2026</v>
      </c>
      <c r="K15" s="303">
        <f t="shared" si="1"/>
        <v>2032</v>
      </c>
      <c r="L15" s="303">
        <f t="shared" si="1"/>
        <v>6</v>
      </c>
      <c r="M15" s="301">
        <v>15</v>
      </c>
      <c r="N15" s="301">
        <f t="shared" si="2"/>
        <v>0</v>
      </c>
      <c r="O15" s="301">
        <f t="shared" si="3"/>
        <v>0</v>
      </c>
      <c r="P15" s="301">
        <f t="shared" si="4"/>
        <v>0</v>
      </c>
      <c r="Q15" s="301">
        <f t="shared" si="5"/>
        <v>0</v>
      </c>
      <c r="R15" s="301">
        <f t="shared" si="6"/>
        <v>0</v>
      </c>
      <c r="S15" s="301">
        <f t="shared" si="7"/>
        <v>0</v>
      </c>
      <c r="T15" s="301">
        <f t="shared" si="8"/>
        <v>0</v>
      </c>
      <c r="U15" s="301">
        <f t="shared" si="9"/>
        <v>0</v>
      </c>
      <c r="V15" s="304">
        <f t="shared" si="10"/>
        <v>0</v>
      </c>
      <c r="W15" s="304">
        <f t="shared" si="11"/>
        <v>0</v>
      </c>
      <c r="X15" s="345">
        <f t="shared" si="12"/>
        <v>0</v>
      </c>
      <c r="Y15" s="357">
        <f>VLOOKUP(M15,'B.0.ConsumiblesMaquinaria'!C$7:D$16,2)</f>
        <v>3.5000000000000003E-2</v>
      </c>
      <c r="Z15" s="302">
        <f t="shared" si="13"/>
        <v>0</v>
      </c>
      <c r="AA15" s="302">
        <f>+'B.0.ConsumiblesMaquinaria'!J$24</f>
        <v>4.8</v>
      </c>
      <c r="AB15" s="302">
        <f t="shared" si="14"/>
        <v>0.84</v>
      </c>
      <c r="AC15" s="301">
        <f>1*AC$102</f>
        <v>0</v>
      </c>
      <c r="AD15" s="301">
        <f t="shared" si="15"/>
        <v>0</v>
      </c>
      <c r="AE15" s="302">
        <f>+'B.0.ConsumiblesMaquinaria'!J$22</f>
        <v>1.9</v>
      </c>
      <c r="AF15" s="302">
        <f t="shared" si="16"/>
        <v>0</v>
      </c>
      <c r="AG15" s="302">
        <f t="shared" si="17"/>
        <v>0.84</v>
      </c>
      <c r="AH15" s="302">
        <f t="shared" si="18"/>
        <v>0</v>
      </c>
      <c r="AI15" s="306">
        <f t="shared" si="19"/>
        <v>0</v>
      </c>
      <c r="AJ15" s="306">
        <f t="shared" si="20"/>
        <v>0</v>
      </c>
      <c r="AK15" s="302">
        <f t="shared" si="21"/>
        <v>0</v>
      </c>
      <c r="AL15" s="303">
        <v>180</v>
      </c>
      <c r="AM15" s="301">
        <f t="shared" si="22"/>
        <v>0</v>
      </c>
      <c r="AN15" s="305">
        <f t="shared" si="23"/>
        <v>0</v>
      </c>
      <c r="AO15" s="358">
        <f t="shared" si="24"/>
        <v>0</v>
      </c>
    </row>
    <row r="16" spans="1:43">
      <c r="A16" s="344">
        <v>0</v>
      </c>
      <c r="B16" s="299" t="s">
        <v>421</v>
      </c>
      <c r="C16" s="300" t="s">
        <v>417</v>
      </c>
      <c r="D16" s="300" t="s">
        <v>422</v>
      </c>
      <c r="E16" s="301">
        <v>869</v>
      </c>
      <c r="F16" s="302"/>
      <c r="G16" s="301">
        <f t="shared" si="0"/>
        <v>880</v>
      </c>
      <c r="H16" s="302">
        <v>4</v>
      </c>
      <c r="I16" s="302"/>
      <c r="J16" s="303">
        <f t="shared" si="1"/>
        <v>2026</v>
      </c>
      <c r="K16" s="303">
        <f t="shared" si="1"/>
        <v>2032</v>
      </c>
      <c r="L16" s="303">
        <f t="shared" si="1"/>
        <v>6</v>
      </c>
      <c r="M16" s="301">
        <v>1.8999999761581401</v>
      </c>
      <c r="N16" s="301">
        <f t="shared" si="2"/>
        <v>0</v>
      </c>
      <c r="O16" s="301">
        <f t="shared" si="3"/>
        <v>0</v>
      </c>
      <c r="P16" s="301">
        <f t="shared" si="4"/>
        <v>0</v>
      </c>
      <c r="Q16" s="301">
        <f t="shared" si="5"/>
        <v>0</v>
      </c>
      <c r="R16" s="301">
        <f t="shared" si="6"/>
        <v>0</v>
      </c>
      <c r="S16" s="301">
        <f t="shared" si="7"/>
        <v>0</v>
      </c>
      <c r="T16" s="301">
        <f t="shared" si="8"/>
        <v>0</v>
      </c>
      <c r="U16" s="301">
        <f t="shared" si="9"/>
        <v>0</v>
      </c>
      <c r="V16" s="304">
        <f t="shared" si="10"/>
        <v>0</v>
      </c>
      <c r="W16" s="304">
        <f t="shared" si="11"/>
        <v>0</v>
      </c>
      <c r="X16" s="345">
        <f t="shared" si="12"/>
        <v>0</v>
      </c>
      <c r="Y16" s="357">
        <f>VLOOKUP(M16,'B.0.ConsumiblesMaquinaria'!C$7:D$16,2)</f>
        <v>3.5000000000000003E-2</v>
      </c>
      <c r="Z16" s="302">
        <f t="shared" si="13"/>
        <v>0</v>
      </c>
      <c r="AA16" s="302">
        <f>+'B.0.ConsumiblesMaquinaria'!J$24</f>
        <v>4.8</v>
      </c>
      <c r="AB16" s="302">
        <f>+ROUND(Y16*AP$1*AA16,2)</f>
        <v>0.84</v>
      </c>
      <c r="AC16" s="301">
        <f>0.400000005960464*AC$102</f>
        <v>0</v>
      </c>
      <c r="AD16" s="301">
        <f t="shared" si="15"/>
        <v>0</v>
      </c>
      <c r="AE16" s="302">
        <f>+'B.0.ConsumiblesMaquinaria'!J$22</f>
        <v>1.9</v>
      </c>
      <c r="AF16" s="302">
        <f t="shared" si="16"/>
        <v>0</v>
      </c>
      <c r="AG16" s="302">
        <f t="shared" si="17"/>
        <v>0.84</v>
      </c>
      <c r="AH16" s="302">
        <f t="shared" si="18"/>
        <v>0</v>
      </c>
      <c r="AI16" s="306">
        <f t="shared" si="19"/>
        <v>0</v>
      </c>
      <c r="AJ16" s="306">
        <f t="shared" si="20"/>
        <v>0</v>
      </c>
      <c r="AK16" s="302">
        <f t="shared" si="21"/>
        <v>0</v>
      </c>
      <c r="AL16" s="303">
        <v>180</v>
      </c>
      <c r="AM16" s="301">
        <f t="shared" si="22"/>
        <v>0</v>
      </c>
      <c r="AN16" s="305">
        <f t="shared" si="23"/>
        <v>0</v>
      </c>
      <c r="AO16" s="358">
        <f t="shared" si="24"/>
        <v>0</v>
      </c>
    </row>
    <row r="17" spans="1:41">
      <c r="A17" s="344">
        <v>0</v>
      </c>
      <c r="B17" s="299" t="s">
        <v>423</v>
      </c>
      <c r="C17" s="300" t="s">
        <v>417</v>
      </c>
      <c r="D17" s="300" t="s">
        <v>424</v>
      </c>
      <c r="E17" s="301">
        <v>1069</v>
      </c>
      <c r="F17" s="302"/>
      <c r="G17" s="301">
        <f t="shared" si="0"/>
        <v>880</v>
      </c>
      <c r="H17" s="302">
        <v>2</v>
      </c>
      <c r="I17" s="302"/>
      <c r="J17" s="303">
        <f t="shared" si="1"/>
        <v>2026</v>
      </c>
      <c r="K17" s="303">
        <f t="shared" si="1"/>
        <v>2032</v>
      </c>
      <c r="L17" s="303">
        <f t="shared" si="1"/>
        <v>6</v>
      </c>
      <c r="M17" s="301">
        <v>3.8</v>
      </c>
      <c r="N17" s="301">
        <f t="shared" si="2"/>
        <v>0</v>
      </c>
      <c r="O17" s="301">
        <f t="shared" si="3"/>
        <v>0</v>
      </c>
      <c r="P17" s="301">
        <f t="shared" si="4"/>
        <v>0</v>
      </c>
      <c r="Q17" s="301">
        <f t="shared" si="5"/>
        <v>0</v>
      </c>
      <c r="R17" s="301">
        <f t="shared" si="6"/>
        <v>0</v>
      </c>
      <c r="S17" s="301">
        <f t="shared" si="7"/>
        <v>0</v>
      </c>
      <c r="T17" s="301">
        <f t="shared" si="8"/>
        <v>0</v>
      </c>
      <c r="U17" s="301">
        <f t="shared" si="9"/>
        <v>0</v>
      </c>
      <c r="V17" s="304">
        <f t="shared" si="10"/>
        <v>0</v>
      </c>
      <c r="W17" s="304">
        <f t="shared" si="11"/>
        <v>0</v>
      </c>
      <c r="X17" s="345">
        <f t="shared" si="12"/>
        <v>0</v>
      </c>
      <c r="Y17" s="357">
        <f>VLOOKUP(M17,'B.0.ConsumiblesMaquinaria'!C$7:D$16,2)</f>
        <v>3.5000000000000003E-2</v>
      </c>
      <c r="Z17" s="302">
        <f t="shared" si="13"/>
        <v>0</v>
      </c>
      <c r="AA17" s="302">
        <f>+'B.0.ConsumiblesMaquinaria'!J$24</f>
        <v>4.8</v>
      </c>
      <c r="AB17" s="302">
        <f>+ROUND(Y17*AP$1*AA17,2)</f>
        <v>0.84</v>
      </c>
      <c r="AC17" s="301">
        <f>0.45*AC$102</f>
        <v>0</v>
      </c>
      <c r="AD17" s="301">
        <f t="shared" si="15"/>
        <v>0</v>
      </c>
      <c r="AE17" s="302">
        <f>+'B.0.ConsumiblesMaquinaria'!J$22</f>
        <v>1.9</v>
      </c>
      <c r="AF17" s="302">
        <f t="shared" si="16"/>
        <v>0</v>
      </c>
      <c r="AG17" s="302">
        <f t="shared" si="17"/>
        <v>0.84</v>
      </c>
      <c r="AH17" s="302">
        <f t="shared" si="18"/>
        <v>0</v>
      </c>
      <c r="AI17" s="306">
        <f t="shared" si="19"/>
        <v>0</v>
      </c>
      <c r="AJ17" s="306">
        <f t="shared" si="20"/>
        <v>0</v>
      </c>
      <c r="AK17" s="302">
        <f t="shared" si="21"/>
        <v>0</v>
      </c>
      <c r="AL17" s="303">
        <v>180</v>
      </c>
      <c r="AM17" s="301">
        <f t="shared" si="22"/>
        <v>0</v>
      </c>
      <c r="AN17" s="305">
        <f t="shared" si="23"/>
        <v>0</v>
      </c>
      <c r="AO17" s="358">
        <f t="shared" si="24"/>
        <v>0</v>
      </c>
    </row>
    <row r="18" spans="1:41">
      <c r="A18" s="344">
        <v>0</v>
      </c>
      <c r="B18" s="299" t="s">
        <v>425</v>
      </c>
      <c r="C18" s="300" t="s">
        <v>417</v>
      </c>
      <c r="D18" s="300" t="s">
        <v>426</v>
      </c>
      <c r="E18" s="301">
        <v>1061.25</v>
      </c>
      <c r="F18" s="302"/>
      <c r="G18" s="301">
        <f t="shared" si="0"/>
        <v>880</v>
      </c>
      <c r="H18" s="302">
        <v>4</v>
      </c>
      <c r="I18" s="302"/>
      <c r="J18" s="303">
        <f t="shared" si="1"/>
        <v>2026</v>
      </c>
      <c r="K18" s="303">
        <f t="shared" si="1"/>
        <v>2032</v>
      </c>
      <c r="L18" s="303">
        <f t="shared" si="1"/>
        <v>6</v>
      </c>
      <c r="M18" s="301">
        <v>3</v>
      </c>
      <c r="N18" s="301">
        <f t="shared" si="2"/>
        <v>0</v>
      </c>
      <c r="O18" s="301">
        <f t="shared" si="3"/>
        <v>0</v>
      </c>
      <c r="P18" s="301">
        <f t="shared" si="4"/>
        <v>0</v>
      </c>
      <c r="Q18" s="301">
        <f t="shared" si="5"/>
        <v>0</v>
      </c>
      <c r="R18" s="301">
        <f t="shared" si="6"/>
        <v>0</v>
      </c>
      <c r="S18" s="301">
        <f t="shared" si="7"/>
        <v>0</v>
      </c>
      <c r="T18" s="301">
        <f t="shared" si="8"/>
        <v>0</v>
      </c>
      <c r="U18" s="301">
        <f t="shared" si="9"/>
        <v>0</v>
      </c>
      <c r="V18" s="304">
        <f t="shared" si="10"/>
        <v>0</v>
      </c>
      <c r="W18" s="304">
        <f t="shared" si="11"/>
        <v>0</v>
      </c>
      <c r="X18" s="345">
        <f t="shared" si="12"/>
        <v>0</v>
      </c>
      <c r="Y18" s="357">
        <f>VLOOKUP(M18,'B.0.ConsumiblesMaquinaria'!C$7:D$16,2)</f>
        <v>3.5000000000000003E-2</v>
      </c>
      <c r="Z18" s="302">
        <f t="shared" si="13"/>
        <v>0</v>
      </c>
      <c r="AA18" s="302">
        <f>+'B.0.ConsumiblesMaquinaria'!J$24</f>
        <v>4.8</v>
      </c>
      <c r="AB18" s="302">
        <f t="shared" si="14"/>
        <v>0.84</v>
      </c>
      <c r="AC18" s="301">
        <f>0.600000023841857*AC$102</f>
        <v>0</v>
      </c>
      <c r="AD18" s="301">
        <f t="shared" si="15"/>
        <v>0</v>
      </c>
      <c r="AE18" s="302">
        <f>+'B.0.ConsumiblesMaquinaria'!J$22</f>
        <v>1.9</v>
      </c>
      <c r="AF18" s="302">
        <f t="shared" si="16"/>
        <v>0</v>
      </c>
      <c r="AG18" s="302">
        <f t="shared" si="17"/>
        <v>0.84</v>
      </c>
      <c r="AH18" s="302">
        <f t="shared" si="18"/>
        <v>0</v>
      </c>
      <c r="AI18" s="306">
        <f t="shared" si="19"/>
        <v>0</v>
      </c>
      <c r="AJ18" s="306">
        <f t="shared" si="20"/>
        <v>0</v>
      </c>
      <c r="AK18" s="302">
        <f t="shared" si="21"/>
        <v>0</v>
      </c>
      <c r="AL18" s="303">
        <v>180</v>
      </c>
      <c r="AM18" s="301">
        <f t="shared" si="22"/>
        <v>0</v>
      </c>
      <c r="AN18" s="305">
        <f t="shared" si="23"/>
        <v>0</v>
      </c>
      <c r="AO18" s="358">
        <f t="shared" si="24"/>
        <v>0</v>
      </c>
    </row>
    <row r="19" spans="1:41">
      <c r="A19" s="344">
        <v>0</v>
      </c>
      <c r="B19" s="299" t="s">
        <v>427</v>
      </c>
      <c r="C19" s="300" t="s">
        <v>417</v>
      </c>
      <c r="D19" s="300" t="s">
        <v>428</v>
      </c>
      <c r="E19" s="301">
        <v>236.25</v>
      </c>
      <c r="F19" s="302"/>
      <c r="G19" s="301">
        <f t="shared" si="0"/>
        <v>880</v>
      </c>
      <c r="H19" s="302">
        <v>2</v>
      </c>
      <c r="I19" s="302"/>
      <c r="J19" s="303">
        <f t="shared" si="1"/>
        <v>2026</v>
      </c>
      <c r="K19" s="303">
        <f t="shared" si="1"/>
        <v>2032</v>
      </c>
      <c r="L19" s="303">
        <f t="shared" si="1"/>
        <v>6</v>
      </c>
      <c r="M19" s="301">
        <v>1</v>
      </c>
      <c r="N19" s="301">
        <f t="shared" si="2"/>
        <v>0</v>
      </c>
      <c r="O19" s="301">
        <f t="shared" si="3"/>
        <v>0</v>
      </c>
      <c r="P19" s="301">
        <f t="shared" si="4"/>
        <v>0</v>
      </c>
      <c r="Q19" s="301">
        <f t="shared" si="5"/>
        <v>0</v>
      </c>
      <c r="R19" s="301">
        <f t="shared" si="6"/>
        <v>0</v>
      </c>
      <c r="S19" s="301">
        <f t="shared" si="7"/>
        <v>0</v>
      </c>
      <c r="T19" s="301">
        <f t="shared" si="8"/>
        <v>0</v>
      </c>
      <c r="U19" s="301">
        <f t="shared" si="9"/>
        <v>0</v>
      </c>
      <c r="V19" s="304">
        <f t="shared" si="10"/>
        <v>0</v>
      </c>
      <c r="W19" s="304">
        <f t="shared" si="11"/>
        <v>0</v>
      </c>
      <c r="X19" s="345">
        <f t="shared" si="12"/>
        <v>0</v>
      </c>
      <c r="Y19" s="357">
        <f>VLOOKUP(M19,'B.0.ConsumiblesMaquinaria'!C$7:D$16,2)</f>
        <v>3.5000000000000003E-2</v>
      </c>
      <c r="Z19" s="302">
        <f t="shared" si="13"/>
        <v>0</v>
      </c>
      <c r="AA19" s="302">
        <f>+'B.0.ConsumiblesMaquinaria'!J$24</f>
        <v>4.8</v>
      </c>
      <c r="AB19" s="302">
        <f t="shared" si="14"/>
        <v>0.84</v>
      </c>
      <c r="AC19" s="301">
        <f>0.400000005960464*AC$102</f>
        <v>0</v>
      </c>
      <c r="AD19" s="301">
        <f t="shared" si="15"/>
        <v>0</v>
      </c>
      <c r="AE19" s="302">
        <f>+'B.0.ConsumiblesMaquinaria'!J$22</f>
        <v>1.9</v>
      </c>
      <c r="AF19" s="302">
        <f t="shared" si="16"/>
        <v>0</v>
      </c>
      <c r="AG19" s="302">
        <f t="shared" si="17"/>
        <v>0.84</v>
      </c>
      <c r="AH19" s="302">
        <f t="shared" si="18"/>
        <v>0</v>
      </c>
      <c r="AI19" s="306">
        <f t="shared" si="19"/>
        <v>0</v>
      </c>
      <c r="AJ19" s="306">
        <f t="shared" si="20"/>
        <v>0</v>
      </c>
      <c r="AK19" s="302">
        <f t="shared" si="21"/>
        <v>0</v>
      </c>
      <c r="AL19" s="303">
        <v>180</v>
      </c>
      <c r="AM19" s="301">
        <f t="shared" si="22"/>
        <v>0</v>
      </c>
      <c r="AN19" s="305">
        <f t="shared" si="23"/>
        <v>0</v>
      </c>
      <c r="AO19" s="358">
        <f t="shared" si="24"/>
        <v>0</v>
      </c>
    </row>
    <row r="20" spans="1:41">
      <c r="A20" s="344">
        <v>0</v>
      </c>
      <c r="B20" s="299" t="s">
        <v>429</v>
      </c>
      <c r="C20" s="300" t="s">
        <v>417</v>
      </c>
      <c r="D20" s="300" t="s">
        <v>428</v>
      </c>
      <c r="E20" s="301">
        <v>1500</v>
      </c>
      <c r="F20" s="302"/>
      <c r="G20" s="301">
        <f>22*6*AP$1</f>
        <v>660</v>
      </c>
      <c r="H20" s="302">
        <v>6</v>
      </c>
      <c r="I20" s="302"/>
      <c r="J20" s="303">
        <f t="shared" si="1"/>
        <v>2026</v>
      </c>
      <c r="K20" s="303">
        <f t="shared" si="1"/>
        <v>2032</v>
      </c>
      <c r="L20" s="303">
        <f t="shared" si="1"/>
        <v>6</v>
      </c>
      <c r="M20" s="301">
        <v>1.5</v>
      </c>
      <c r="N20" s="301">
        <f t="shared" si="2"/>
        <v>0</v>
      </c>
      <c r="O20" s="301">
        <f t="shared" si="3"/>
        <v>0</v>
      </c>
      <c r="P20" s="301">
        <f t="shared" si="4"/>
        <v>0</v>
      </c>
      <c r="Q20" s="301">
        <f t="shared" si="5"/>
        <v>0</v>
      </c>
      <c r="R20" s="301">
        <f t="shared" si="6"/>
        <v>0</v>
      </c>
      <c r="S20" s="301">
        <f t="shared" si="7"/>
        <v>0</v>
      </c>
      <c r="T20" s="301">
        <f t="shared" si="8"/>
        <v>0</v>
      </c>
      <c r="U20" s="301">
        <f t="shared" si="9"/>
        <v>0</v>
      </c>
      <c r="V20" s="304">
        <f t="shared" si="10"/>
        <v>0</v>
      </c>
      <c r="W20" s="304">
        <f t="shared" si="11"/>
        <v>0</v>
      </c>
      <c r="X20" s="345">
        <f t="shared" si="12"/>
        <v>0</v>
      </c>
      <c r="Y20" s="357">
        <f>VLOOKUP(M20,'B.0.ConsumiblesMaquinaria'!C$7:D$16,2)</f>
        <v>3.5000000000000003E-2</v>
      </c>
      <c r="Z20" s="302">
        <f t="shared" si="13"/>
        <v>0</v>
      </c>
      <c r="AA20" s="302">
        <f>+'B.0.ConsumiblesMaquinaria'!J$24</f>
        <v>4.8</v>
      </c>
      <c r="AB20" s="302">
        <f>+ROUND(Y20*AP$1*AA20,2)</f>
        <v>0.84</v>
      </c>
      <c r="AC20" s="301">
        <f>1*AC$102</f>
        <v>0</v>
      </c>
      <c r="AD20" s="301">
        <f t="shared" si="15"/>
        <v>0</v>
      </c>
      <c r="AE20" s="302">
        <f>+'B.0.ConsumiblesMaquinaria'!J$22</f>
        <v>1.9</v>
      </c>
      <c r="AF20" s="302">
        <f t="shared" si="16"/>
        <v>0</v>
      </c>
      <c r="AG20" s="302">
        <f t="shared" si="17"/>
        <v>0.84</v>
      </c>
      <c r="AH20" s="302">
        <f t="shared" si="18"/>
        <v>0</v>
      </c>
      <c r="AI20" s="306">
        <f t="shared" si="19"/>
        <v>0</v>
      </c>
      <c r="AJ20" s="306">
        <f t="shared" si="20"/>
        <v>0</v>
      </c>
      <c r="AK20" s="302">
        <f t="shared" si="21"/>
        <v>0</v>
      </c>
      <c r="AL20" s="303">
        <v>180</v>
      </c>
      <c r="AM20" s="301">
        <f t="shared" si="22"/>
        <v>0</v>
      </c>
      <c r="AN20" s="305">
        <f t="shared" si="23"/>
        <v>0</v>
      </c>
      <c r="AO20" s="358">
        <f t="shared" si="24"/>
        <v>0</v>
      </c>
    </row>
    <row r="21" spans="1:41">
      <c r="A21" s="344">
        <v>0</v>
      </c>
      <c r="B21" s="299" t="s">
        <v>430</v>
      </c>
      <c r="C21" s="300" t="s">
        <v>417</v>
      </c>
      <c r="D21" s="300" t="s">
        <v>431</v>
      </c>
      <c r="E21" s="301">
        <v>7780</v>
      </c>
      <c r="F21" s="302"/>
      <c r="G21" s="301">
        <f>22*3*AP$1</f>
        <v>330</v>
      </c>
      <c r="H21" s="302">
        <v>8</v>
      </c>
      <c r="I21" s="302"/>
      <c r="J21" s="303">
        <f t="shared" si="1"/>
        <v>2026</v>
      </c>
      <c r="K21" s="303">
        <f t="shared" si="1"/>
        <v>2032</v>
      </c>
      <c r="L21" s="303">
        <f t="shared" si="1"/>
        <v>6</v>
      </c>
      <c r="M21" s="301">
        <v>6</v>
      </c>
      <c r="N21" s="301">
        <f t="shared" si="2"/>
        <v>0</v>
      </c>
      <c r="O21" s="301">
        <f t="shared" si="3"/>
        <v>0</v>
      </c>
      <c r="P21" s="301">
        <f t="shared" si="4"/>
        <v>0</v>
      </c>
      <c r="Q21" s="301">
        <f t="shared" si="5"/>
        <v>0</v>
      </c>
      <c r="R21" s="301">
        <f t="shared" si="6"/>
        <v>0</v>
      </c>
      <c r="S21" s="301">
        <f t="shared" si="7"/>
        <v>0</v>
      </c>
      <c r="T21" s="301">
        <f t="shared" si="8"/>
        <v>0</v>
      </c>
      <c r="U21" s="301">
        <f t="shared" si="9"/>
        <v>0</v>
      </c>
      <c r="V21" s="304">
        <f t="shared" si="10"/>
        <v>0</v>
      </c>
      <c r="W21" s="304">
        <f t="shared" si="11"/>
        <v>0</v>
      </c>
      <c r="X21" s="345">
        <f t="shared" si="12"/>
        <v>0</v>
      </c>
      <c r="Y21" s="357">
        <f>VLOOKUP(M21,'B.0.ConsumiblesMaquinaria'!C$7:D$16,2)</f>
        <v>3.5000000000000003E-2</v>
      </c>
      <c r="Z21" s="302">
        <f t="shared" si="13"/>
        <v>0</v>
      </c>
      <c r="AA21" s="302">
        <f>+'B.0.ConsumiblesMaquinaria'!J$24</f>
        <v>4.8</v>
      </c>
      <c r="AB21" s="302">
        <f t="shared" si="14"/>
        <v>0.84</v>
      </c>
      <c r="AC21" s="301">
        <f>0.400000005960464*AC$102</f>
        <v>0</v>
      </c>
      <c r="AD21" s="301">
        <f t="shared" si="15"/>
        <v>0</v>
      </c>
      <c r="AE21" s="302">
        <f>+'B.0.ConsumiblesMaquinaria'!J$22</f>
        <v>1.9</v>
      </c>
      <c r="AF21" s="302">
        <f t="shared" si="16"/>
        <v>0</v>
      </c>
      <c r="AG21" s="302">
        <f t="shared" si="17"/>
        <v>0.84</v>
      </c>
      <c r="AH21" s="302">
        <f t="shared" si="18"/>
        <v>0</v>
      </c>
      <c r="AI21" s="306">
        <f t="shared" si="19"/>
        <v>0</v>
      </c>
      <c r="AJ21" s="306">
        <f t="shared" si="20"/>
        <v>0</v>
      </c>
      <c r="AK21" s="302">
        <f t="shared" si="21"/>
        <v>0</v>
      </c>
      <c r="AL21" s="303">
        <v>180</v>
      </c>
      <c r="AM21" s="301">
        <f t="shared" si="22"/>
        <v>0</v>
      </c>
      <c r="AN21" s="305">
        <f t="shared" si="23"/>
        <v>0</v>
      </c>
      <c r="AO21" s="358">
        <f t="shared" si="24"/>
        <v>0</v>
      </c>
    </row>
    <row r="22" spans="1:41">
      <c r="A22" s="344">
        <v>0</v>
      </c>
      <c r="B22" s="299" t="s">
        <v>432</v>
      </c>
      <c r="C22" s="300" t="s">
        <v>417</v>
      </c>
      <c r="D22" s="300" t="s">
        <v>433</v>
      </c>
      <c r="E22" s="301">
        <v>2625</v>
      </c>
      <c r="F22" s="302"/>
      <c r="G22" s="301">
        <f>22*3*AP$1</f>
        <v>330</v>
      </c>
      <c r="H22" s="302">
        <v>2</v>
      </c>
      <c r="I22" s="302"/>
      <c r="J22" s="303">
        <f t="shared" si="1"/>
        <v>2026</v>
      </c>
      <c r="K22" s="303">
        <f t="shared" si="1"/>
        <v>2032</v>
      </c>
      <c r="L22" s="303">
        <f t="shared" si="1"/>
        <v>6</v>
      </c>
      <c r="M22" s="301">
        <v>5</v>
      </c>
      <c r="N22" s="301">
        <f t="shared" si="2"/>
        <v>0</v>
      </c>
      <c r="O22" s="301">
        <f t="shared" si="3"/>
        <v>0</v>
      </c>
      <c r="P22" s="301">
        <f t="shared" si="4"/>
        <v>0</v>
      </c>
      <c r="Q22" s="301">
        <f t="shared" si="5"/>
        <v>0</v>
      </c>
      <c r="R22" s="301">
        <f t="shared" si="6"/>
        <v>0</v>
      </c>
      <c r="S22" s="301">
        <f t="shared" si="7"/>
        <v>0</v>
      </c>
      <c r="T22" s="301">
        <f t="shared" si="8"/>
        <v>0</v>
      </c>
      <c r="U22" s="301">
        <f t="shared" si="9"/>
        <v>0</v>
      </c>
      <c r="V22" s="304">
        <f t="shared" si="10"/>
        <v>0</v>
      </c>
      <c r="W22" s="304">
        <f t="shared" si="11"/>
        <v>0</v>
      </c>
      <c r="X22" s="345">
        <f t="shared" si="12"/>
        <v>0</v>
      </c>
      <c r="Y22" s="357">
        <f>VLOOKUP(M22,'B.0.ConsumiblesMaquinaria'!C$7:D$16,2)</f>
        <v>3.5000000000000003E-2</v>
      </c>
      <c r="Z22" s="302">
        <f t="shared" si="13"/>
        <v>0</v>
      </c>
      <c r="AA22" s="302">
        <f>+'B.0.ConsumiblesMaquinaria'!J$24</f>
        <v>4.8</v>
      </c>
      <c r="AB22" s="302">
        <f t="shared" si="14"/>
        <v>0.84</v>
      </c>
      <c r="AC22" s="301">
        <f>0.5*AC$102</f>
        <v>0</v>
      </c>
      <c r="AD22" s="301">
        <f t="shared" si="15"/>
        <v>0</v>
      </c>
      <c r="AE22" s="302">
        <f>+'B.0.ConsumiblesMaquinaria'!J$22</f>
        <v>1.9</v>
      </c>
      <c r="AF22" s="302">
        <f t="shared" si="16"/>
        <v>0</v>
      </c>
      <c r="AG22" s="302">
        <f t="shared" si="17"/>
        <v>0.84</v>
      </c>
      <c r="AH22" s="302">
        <f t="shared" si="18"/>
        <v>0</v>
      </c>
      <c r="AI22" s="306">
        <f t="shared" si="19"/>
        <v>0</v>
      </c>
      <c r="AJ22" s="306">
        <f t="shared" si="20"/>
        <v>0</v>
      </c>
      <c r="AK22" s="302">
        <f t="shared" si="21"/>
        <v>0</v>
      </c>
      <c r="AL22" s="303">
        <v>180</v>
      </c>
      <c r="AM22" s="301">
        <f t="shared" si="22"/>
        <v>0</v>
      </c>
      <c r="AN22" s="305">
        <f t="shared" si="23"/>
        <v>0</v>
      </c>
      <c r="AO22" s="358">
        <f t="shared" si="24"/>
        <v>0</v>
      </c>
    </row>
    <row r="23" spans="1:41">
      <c r="A23" s="344">
        <v>0</v>
      </c>
      <c r="B23" s="299" t="s">
        <v>434</v>
      </c>
      <c r="C23" s="300" t="s">
        <v>417</v>
      </c>
      <c r="D23" s="300" t="s">
        <v>407</v>
      </c>
      <c r="E23" s="301">
        <v>2625</v>
      </c>
      <c r="F23" s="302"/>
      <c r="G23" s="301">
        <f>22*4*AP$1</f>
        <v>440</v>
      </c>
      <c r="H23" s="302">
        <v>6</v>
      </c>
      <c r="I23" s="302"/>
      <c r="J23" s="303">
        <f t="shared" si="1"/>
        <v>2026</v>
      </c>
      <c r="K23" s="303">
        <f t="shared" si="1"/>
        <v>2032</v>
      </c>
      <c r="L23" s="303">
        <f t="shared" si="1"/>
        <v>6</v>
      </c>
      <c r="M23" s="301">
        <v>7</v>
      </c>
      <c r="N23" s="301">
        <f t="shared" si="2"/>
        <v>0</v>
      </c>
      <c r="O23" s="301">
        <f t="shared" si="3"/>
        <v>0</v>
      </c>
      <c r="P23" s="301">
        <f t="shared" si="4"/>
        <v>0</v>
      </c>
      <c r="Q23" s="301">
        <f t="shared" si="5"/>
        <v>0</v>
      </c>
      <c r="R23" s="301">
        <f t="shared" si="6"/>
        <v>0</v>
      </c>
      <c r="S23" s="301">
        <f t="shared" si="7"/>
        <v>0</v>
      </c>
      <c r="T23" s="301">
        <f t="shared" si="8"/>
        <v>0</v>
      </c>
      <c r="U23" s="301">
        <f t="shared" si="9"/>
        <v>0</v>
      </c>
      <c r="V23" s="304">
        <f t="shared" si="10"/>
        <v>0</v>
      </c>
      <c r="W23" s="304">
        <f t="shared" si="11"/>
        <v>0</v>
      </c>
      <c r="X23" s="345">
        <f t="shared" si="12"/>
        <v>0</v>
      </c>
      <c r="Y23" s="357">
        <f>VLOOKUP(M23,'B.0.ConsumiblesMaquinaria'!C$7:D$16,2)</f>
        <v>3.5000000000000003E-2</v>
      </c>
      <c r="Z23" s="302">
        <f t="shared" si="13"/>
        <v>0</v>
      </c>
      <c r="AA23" s="302">
        <f>+'B.0.ConsumiblesMaquinaria'!J$24</f>
        <v>4.8</v>
      </c>
      <c r="AB23" s="302">
        <f>+ROUND(Y23*AP$1*AA23,2)</f>
        <v>0.84</v>
      </c>
      <c r="AC23" s="301">
        <f>0.5*AC$102</f>
        <v>0</v>
      </c>
      <c r="AD23" s="301">
        <f t="shared" si="15"/>
        <v>0</v>
      </c>
      <c r="AE23" s="302">
        <f>+'B.0.ConsumiblesMaquinaria'!J$22</f>
        <v>1.9</v>
      </c>
      <c r="AF23" s="302">
        <f t="shared" si="16"/>
        <v>0</v>
      </c>
      <c r="AG23" s="302">
        <f t="shared" si="17"/>
        <v>0.84</v>
      </c>
      <c r="AH23" s="302">
        <f t="shared" si="18"/>
        <v>0</v>
      </c>
      <c r="AI23" s="306">
        <f t="shared" si="19"/>
        <v>0</v>
      </c>
      <c r="AJ23" s="306">
        <f t="shared" si="20"/>
        <v>0</v>
      </c>
      <c r="AK23" s="302">
        <f t="shared" si="21"/>
        <v>0</v>
      </c>
      <c r="AL23" s="303">
        <v>180</v>
      </c>
      <c r="AM23" s="301">
        <f t="shared" si="22"/>
        <v>0</v>
      </c>
      <c r="AN23" s="305">
        <f t="shared" si="23"/>
        <v>0</v>
      </c>
      <c r="AO23" s="358">
        <f t="shared" si="24"/>
        <v>0</v>
      </c>
    </row>
    <row r="24" spans="1:41">
      <c r="A24" s="344">
        <v>0</v>
      </c>
      <c r="B24" s="299" t="s">
        <v>435</v>
      </c>
      <c r="C24" s="300"/>
      <c r="D24" s="300" t="s">
        <v>436</v>
      </c>
      <c r="E24" s="301">
        <v>2187.5</v>
      </c>
      <c r="F24" s="302"/>
      <c r="G24" s="301">
        <f>22*2*AP$1</f>
        <v>220</v>
      </c>
      <c r="H24" s="302">
        <v>2</v>
      </c>
      <c r="I24" s="302"/>
      <c r="J24" s="303">
        <f t="shared" si="1"/>
        <v>2026</v>
      </c>
      <c r="K24" s="303">
        <f t="shared" si="1"/>
        <v>2032</v>
      </c>
      <c r="L24" s="303">
        <f t="shared" si="1"/>
        <v>6</v>
      </c>
      <c r="M24" s="301">
        <v>1</v>
      </c>
      <c r="N24" s="301">
        <f t="shared" si="2"/>
        <v>0</v>
      </c>
      <c r="O24" s="301">
        <f t="shared" si="3"/>
        <v>0</v>
      </c>
      <c r="P24" s="301">
        <f t="shared" si="4"/>
        <v>0</v>
      </c>
      <c r="Q24" s="301">
        <f t="shared" si="5"/>
        <v>0</v>
      </c>
      <c r="R24" s="301">
        <f t="shared" si="6"/>
        <v>0</v>
      </c>
      <c r="S24" s="301">
        <f t="shared" si="7"/>
        <v>0</v>
      </c>
      <c r="T24" s="301">
        <f t="shared" si="8"/>
        <v>0</v>
      </c>
      <c r="U24" s="301">
        <f t="shared" si="9"/>
        <v>0</v>
      </c>
      <c r="V24" s="304">
        <f t="shared" si="10"/>
        <v>0</v>
      </c>
      <c r="W24" s="304">
        <f t="shared" si="11"/>
        <v>0</v>
      </c>
      <c r="X24" s="345">
        <f t="shared" si="12"/>
        <v>0</v>
      </c>
      <c r="Y24" s="357">
        <v>0</v>
      </c>
      <c r="Z24" s="302">
        <f t="shared" si="13"/>
        <v>0</v>
      </c>
      <c r="AA24" s="302">
        <v>0</v>
      </c>
      <c r="AB24" s="302">
        <f t="shared" si="14"/>
        <v>0</v>
      </c>
      <c r="AC24" s="301">
        <f>1.5*AC$102</f>
        <v>0</v>
      </c>
      <c r="AD24" s="301">
        <f t="shared" si="15"/>
        <v>0</v>
      </c>
      <c r="AE24" s="302">
        <f>+'B.0.ConsumiblesMaquinaria'!J$22</f>
        <v>1.9</v>
      </c>
      <c r="AF24" s="302">
        <f t="shared" si="16"/>
        <v>0</v>
      </c>
      <c r="AG24" s="302">
        <f t="shared" si="17"/>
        <v>0</v>
      </c>
      <c r="AH24" s="302">
        <f t="shared" si="18"/>
        <v>0</v>
      </c>
      <c r="AI24" s="306">
        <f t="shared" si="19"/>
        <v>0</v>
      </c>
      <c r="AJ24" s="306">
        <f t="shared" si="20"/>
        <v>0</v>
      </c>
      <c r="AK24" s="302">
        <f t="shared" si="21"/>
        <v>0</v>
      </c>
      <c r="AL24" s="303">
        <v>180</v>
      </c>
      <c r="AM24" s="301">
        <f t="shared" si="22"/>
        <v>0</v>
      </c>
      <c r="AN24" s="305">
        <f t="shared" si="23"/>
        <v>0</v>
      </c>
      <c r="AO24" s="358">
        <f t="shared" si="24"/>
        <v>0</v>
      </c>
    </row>
    <row r="25" spans="1:41">
      <c r="A25" s="344">
        <v>0</v>
      </c>
      <c r="B25" s="346" t="s">
        <v>437</v>
      </c>
      <c r="C25" s="347"/>
      <c r="D25" s="347" t="s">
        <v>438</v>
      </c>
      <c r="E25" s="348">
        <v>1112.5</v>
      </c>
      <c r="F25" s="349"/>
      <c r="G25" s="348">
        <f>22*2*AP$1</f>
        <v>220</v>
      </c>
      <c r="H25" s="349">
        <v>2</v>
      </c>
      <c r="I25" s="349"/>
      <c r="J25" s="350">
        <f t="shared" si="1"/>
        <v>2026</v>
      </c>
      <c r="K25" s="350">
        <f t="shared" si="1"/>
        <v>2032</v>
      </c>
      <c r="L25" s="350">
        <f t="shared" si="1"/>
        <v>6</v>
      </c>
      <c r="M25" s="348">
        <v>0</v>
      </c>
      <c r="N25" s="348">
        <f t="shared" si="2"/>
        <v>0</v>
      </c>
      <c r="O25" s="348">
        <f t="shared" si="3"/>
        <v>0</v>
      </c>
      <c r="P25" s="348">
        <f t="shared" si="4"/>
        <v>0</v>
      </c>
      <c r="Q25" s="348">
        <f t="shared" si="5"/>
        <v>0</v>
      </c>
      <c r="R25" s="348">
        <f t="shared" si="6"/>
        <v>0</v>
      </c>
      <c r="S25" s="348">
        <f>(R25+P25)</f>
        <v>0</v>
      </c>
      <c r="T25" s="348">
        <f t="shared" si="8"/>
        <v>0</v>
      </c>
      <c r="U25" s="348">
        <f t="shared" si="9"/>
        <v>0</v>
      </c>
      <c r="V25" s="351">
        <f t="shared" si="10"/>
        <v>0</v>
      </c>
      <c r="W25" s="351">
        <f t="shared" si="11"/>
        <v>0</v>
      </c>
      <c r="X25" s="352">
        <f t="shared" si="12"/>
        <v>0</v>
      </c>
      <c r="Y25" s="359">
        <v>0</v>
      </c>
      <c r="Z25" s="349">
        <f t="shared" si="13"/>
        <v>0</v>
      </c>
      <c r="AA25" s="349">
        <v>0</v>
      </c>
      <c r="AB25" s="349">
        <f t="shared" si="14"/>
        <v>0</v>
      </c>
      <c r="AC25" s="348">
        <f>0*AC$102</f>
        <v>0</v>
      </c>
      <c r="AD25" s="348">
        <f t="shared" si="15"/>
        <v>0</v>
      </c>
      <c r="AE25" s="349">
        <f>+'B.0.ConsumiblesMaquinaria'!J$22</f>
        <v>1.9</v>
      </c>
      <c r="AF25" s="349">
        <f t="shared" si="16"/>
        <v>0</v>
      </c>
      <c r="AG25" s="349">
        <f t="shared" si="17"/>
        <v>0</v>
      </c>
      <c r="AH25" s="349">
        <f t="shared" si="18"/>
        <v>0</v>
      </c>
      <c r="AI25" s="360">
        <f t="shared" si="19"/>
        <v>0</v>
      </c>
      <c r="AJ25" s="360">
        <f t="shared" si="20"/>
        <v>0</v>
      </c>
      <c r="AK25" s="349">
        <f t="shared" si="21"/>
        <v>0</v>
      </c>
      <c r="AL25" s="350">
        <v>180</v>
      </c>
      <c r="AM25" s="348">
        <f t="shared" si="22"/>
        <v>0</v>
      </c>
      <c r="AN25" s="361">
        <f t="shared" si="23"/>
        <v>0</v>
      </c>
      <c r="AO25" s="362">
        <f t="shared" si="24"/>
        <v>0</v>
      </c>
    </row>
    <row r="26" spans="1:41">
      <c r="A26" s="712" t="s">
        <v>439</v>
      </c>
      <c r="B26" s="713"/>
      <c r="C26" s="713"/>
      <c r="D26" s="93"/>
      <c r="E26" s="93"/>
      <c r="F26" s="93"/>
      <c r="G26" s="93"/>
      <c r="H26" s="93"/>
      <c r="I26" s="93"/>
      <c r="J26" s="96"/>
      <c r="K26" s="96"/>
      <c r="L26" s="96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365"/>
    </row>
    <row r="27" spans="1:41">
      <c r="A27" s="344">
        <v>0</v>
      </c>
      <c r="B27" s="337" t="s">
        <v>440</v>
      </c>
      <c r="C27" s="338" t="s">
        <v>406</v>
      </c>
      <c r="D27" s="338" t="s">
        <v>441</v>
      </c>
      <c r="E27" s="339">
        <v>862.5</v>
      </c>
      <c r="F27" s="340"/>
      <c r="G27" s="339">
        <f>22*4*AP$1</f>
        <v>440</v>
      </c>
      <c r="H27" s="340">
        <v>4</v>
      </c>
      <c r="I27" s="340"/>
      <c r="J27" s="341">
        <f t="shared" ref="J27:L30" si="25">J$4</f>
        <v>2026</v>
      </c>
      <c r="K27" s="341">
        <f t="shared" si="25"/>
        <v>2032</v>
      </c>
      <c r="L27" s="341">
        <f t="shared" si="25"/>
        <v>6</v>
      </c>
      <c r="M27" s="339">
        <v>2</v>
      </c>
      <c r="N27" s="339">
        <f t="shared" si="2"/>
        <v>0</v>
      </c>
      <c r="O27" s="339">
        <f t="shared" ref="O27:O30" si="26">IF(A27&gt;0,E27/H27,0)</f>
        <v>0</v>
      </c>
      <c r="P27" s="339">
        <f t="shared" ref="P27:P30" si="27">O27*A27</f>
        <v>0</v>
      </c>
      <c r="Q27" s="339">
        <f t="shared" ref="Q27:Q30" si="28">IF(A27&gt;0,-PMT($Q$6,H27,E27)-O27,0)</f>
        <v>0</v>
      </c>
      <c r="R27" s="339">
        <f t="shared" ref="R27:R30" si="29">Q27*A27</f>
        <v>0</v>
      </c>
      <c r="S27" s="339">
        <f t="shared" ref="S27:S30" si="30">(R27+P27)</f>
        <v>0</v>
      </c>
      <c r="T27" s="339">
        <f t="shared" ref="T27:T30" si="31">O27*T$6</f>
        <v>0</v>
      </c>
      <c r="U27" s="339">
        <f t="shared" ref="U27:U30" si="32">T27*A27</f>
        <v>0</v>
      </c>
      <c r="V27" s="342">
        <f t="shared" si="10"/>
        <v>0</v>
      </c>
      <c r="W27" s="342">
        <f t="shared" ref="W27:W30" si="33">IF(A27&gt;0,(O27+Q27+T27),0)</f>
        <v>0</v>
      </c>
      <c r="X27" s="343">
        <f t="shared" ref="X27:X30" si="34">(O27+Q27+T27)*A27</f>
        <v>0</v>
      </c>
      <c r="Y27" s="353">
        <f>VLOOKUP(M27,'B.0.ConsumiblesMaquinaria'!C$7:D$16,2)</f>
        <v>3.5000000000000003E-2</v>
      </c>
      <c r="Z27" s="340">
        <f t="shared" si="13"/>
        <v>0</v>
      </c>
      <c r="AA27" s="340">
        <f>+'B.0.ConsumiblesMaquinaria'!J$23</f>
        <v>9.879999999999999</v>
      </c>
      <c r="AB27" s="340">
        <f>+ROUND(Y27*AP$1*AA27,2)</f>
        <v>1.73</v>
      </c>
      <c r="AC27" s="339">
        <f>0.300000011920929*AC$102</f>
        <v>0</v>
      </c>
      <c r="AD27" s="339">
        <f t="shared" si="15"/>
        <v>0</v>
      </c>
      <c r="AE27" s="340">
        <f>+'B.0.ConsumiblesMaquinaria'!J$22</f>
        <v>1.9</v>
      </c>
      <c r="AF27" s="340">
        <f t="shared" si="16"/>
        <v>0</v>
      </c>
      <c r="AG27" s="340">
        <f t="shared" ref="AG27:AG30" si="35">AF27+AB27</f>
        <v>1.73</v>
      </c>
      <c r="AH27" s="340">
        <f t="shared" ref="AH27:AH30" si="36">(AG27*AL27)*A27</f>
        <v>0</v>
      </c>
      <c r="AI27" s="354">
        <f t="shared" ref="AI27:AI30" si="37">IF(A27&gt;0,E27*AI$6,0)</f>
        <v>0</v>
      </c>
      <c r="AJ27" s="354">
        <f t="shared" ref="AJ27:AJ30" si="38">(AI27*AL27)*A27</f>
        <v>0</v>
      </c>
      <c r="AK27" s="340">
        <f t="shared" ref="AK27:AK30" si="39">IF(A27&gt;0,(AF27+AB27+AI27),0)</f>
        <v>0</v>
      </c>
      <c r="AL27" s="341">
        <v>90</v>
      </c>
      <c r="AM27" s="339">
        <f t="shared" ref="AM27:AM30" si="40">AL27*AK27</f>
        <v>0</v>
      </c>
      <c r="AN27" s="355">
        <f t="shared" ref="AN27:AN30" si="41">AM27*A27</f>
        <v>0</v>
      </c>
      <c r="AO27" s="356">
        <f t="shared" ref="AO27:AO30" si="42">AN27+X27</f>
        <v>0</v>
      </c>
    </row>
    <row r="28" spans="1:41">
      <c r="A28" s="344">
        <v>0</v>
      </c>
      <c r="B28" s="299" t="s">
        <v>442</v>
      </c>
      <c r="C28" s="300" t="s">
        <v>406</v>
      </c>
      <c r="D28" s="300" t="s">
        <v>443</v>
      </c>
      <c r="E28" s="301">
        <v>3200</v>
      </c>
      <c r="F28" s="302"/>
      <c r="G28" s="301">
        <f t="shared" si="0"/>
        <v>880</v>
      </c>
      <c r="H28" s="302">
        <v>8</v>
      </c>
      <c r="I28" s="302"/>
      <c r="J28" s="303">
        <f t="shared" si="25"/>
        <v>2026</v>
      </c>
      <c r="K28" s="303">
        <f t="shared" si="25"/>
        <v>2032</v>
      </c>
      <c r="L28" s="303">
        <f t="shared" si="25"/>
        <v>6</v>
      </c>
      <c r="M28" s="301">
        <v>5.5</v>
      </c>
      <c r="N28" s="301">
        <f t="shared" si="2"/>
        <v>0</v>
      </c>
      <c r="O28" s="301">
        <f t="shared" si="26"/>
        <v>0</v>
      </c>
      <c r="P28" s="301">
        <f t="shared" si="27"/>
        <v>0</v>
      </c>
      <c r="Q28" s="301">
        <f t="shared" si="28"/>
        <v>0</v>
      </c>
      <c r="R28" s="301">
        <f t="shared" si="29"/>
        <v>0</v>
      </c>
      <c r="S28" s="301">
        <f t="shared" si="30"/>
        <v>0</v>
      </c>
      <c r="T28" s="301">
        <f t="shared" si="31"/>
        <v>0</v>
      </c>
      <c r="U28" s="301">
        <f t="shared" si="32"/>
        <v>0</v>
      </c>
      <c r="V28" s="304">
        <f t="shared" si="10"/>
        <v>0</v>
      </c>
      <c r="W28" s="304">
        <f t="shared" si="33"/>
        <v>0</v>
      </c>
      <c r="X28" s="345">
        <f t="shared" si="34"/>
        <v>0</v>
      </c>
      <c r="Y28" s="357">
        <f>VLOOKUP(M28,'B.0.ConsumiblesMaquinaria'!C$7:D$16,2)</f>
        <v>3.5000000000000003E-2</v>
      </c>
      <c r="Z28" s="302">
        <f t="shared" si="13"/>
        <v>0</v>
      </c>
      <c r="AA28" s="302">
        <f>+'B.0.ConsumiblesMaquinaria'!J$23</f>
        <v>9.879999999999999</v>
      </c>
      <c r="AB28" s="302">
        <f>+ROUND(Y28*AP$1*AA28,2)</f>
        <v>1.73</v>
      </c>
      <c r="AC28" s="301">
        <f>1.29999995231628*AC$102</f>
        <v>0</v>
      </c>
      <c r="AD28" s="301">
        <f t="shared" si="15"/>
        <v>0</v>
      </c>
      <c r="AE28" s="302">
        <f>+'B.0.ConsumiblesMaquinaria'!J$22</f>
        <v>1.9</v>
      </c>
      <c r="AF28" s="302">
        <f t="shared" si="16"/>
        <v>0</v>
      </c>
      <c r="AG28" s="302">
        <f t="shared" si="35"/>
        <v>1.73</v>
      </c>
      <c r="AH28" s="302">
        <f t="shared" si="36"/>
        <v>0</v>
      </c>
      <c r="AI28" s="306">
        <f t="shared" si="37"/>
        <v>0</v>
      </c>
      <c r="AJ28" s="306">
        <f t="shared" si="38"/>
        <v>0</v>
      </c>
      <c r="AK28" s="302">
        <f t="shared" si="39"/>
        <v>0</v>
      </c>
      <c r="AL28" s="303">
        <v>90</v>
      </c>
      <c r="AM28" s="301">
        <f t="shared" si="40"/>
        <v>0</v>
      </c>
      <c r="AN28" s="305">
        <f t="shared" si="41"/>
        <v>0</v>
      </c>
      <c r="AO28" s="358">
        <f t="shared" si="42"/>
        <v>0</v>
      </c>
    </row>
    <row r="29" spans="1:41">
      <c r="A29" s="344">
        <v>0</v>
      </c>
      <c r="B29" s="299" t="s">
        <v>444</v>
      </c>
      <c r="C29" s="300" t="s">
        <v>406</v>
      </c>
      <c r="D29" s="300" t="s">
        <v>445</v>
      </c>
      <c r="E29" s="301">
        <v>4125</v>
      </c>
      <c r="F29" s="302"/>
      <c r="G29" s="301">
        <f t="shared" si="0"/>
        <v>880</v>
      </c>
      <c r="H29" s="302">
        <v>8</v>
      </c>
      <c r="I29" s="302"/>
      <c r="J29" s="303">
        <f t="shared" si="25"/>
        <v>2026</v>
      </c>
      <c r="K29" s="303">
        <f t="shared" si="25"/>
        <v>2032</v>
      </c>
      <c r="L29" s="303">
        <f t="shared" si="25"/>
        <v>6</v>
      </c>
      <c r="M29" s="301">
        <v>8</v>
      </c>
      <c r="N29" s="301">
        <f t="shared" si="2"/>
        <v>0</v>
      </c>
      <c r="O29" s="301">
        <f t="shared" si="26"/>
        <v>0</v>
      </c>
      <c r="P29" s="301">
        <f t="shared" si="27"/>
        <v>0</v>
      </c>
      <c r="Q29" s="301">
        <f t="shared" si="28"/>
        <v>0</v>
      </c>
      <c r="R29" s="301">
        <f t="shared" si="29"/>
        <v>0</v>
      </c>
      <c r="S29" s="301">
        <f t="shared" si="30"/>
        <v>0</v>
      </c>
      <c r="T29" s="301">
        <f t="shared" si="31"/>
        <v>0</v>
      </c>
      <c r="U29" s="301">
        <f t="shared" si="32"/>
        <v>0</v>
      </c>
      <c r="V29" s="304">
        <f t="shared" si="10"/>
        <v>0</v>
      </c>
      <c r="W29" s="304">
        <f t="shared" si="33"/>
        <v>0</v>
      </c>
      <c r="X29" s="345">
        <f t="shared" si="34"/>
        <v>0</v>
      </c>
      <c r="Y29" s="357">
        <f>VLOOKUP(M29,'B.0.ConsumiblesMaquinaria'!C$7:D$16,2)</f>
        <v>3.5000000000000003E-2</v>
      </c>
      <c r="Z29" s="302">
        <f t="shared" si="13"/>
        <v>0</v>
      </c>
      <c r="AA29" s="302">
        <f>+'B.0.ConsumiblesMaquinaria'!J$23</f>
        <v>9.879999999999999</v>
      </c>
      <c r="AB29" s="302">
        <f>+ROUND(Y29*AP$1*AA29,2)</f>
        <v>1.73</v>
      </c>
      <c r="AC29" s="301">
        <f>1.2*AC$102</f>
        <v>0</v>
      </c>
      <c r="AD29" s="301">
        <f t="shared" si="15"/>
        <v>0</v>
      </c>
      <c r="AE29" s="302">
        <f>+'B.0.ConsumiblesMaquinaria'!J$22</f>
        <v>1.9</v>
      </c>
      <c r="AF29" s="302">
        <f t="shared" si="16"/>
        <v>0</v>
      </c>
      <c r="AG29" s="302">
        <f t="shared" si="35"/>
        <v>1.73</v>
      </c>
      <c r="AH29" s="302">
        <f t="shared" si="36"/>
        <v>0</v>
      </c>
      <c r="AI29" s="306">
        <f t="shared" si="37"/>
        <v>0</v>
      </c>
      <c r="AJ29" s="306">
        <f t="shared" si="38"/>
        <v>0</v>
      </c>
      <c r="AK29" s="302">
        <f t="shared" si="39"/>
        <v>0</v>
      </c>
      <c r="AL29" s="303">
        <v>90</v>
      </c>
      <c r="AM29" s="301">
        <f t="shared" si="40"/>
        <v>0</v>
      </c>
      <c r="AN29" s="305">
        <f t="shared" si="41"/>
        <v>0</v>
      </c>
      <c r="AO29" s="358">
        <f t="shared" si="42"/>
        <v>0</v>
      </c>
    </row>
    <row r="30" spans="1:41">
      <c r="A30" s="344">
        <v>0</v>
      </c>
      <c r="B30" s="346" t="s">
        <v>446</v>
      </c>
      <c r="C30" s="347" t="s">
        <v>406</v>
      </c>
      <c r="D30" s="347" t="s">
        <v>370</v>
      </c>
      <c r="E30" s="348">
        <v>1968.75</v>
      </c>
      <c r="F30" s="349"/>
      <c r="G30" s="348">
        <f>22*4*AP$1</f>
        <v>440</v>
      </c>
      <c r="H30" s="349">
        <v>6</v>
      </c>
      <c r="I30" s="349"/>
      <c r="J30" s="350">
        <f t="shared" si="25"/>
        <v>2026</v>
      </c>
      <c r="K30" s="350">
        <f t="shared" si="25"/>
        <v>2032</v>
      </c>
      <c r="L30" s="350">
        <f t="shared" si="25"/>
        <v>6</v>
      </c>
      <c r="M30" s="348">
        <v>3</v>
      </c>
      <c r="N30" s="348">
        <f t="shared" si="2"/>
        <v>0</v>
      </c>
      <c r="O30" s="348">
        <f t="shared" si="26"/>
        <v>0</v>
      </c>
      <c r="P30" s="348">
        <f t="shared" si="27"/>
        <v>0</v>
      </c>
      <c r="Q30" s="348">
        <f t="shared" si="28"/>
        <v>0</v>
      </c>
      <c r="R30" s="348">
        <f t="shared" si="29"/>
        <v>0</v>
      </c>
      <c r="S30" s="348">
        <f t="shared" si="30"/>
        <v>0</v>
      </c>
      <c r="T30" s="348">
        <f t="shared" si="31"/>
        <v>0</v>
      </c>
      <c r="U30" s="348">
        <f t="shared" si="32"/>
        <v>0</v>
      </c>
      <c r="V30" s="351">
        <f t="shared" si="10"/>
        <v>0</v>
      </c>
      <c r="W30" s="351">
        <f t="shared" si="33"/>
        <v>0</v>
      </c>
      <c r="X30" s="352">
        <f t="shared" si="34"/>
        <v>0</v>
      </c>
      <c r="Y30" s="363">
        <f>VLOOKUP(M30,'B.0.ConsumiblesMaquinaria'!C$7:D$16,2)</f>
        <v>3.5000000000000003E-2</v>
      </c>
      <c r="Z30" s="349">
        <f t="shared" si="13"/>
        <v>0</v>
      </c>
      <c r="AA30" s="349">
        <f>+'B.0.ConsumiblesMaquinaria'!J$23</f>
        <v>9.879999999999999</v>
      </c>
      <c r="AB30" s="348">
        <f>+ROUND(Y30*AP$1*AA30,2)</f>
        <v>1.73</v>
      </c>
      <c r="AC30" s="348">
        <f>1.5*AC$102</f>
        <v>0</v>
      </c>
      <c r="AD30" s="348">
        <f t="shared" si="15"/>
        <v>0</v>
      </c>
      <c r="AE30" s="349">
        <f>+'B.0.ConsumiblesMaquinaria'!J$22</f>
        <v>1.9</v>
      </c>
      <c r="AF30" s="349">
        <f t="shared" si="16"/>
        <v>0</v>
      </c>
      <c r="AG30" s="349">
        <f t="shared" si="35"/>
        <v>1.73</v>
      </c>
      <c r="AH30" s="349">
        <f t="shared" si="36"/>
        <v>0</v>
      </c>
      <c r="AI30" s="360">
        <f t="shared" si="37"/>
        <v>0</v>
      </c>
      <c r="AJ30" s="360">
        <f t="shared" si="38"/>
        <v>0</v>
      </c>
      <c r="AK30" s="349">
        <f t="shared" si="39"/>
        <v>0</v>
      </c>
      <c r="AL30" s="350">
        <v>90</v>
      </c>
      <c r="AM30" s="348">
        <f t="shared" si="40"/>
        <v>0</v>
      </c>
      <c r="AN30" s="361">
        <f t="shared" si="41"/>
        <v>0</v>
      </c>
      <c r="AO30" s="362">
        <f t="shared" si="42"/>
        <v>0</v>
      </c>
    </row>
    <row r="31" spans="1:41">
      <c r="A31" s="712" t="s">
        <v>447</v>
      </c>
      <c r="B31" s="713"/>
      <c r="C31" s="713"/>
      <c r="D31" s="93"/>
      <c r="E31" s="93"/>
      <c r="F31" s="93"/>
      <c r="G31" s="93"/>
      <c r="H31" s="93"/>
      <c r="I31" s="93"/>
      <c r="J31" s="96"/>
      <c r="K31" s="96"/>
      <c r="L31" s="96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365"/>
    </row>
    <row r="32" spans="1:41">
      <c r="A32" s="344">
        <v>0</v>
      </c>
      <c r="B32" s="337" t="s">
        <v>448</v>
      </c>
      <c r="C32" s="338" t="s">
        <v>342</v>
      </c>
      <c r="D32" s="338" t="s">
        <v>449</v>
      </c>
      <c r="E32" s="339">
        <v>411.25</v>
      </c>
      <c r="F32" s="340"/>
      <c r="G32" s="339">
        <f t="shared" si="0"/>
        <v>880</v>
      </c>
      <c r="H32" s="340">
        <v>4</v>
      </c>
      <c r="I32" s="340"/>
      <c r="J32" s="341">
        <f t="shared" ref="J32:L47" si="43">J$4</f>
        <v>2026</v>
      </c>
      <c r="K32" s="341">
        <f t="shared" si="43"/>
        <v>2032</v>
      </c>
      <c r="L32" s="341">
        <f t="shared" si="43"/>
        <v>6</v>
      </c>
      <c r="M32" s="339">
        <v>0</v>
      </c>
      <c r="N32" s="339">
        <f t="shared" si="2"/>
        <v>0</v>
      </c>
      <c r="O32" s="339">
        <f t="shared" ref="O32:O47" si="44">IF(A32&gt;0,E32/H32,0)</f>
        <v>0</v>
      </c>
      <c r="P32" s="339">
        <f t="shared" ref="P32:P47" si="45">O32*A32</f>
        <v>0</v>
      </c>
      <c r="Q32" s="339">
        <f t="shared" ref="Q32:Q47" si="46">IF(A32&gt;0,-PMT($Q$6,H32,E32)-O32,0)</f>
        <v>0</v>
      </c>
      <c r="R32" s="339">
        <f t="shared" ref="R32:R47" si="47">Q32*A32</f>
        <v>0</v>
      </c>
      <c r="S32" s="339">
        <f t="shared" ref="S32:S47" si="48">(R32+P32)</f>
        <v>0</v>
      </c>
      <c r="T32" s="339">
        <f t="shared" ref="T32:T47" si="49">O32*T$6</f>
        <v>0</v>
      </c>
      <c r="U32" s="339">
        <f t="shared" ref="U32:U47" si="50">T32*A32</f>
        <v>0</v>
      </c>
      <c r="V32" s="342">
        <f t="shared" si="10"/>
        <v>0</v>
      </c>
      <c r="W32" s="342">
        <f t="shared" ref="W32:W47" si="51">IF(A32&gt;0,(O32+Q32+T32),0)</f>
        <v>0</v>
      </c>
      <c r="X32" s="343">
        <f t="shared" ref="X32:X47" si="52">(O32+Q32+T32)*A32</f>
        <v>0</v>
      </c>
      <c r="Y32" s="353">
        <f>VLOOKUP(M32,'B.0.ConsumiblesMaquinaria'!C$7:D$16,2)</f>
        <v>3.5000000000000003E-2</v>
      </c>
      <c r="Z32" s="340">
        <f t="shared" si="13"/>
        <v>0</v>
      </c>
      <c r="AA32" s="340">
        <v>0</v>
      </c>
      <c r="AB32" s="340">
        <f>+ROUND(Y32*AP$1*AA32,2)</f>
        <v>0</v>
      </c>
      <c r="AC32" s="339">
        <f>0*AC$102</f>
        <v>0</v>
      </c>
      <c r="AD32" s="339">
        <f t="shared" si="15"/>
        <v>0</v>
      </c>
      <c r="AE32" s="340">
        <v>0</v>
      </c>
      <c r="AF32" s="340">
        <f t="shared" si="16"/>
        <v>0</v>
      </c>
      <c r="AG32" s="340">
        <f t="shared" ref="AG32:AG47" si="53">AF32+AB32</f>
        <v>0</v>
      </c>
      <c r="AH32" s="340">
        <f t="shared" ref="AH32:AH47" si="54">(AG32*AL32)*A32</f>
        <v>0</v>
      </c>
      <c r="AI32" s="354">
        <f t="shared" ref="AI32:AI47" si="55">IF(A32&gt;0,E32*AI$6,0)</f>
        <v>0</v>
      </c>
      <c r="AJ32" s="354">
        <f t="shared" ref="AJ32:AJ47" si="56">(AI32*AL32)*A32</f>
        <v>0</v>
      </c>
      <c r="AK32" s="340">
        <f t="shared" ref="AK32:AK47" si="57">IF(A32&gt;0,(AF32+AB32+AI32),0)</f>
        <v>0</v>
      </c>
      <c r="AL32" s="341">
        <v>120</v>
      </c>
      <c r="AM32" s="339">
        <f t="shared" ref="AM32:AM47" si="58">AL32*AK32</f>
        <v>0</v>
      </c>
      <c r="AN32" s="355">
        <f t="shared" ref="AN32:AN47" si="59">AM32*A32</f>
        <v>0</v>
      </c>
      <c r="AO32" s="356">
        <f t="shared" ref="AO32:AO47" si="60">AN32+X32</f>
        <v>0</v>
      </c>
    </row>
    <row r="33" spans="1:41">
      <c r="A33" s="344">
        <v>0</v>
      </c>
      <c r="B33" s="299" t="s">
        <v>450</v>
      </c>
      <c r="C33" s="300" t="s">
        <v>342</v>
      </c>
      <c r="D33" s="300" t="s">
        <v>451</v>
      </c>
      <c r="E33" s="301">
        <v>373.75</v>
      </c>
      <c r="F33" s="302"/>
      <c r="G33" s="301">
        <f t="shared" si="0"/>
        <v>880</v>
      </c>
      <c r="H33" s="302">
        <v>4</v>
      </c>
      <c r="I33" s="302"/>
      <c r="J33" s="303">
        <f t="shared" si="43"/>
        <v>2026</v>
      </c>
      <c r="K33" s="303">
        <f t="shared" si="43"/>
        <v>2032</v>
      </c>
      <c r="L33" s="303">
        <f t="shared" si="43"/>
        <v>6</v>
      </c>
      <c r="M33" s="301">
        <v>0</v>
      </c>
      <c r="N33" s="301">
        <f t="shared" si="2"/>
        <v>0</v>
      </c>
      <c r="O33" s="301">
        <f t="shared" si="44"/>
        <v>0</v>
      </c>
      <c r="P33" s="301">
        <f t="shared" si="45"/>
        <v>0</v>
      </c>
      <c r="Q33" s="301">
        <f t="shared" si="46"/>
        <v>0</v>
      </c>
      <c r="R33" s="301">
        <f t="shared" si="47"/>
        <v>0</v>
      </c>
      <c r="S33" s="301">
        <f t="shared" si="48"/>
        <v>0</v>
      </c>
      <c r="T33" s="301">
        <f t="shared" si="49"/>
        <v>0</v>
      </c>
      <c r="U33" s="301">
        <f t="shared" si="50"/>
        <v>0</v>
      </c>
      <c r="V33" s="304">
        <f t="shared" si="10"/>
        <v>0</v>
      </c>
      <c r="W33" s="304">
        <f t="shared" si="51"/>
        <v>0</v>
      </c>
      <c r="X33" s="345">
        <f t="shared" si="52"/>
        <v>0</v>
      </c>
      <c r="Y33" s="357">
        <f>VLOOKUP(M33,'B.0.ConsumiblesMaquinaria'!C$7:D$16,2)</f>
        <v>3.5000000000000003E-2</v>
      </c>
      <c r="Z33" s="302">
        <f t="shared" si="13"/>
        <v>0</v>
      </c>
      <c r="AA33" s="302">
        <v>0</v>
      </c>
      <c r="AB33" s="302">
        <f>+ROUND(Y33*AP$1*AA33,2)</f>
        <v>0</v>
      </c>
      <c r="AC33" s="301">
        <f>0*AC$102</f>
        <v>0</v>
      </c>
      <c r="AD33" s="301">
        <f t="shared" si="15"/>
        <v>0</v>
      </c>
      <c r="AE33" s="302">
        <v>0</v>
      </c>
      <c r="AF33" s="302">
        <f t="shared" si="16"/>
        <v>0</v>
      </c>
      <c r="AG33" s="302">
        <f t="shared" si="53"/>
        <v>0</v>
      </c>
      <c r="AH33" s="302">
        <f t="shared" si="54"/>
        <v>0</v>
      </c>
      <c r="AI33" s="306">
        <f t="shared" si="55"/>
        <v>0</v>
      </c>
      <c r="AJ33" s="306">
        <f t="shared" si="56"/>
        <v>0</v>
      </c>
      <c r="AK33" s="302">
        <f t="shared" si="57"/>
        <v>0</v>
      </c>
      <c r="AL33" s="303">
        <v>120</v>
      </c>
      <c r="AM33" s="301">
        <f t="shared" si="58"/>
        <v>0</v>
      </c>
      <c r="AN33" s="305">
        <f t="shared" si="59"/>
        <v>0</v>
      </c>
      <c r="AO33" s="358">
        <f t="shared" si="60"/>
        <v>0</v>
      </c>
    </row>
    <row r="34" spans="1:41">
      <c r="A34" s="344">
        <v>0</v>
      </c>
      <c r="B34" s="299" t="s">
        <v>452</v>
      </c>
      <c r="C34" s="300" t="s">
        <v>417</v>
      </c>
      <c r="D34" s="300" t="s">
        <v>453</v>
      </c>
      <c r="E34" s="301">
        <v>479</v>
      </c>
      <c r="F34" s="302"/>
      <c r="G34" s="301">
        <f t="shared" si="0"/>
        <v>880</v>
      </c>
      <c r="H34" s="302">
        <v>2</v>
      </c>
      <c r="I34" s="302"/>
      <c r="J34" s="303">
        <f t="shared" si="43"/>
        <v>2026</v>
      </c>
      <c r="K34" s="303">
        <f t="shared" si="43"/>
        <v>2032</v>
      </c>
      <c r="L34" s="303">
        <f t="shared" si="43"/>
        <v>6</v>
      </c>
      <c r="M34" s="301">
        <v>1.79999995231628</v>
      </c>
      <c r="N34" s="301">
        <f t="shared" si="2"/>
        <v>0</v>
      </c>
      <c r="O34" s="301">
        <f t="shared" si="44"/>
        <v>0</v>
      </c>
      <c r="P34" s="301">
        <f t="shared" si="45"/>
        <v>0</v>
      </c>
      <c r="Q34" s="301">
        <f t="shared" si="46"/>
        <v>0</v>
      </c>
      <c r="R34" s="301">
        <f t="shared" si="47"/>
        <v>0</v>
      </c>
      <c r="S34" s="301">
        <f t="shared" si="48"/>
        <v>0</v>
      </c>
      <c r="T34" s="301">
        <f t="shared" si="49"/>
        <v>0</v>
      </c>
      <c r="U34" s="301">
        <f t="shared" si="50"/>
        <v>0</v>
      </c>
      <c r="V34" s="304">
        <f t="shared" si="10"/>
        <v>0</v>
      </c>
      <c r="W34" s="304">
        <f t="shared" si="51"/>
        <v>0</v>
      </c>
      <c r="X34" s="345">
        <f t="shared" si="52"/>
        <v>0</v>
      </c>
      <c r="Y34" s="357">
        <f>VLOOKUP(M34,'B.0.ConsumiblesMaquinaria'!C$7:D$16,2)</f>
        <v>3.5000000000000003E-2</v>
      </c>
      <c r="Z34" s="302">
        <f t="shared" si="13"/>
        <v>0</v>
      </c>
      <c r="AA34" s="302">
        <f>+'B.0.ConsumiblesMaquinaria'!J$24</f>
        <v>4.8</v>
      </c>
      <c r="AB34" s="302">
        <f t="shared" ref="AB34:AB47" si="61">+ROUND(Y34*AP$1*AA34,2)</f>
        <v>0.84</v>
      </c>
      <c r="AC34" s="301">
        <f>0.300000011920929*AC$102</f>
        <v>0</v>
      </c>
      <c r="AD34" s="301">
        <f t="shared" si="15"/>
        <v>0</v>
      </c>
      <c r="AE34" s="302">
        <f>+'B.0.ConsumiblesMaquinaria'!J$22</f>
        <v>1.9</v>
      </c>
      <c r="AF34" s="302">
        <f t="shared" si="16"/>
        <v>0</v>
      </c>
      <c r="AG34" s="302">
        <f t="shared" si="53"/>
        <v>0.84</v>
      </c>
      <c r="AH34" s="302">
        <f t="shared" si="54"/>
        <v>0</v>
      </c>
      <c r="AI34" s="306">
        <f t="shared" si="55"/>
        <v>0</v>
      </c>
      <c r="AJ34" s="306">
        <f t="shared" si="56"/>
        <v>0</v>
      </c>
      <c r="AK34" s="302">
        <f t="shared" si="57"/>
        <v>0</v>
      </c>
      <c r="AL34" s="303">
        <v>120</v>
      </c>
      <c r="AM34" s="301">
        <f t="shared" si="58"/>
        <v>0</v>
      </c>
      <c r="AN34" s="305">
        <f t="shared" si="59"/>
        <v>0</v>
      </c>
      <c r="AO34" s="358">
        <f t="shared" si="60"/>
        <v>0</v>
      </c>
    </row>
    <row r="35" spans="1:41">
      <c r="A35" s="344">
        <v>0</v>
      </c>
      <c r="B35" s="299" t="s">
        <v>454</v>
      </c>
      <c r="C35" s="300" t="s">
        <v>417</v>
      </c>
      <c r="D35" s="300" t="s">
        <v>455</v>
      </c>
      <c r="E35" s="301">
        <v>809</v>
      </c>
      <c r="F35" s="302"/>
      <c r="G35" s="301">
        <f t="shared" si="0"/>
        <v>880</v>
      </c>
      <c r="H35" s="302">
        <v>2</v>
      </c>
      <c r="I35" s="302"/>
      <c r="J35" s="303">
        <f t="shared" si="43"/>
        <v>2026</v>
      </c>
      <c r="K35" s="303">
        <f t="shared" si="43"/>
        <v>2032</v>
      </c>
      <c r="L35" s="303">
        <f t="shared" si="43"/>
        <v>6</v>
      </c>
      <c r="M35" s="301">
        <v>3.5</v>
      </c>
      <c r="N35" s="301">
        <f t="shared" si="2"/>
        <v>0</v>
      </c>
      <c r="O35" s="301">
        <f t="shared" si="44"/>
        <v>0</v>
      </c>
      <c r="P35" s="301">
        <f t="shared" si="45"/>
        <v>0</v>
      </c>
      <c r="Q35" s="301">
        <f t="shared" si="46"/>
        <v>0</v>
      </c>
      <c r="R35" s="301">
        <f t="shared" si="47"/>
        <v>0</v>
      </c>
      <c r="S35" s="301">
        <f t="shared" si="48"/>
        <v>0</v>
      </c>
      <c r="T35" s="301">
        <f t="shared" si="49"/>
        <v>0</v>
      </c>
      <c r="U35" s="301">
        <f t="shared" si="50"/>
        <v>0</v>
      </c>
      <c r="V35" s="304">
        <f t="shared" si="10"/>
        <v>0</v>
      </c>
      <c r="W35" s="304">
        <f t="shared" si="51"/>
        <v>0</v>
      </c>
      <c r="X35" s="345">
        <f t="shared" si="52"/>
        <v>0</v>
      </c>
      <c r="Y35" s="357">
        <f>VLOOKUP(M35,'B.0.ConsumiblesMaquinaria'!C$7:D$16,2)</f>
        <v>3.5000000000000003E-2</v>
      </c>
      <c r="Z35" s="302">
        <f t="shared" si="13"/>
        <v>0</v>
      </c>
      <c r="AA35" s="302">
        <f>+'B.0.ConsumiblesMaquinaria'!J$24</f>
        <v>4.8</v>
      </c>
      <c r="AB35" s="302">
        <f t="shared" si="61"/>
        <v>0.84</v>
      </c>
      <c r="AC35" s="301">
        <f>0.300000011920929*AC$102</f>
        <v>0</v>
      </c>
      <c r="AD35" s="301">
        <f t="shared" si="15"/>
        <v>0</v>
      </c>
      <c r="AE35" s="302">
        <f>+'B.0.ConsumiblesMaquinaria'!J$22</f>
        <v>1.9</v>
      </c>
      <c r="AF35" s="302">
        <f t="shared" si="16"/>
        <v>0</v>
      </c>
      <c r="AG35" s="302">
        <f t="shared" si="53"/>
        <v>0.84</v>
      </c>
      <c r="AH35" s="302">
        <f t="shared" si="54"/>
        <v>0</v>
      </c>
      <c r="AI35" s="306">
        <f t="shared" si="55"/>
        <v>0</v>
      </c>
      <c r="AJ35" s="306">
        <f t="shared" si="56"/>
        <v>0</v>
      </c>
      <c r="AK35" s="302">
        <f t="shared" si="57"/>
        <v>0</v>
      </c>
      <c r="AL35" s="303">
        <v>120</v>
      </c>
      <c r="AM35" s="301">
        <f t="shared" si="58"/>
        <v>0</v>
      </c>
      <c r="AN35" s="305">
        <f t="shared" si="59"/>
        <v>0</v>
      </c>
      <c r="AO35" s="358">
        <f t="shared" si="60"/>
        <v>0</v>
      </c>
    </row>
    <row r="36" spans="1:41">
      <c r="A36" s="344">
        <v>0</v>
      </c>
      <c r="B36" s="299" t="s">
        <v>456</v>
      </c>
      <c r="C36" s="300" t="s">
        <v>417</v>
      </c>
      <c r="D36" s="300" t="s">
        <v>455</v>
      </c>
      <c r="E36" s="301">
        <v>919</v>
      </c>
      <c r="F36" s="302"/>
      <c r="G36" s="301">
        <f t="shared" si="0"/>
        <v>880</v>
      </c>
      <c r="H36" s="302">
        <v>4</v>
      </c>
      <c r="I36" s="302"/>
      <c r="J36" s="303">
        <f t="shared" si="43"/>
        <v>2026</v>
      </c>
      <c r="K36" s="303">
        <f t="shared" si="43"/>
        <v>2032</v>
      </c>
      <c r="L36" s="303">
        <f t="shared" si="43"/>
        <v>6</v>
      </c>
      <c r="M36" s="301">
        <v>4.0999999046325701</v>
      </c>
      <c r="N36" s="301">
        <f t="shared" si="2"/>
        <v>0</v>
      </c>
      <c r="O36" s="301">
        <f t="shared" si="44"/>
        <v>0</v>
      </c>
      <c r="P36" s="301">
        <f t="shared" si="45"/>
        <v>0</v>
      </c>
      <c r="Q36" s="301">
        <f t="shared" si="46"/>
        <v>0</v>
      </c>
      <c r="R36" s="301">
        <f t="shared" si="47"/>
        <v>0</v>
      </c>
      <c r="S36" s="301">
        <f t="shared" si="48"/>
        <v>0</v>
      </c>
      <c r="T36" s="301">
        <f t="shared" si="49"/>
        <v>0</v>
      </c>
      <c r="U36" s="301">
        <f t="shared" si="50"/>
        <v>0</v>
      </c>
      <c r="V36" s="304">
        <f t="shared" si="10"/>
        <v>0</v>
      </c>
      <c r="W36" s="304">
        <f t="shared" si="51"/>
        <v>0</v>
      </c>
      <c r="X36" s="345">
        <f t="shared" si="52"/>
        <v>0</v>
      </c>
      <c r="Y36" s="357">
        <f>VLOOKUP(M36,'B.0.ConsumiblesMaquinaria'!C$7:D$16,2)</f>
        <v>3.5000000000000003E-2</v>
      </c>
      <c r="Z36" s="302">
        <f t="shared" si="13"/>
        <v>0</v>
      </c>
      <c r="AA36" s="302">
        <f>+'B.0.ConsumiblesMaquinaria'!J$24</f>
        <v>4.8</v>
      </c>
      <c r="AB36" s="302">
        <f t="shared" si="61"/>
        <v>0.84</v>
      </c>
      <c r="AC36" s="301">
        <f>0.5*AC$102</f>
        <v>0</v>
      </c>
      <c r="AD36" s="301">
        <f t="shared" si="15"/>
        <v>0</v>
      </c>
      <c r="AE36" s="302">
        <f>+'B.0.ConsumiblesMaquinaria'!J$22</f>
        <v>1.9</v>
      </c>
      <c r="AF36" s="302">
        <f t="shared" si="16"/>
        <v>0</v>
      </c>
      <c r="AG36" s="302">
        <f t="shared" si="53"/>
        <v>0.84</v>
      </c>
      <c r="AH36" s="302">
        <f t="shared" si="54"/>
        <v>0</v>
      </c>
      <c r="AI36" s="306">
        <f t="shared" si="55"/>
        <v>0</v>
      </c>
      <c r="AJ36" s="306">
        <f t="shared" si="56"/>
        <v>0</v>
      </c>
      <c r="AK36" s="302">
        <f t="shared" si="57"/>
        <v>0</v>
      </c>
      <c r="AL36" s="303">
        <v>120</v>
      </c>
      <c r="AM36" s="301">
        <f t="shared" si="58"/>
        <v>0</v>
      </c>
      <c r="AN36" s="305">
        <f t="shared" si="59"/>
        <v>0</v>
      </c>
      <c r="AO36" s="358">
        <f t="shared" si="60"/>
        <v>0</v>
      </c>
    </row>
    <row r="37" spans="1:41">
      <c r="A37" s="344">
        <v>0</v>
      </c>
      <c r="B37" s="299" t="s">
        <v>457</v>
      </c>
      <c r="C37" s="300" t="s">
        <v>417</v>
      </c>
      <c r="D37" s="300" t="s">
        <v>455</v>
      </c>
      <c r="E37" s="301">
        <v>979</v>
      </c>
      <c r="F37" s="302"/>
      <c r="G37" s="301">
        <f t="shared" si="0"/>
        <v>880</v>
      </c>
      <c r="H37" s="302">
        <v>2</v>
      </c>
      <c r="I37" s="302"/>
      <c r="J37" s="303">
        <f t="shared" si="43"/>
        <v>2026</v>
      </c>
      <c r="K37" s="303">
        <f t="shared" si="43"/>
        <v>2032</v>
      </c>
      <c r="L37" s="303">
        <f t="shared" si="43"/>
        <v>6</v>
      </c>
      <c r="M37" s="301">
        <v>4.5999999046325701</v>
      </c>
      <c r="N37" s="301">
        <f t="shared" si="2"/>
        <v>0</v>
      </c>
      <c r="O37" s="301">
        <f t="shared" si="44"/>
        <v>0</v>
      </c>
      <c r="P37" s="301">
        <f t="shared" si="45"/>
        <v>0</v>
      </c>
      <c r="Q37" s="301">
        <f t="shared" si="46"/>
        <v>0</v>
      </c>
      <c r="R37" s="301">
        <f t="shared" si="47"/>
        <v>0</v>
      </c>
      <c r="S37" s="301">
        <f t="shared" si="48"/>
        <v>0</v>
      </c>
      <c r="T37" s="301">
        <f t="shared" si="49"/>
        <v>0</v>
      </c>
      <c r="U37" s="301">
        <f t="shared" si="50"/>
        <v>0</v>
      </c>
      <c r="V37" s="304">
        <f t="shared" si="10"/>
        <v>0</v>
      </c>
      <c r="W37" s="304">
        <f t="shared" si="51"/>
        <v>0</v>
      </c>
      <c r="X37" s="345">
        <f t="shared" si="52"/>
        <v>0</v>
      </c>
      <c r="Y37" s="357">
        <f>VLOOKUP(M37,'B.0.ConsumiblesMaquinaria'!C$7:D$16,2)</f>
        <v>3.5000000000000003E-2</v>
      </c>
      <c r="Z37" s="302">
        <f t="shared" si="13"/>
        <v>0</v>
      </c>
      <c r="AA37" s="302">
        <f>+'B.0.ConsumiblesMaquinaria'!J$24</f>
        <v>4.8</v>
      </c>
      <c r="AB37" s="302">
        <f t="shared" si="61"/>
        <v>0.84</v>
      </c>
      <c r="AC37" s="301">
        <f>0.800000011920928*AC$102</f>
        <v>0</v>
      </c>
      <c r="AD37" s="301">
        <f t="shared" si="15"/>
        <v>0</v>
      </c>
      <c r="AE37" s="302">
        <f>+'B.0.ConsumiblesMaquinaria'!J$22</f>
        <v>1.9</v>
      </c>
      <c r="AF37" s="302">
        <f t="shared" si="16"/>
        <v>0</v>
      </c>
      <c r="AG37" s="302">
        <f t="shared" si="53"/>
        <v>0.84</v>
      </c>
      <c r="AH37" s="302">
        <f t="shared" si="54"/>
        <v>0</v>
      </c>
      <c r="AI37" s="306">
        <f t="shared" si="55"/>
        <v>0</v>
      </c>
      <c r="AJ37" s="306">
        <f t="shared" si="56"/>
        <v>0</v>
      </c>
      <c r="AK37" s="302">
        <f t="shared" si="57"/>
        <v>0</v>
      </c>
      <c r="AL37" s="303">
        <v>120</v>
      </c>
      <c r="AM37" s="301">
        <f t="shared" si="58"/>
        <v>0</v>
      </c>
      <c r="AN37" s="305">
        <f t="shared" si="59"/>
        <v>0</v>
      </c>
      <c r="AO37" s="358">
        <f t="shared" si="60"/>
        <v>0</v>
      </c>
    </row>
    <row r="38" spans="1:41">
      <c r="A38" s="344">
        <v>0</v>
      </c>
      <c r="B38" s="299" t="s">
        <v>458</v>
      </c>
      <c r="C38" s="300" t="s">
        <v>417</v>
      </c>
      <c r="D38" s="300" t="s">
        <v>455</v>
      </c>
      <c r="E38" s="301">
        <v>761.25</v>
      </c>
      <c r="F38" s="302"/>
      <c r="G38" s="301">
        <f t="shared" si="0"/>
        <v>880</v>
      </c>
      <c r="H38" s="302">
        <v>4</v>
      </c>
      <c r="I38" s="302"/>
      <c r="J38" s="303">
        <f t="shared" si="43"/>
        <v>2026</v>
      </c>
      <c r="K38" s="303">
        <f t="shared" si="43"/>
        <v>2032</v>
      </c>
      <c r="L38" s="303">
        <f t="shared" si="43"/>
        <v>6</v>
      </c>
      <c r="M38" s="301">
        <v>1.8999999761581401</v>
      </c>
      <c r="N38" s="301">
        <f t="shared" si="2"/>
        <v>0</v>
      </c>
      <c r="O38" s="301">
        <f t="shared" si="44"/>
        <v>0</v>
      </c>
      <c r="P38" s="301">
        <f t="shared" si="45"/>
        <v>0</v>
      </c>
      <c r="Q38" s="301">
        <f t="shared" si="46"/>
        <v>0</v>
      </c>
      <c r="R38" s="301">
        <f t="shared" si="47"/>
        <v>0</v>
      </c>
      <c r="S38" s="301">
        <f t="shared" si="48"/>
        <v>0</v>
      </c>
      <c r="T38" s="301">
        <f t="shared" si="49"/>
        <v>0</v>
      </c>
      <c r="U38" s="301">
        <f t="shared" si="50"/>
        <v>0</v>
      </c>
      <c r="V38" s="304">
        <f t="shared" si="10"/>
        <v>0</v>
      </c>
      <c r="W38" s="304">
        <f t="shared" si="51"/>
        <v>0</v>
      </c>
      <c r="X38" s="345">
        <f t="shared" si="52"/>
        <v>0</v>
      </c>
      <c r="Y38" s="357">
        <f>VLOOKUP(M38,'B.0.ConsumiblesMaquinaria'!C$7:D$16,2)</f>
        <v>3.5000000000000003E-2</v>
      </c>
      <c r="Z38" s="302">
        <f t="shared" si="13"/>
        <v>0</v>
      </c>
      <c r="AA38" s="302">
        <f>+'B.0.ConsumiblesMaquinaria'!J$24</f>
        <v>4.8</v>
      </c>
      <c r="AB38" s="302">
        <f t="shared" si="61"/>
        <v>0.84</v>
      </c>
      <c r="AC38" s="301">
        <f>0.300000011920929*AC$102</f>
        <v>0</v>
      </c>
      <c r="AD38" s="301">
        <f t="shared" si="15"/>
        <v>0</v>
      </c>
      <c r="AE38" s="302">
        <f>+'B.0.ConsumiblesMaquinaria'!J$22</f>
        <v>1.9</v>
      </c>
      <c r="AF38" s="302">
        <f t="shared" si="16"/>
        <v>0</v>
      </c>
      <c r="AG38" s="302">
        <f t="shared" si="53"/>
        <v>0.84</v>
      </c>
      <c r="AH38" s="302">
        <f t="shared" si="54"/>
        <v>0</v>
      </c>
      <c r="AI38" s="306">
        <f t="shared" si="55"/>
        <v>0</v>
      </c>
      <c r="AJ38" s="306">
        <f t="shared" si="56"/>
        <v>0</v>
      </c>
      <c r="AK38" s="302">
        <f t="shared" si="57"/>
        <v>0</v>
      </c>
      <c r="AL38" s="303">
        <v>120</v>
      </c>
      <c r="AM38" s="301">
        <f t="shared" si="58"/>
        <v>0</v>
      </c>
      <c r="AN38" s="305">
        <f t="shared" si="59"/>
        <v>0</v>
      </c>
      <c r="AO38" s="358">
        <f t="shared" si="60"/>
        <v>0</v>
      </c>
    </row>
    <row r="39" spans="1:41">
      <c r="A39" s="344">
        <v>0</v>
      </c>
      <c r="B39" s="299" t="s">
        <v>459</v>
      </c>
      <c r="C39" s="300" t="s">
        <v>417</v>
      </c>
      <c r="D39" s="300" t="s">
        <v>460</v>
      </c>
      <c r="E39" s="301">
        <v>649</v>
      </c>
      <c r="F39" s="302"/>
      <c r="G39" s="301">
        <f t="shared" si="0"/>
        <v>880</v>
      </c>
      <c r="H39" s="302">
        <v>4</v>
      </c>
      <c r="I39" s="302"/>
      <c r="J39" s="303">
        <f t="shared" si="43"/>
        <v>2026</v>
      </c>
      <c r="K39" s="303">
        <f t="shared" si="43"/>
        <v>2032</v>
      </c>
      <c r="L39" s="303">
        <f t="shared" si="43"/>
        <v>6</v>
      </c>
      <c r="M39" s="301">
        <v>1</v>
      </c>
      <c r="N39" s="301">
        <f t="shared" si="2"/>
        <v>0</v>
      </c>
      <c r="O39" s="301">
        <f t="shared" si="44"/>
        <v>0</v>
      </c>
      <c r="P39" s="301">
        <f t="shared" si="45"/>
        <v>0</v>
      </c>
      <c r="Q39" s="301">
        <f t="shared" si="46"/>
        <v>0</v>
      </c>
      <c r="R39" s="301">
        <f t="shared" si="47"/>
        <v>0</v>
      </c>
      <c r="S39" s="301">
        <f t="shared" si="48"/>
        <v>0</v>
      </c>
      <c r="T39" s="301">
        <f t="shared" si="49"/>
        <v>0</v>
      </c>
      <c r="U39" s="301">
        <f t="shared" si="50"/>
        <v>0</v>
      </c>
      <c r="V39" s="304">
        <f t="shared" si="10"/>
        <v>0</v>
      </c>
      <c r="W39" s="304">
        <f t="shared" si="51"/>
        <v>0</v>
      </c>
      <c r="X39" s="345">
        <f t="shared" si="52"/>
        <v>0</v>
      </c>
      <c r="Y39" s="357">
        <f>VLOOKUP(M39,'B.0.ConsumiblesMaquinaria'!C$7:D$16,2)</f>
        <v>3.5000000000000003E-2</v>
      </c>
      <c r="Z39" s="302">
        <f t="shared" si="13"/>
        <v>0</v>
      </c>
      <c r="AA39" s="302">
        <f>+'B.0.ConsumiblesMaquinaria'!J$24</f>
        <v>4.8</v>
      </c>
      <c r="AB39" s="302">
        <f t="shared" si="61"/>
        <v>0.84</v>
      </c>
      <c r="AC39" s="301">
        <f>1*AC$102</f>
        <v>0</v>
      </c>
      <c r="AD39" s="301">
        <f t="shared" si="15"/>
        <v>0</v>
      </c>
      <c r="AE39" s="302">
        <f>+'B.0.ConsumiblesMaquinaria'!J$22</f>
        <v>1.9</v>
      </c>
      <c r="AF39" s="302">
        <f t="shared" si="16"/>
        <v>0</v>
      </c>
      <c r="AG39" s="302">
        <f t="shared" si="53"/>
        <v>0.84</v>
      </c>
      <c r="AH39" s="302">
        <f t="shared" si="54"/>
        <v>0</v>
      </c>
      <c r="AI39" s="306">
        <f t="shared" si="55"/>
        <v>0</v>
      </c>
      <c r="AJ39" s="306">
        <f t="shared" si="56"/>
        <v>0</v>
      </c>
      <c r="AK39" s="302">
        <f t="shared" si="57"/>
        <v>0</v>
      </c>
      <c r="AL39" s="303">
        <v>120</v>
      </c>
      <c r="AM39" s="301">
        <f t="shared" si="58"/>
        <v>0</v>
      </c>
      <c r="AN39" s="305">
        <f t="shared" si="59"/>
        <v>0</v>
      </c>
      <c r="AO39" s="358">
        <f t="shared" si="60"/>
        <v>0</v>
      </c>
    </row>
    <row r="40" spans="1:41">
      <c r="A40" s="344">
        <v>0</v>
      </c>
      <c r="B40" s="299" t="s">
        <v>461</v>
      </c>
      <c r="C40" s="300" t="s">
        <v>417</v>
      </c>
      <c r="D40" s="300" t="s">
        <v>462</v>
      </c>
      <c r="E40" s="301">
        <v>839</v>
      </c>
      <c r="F40" s="302"/>
      <c r="G40" s="301">
        <f t="shared" si="0"/>
        <v>880</v>
      </c>
      <c r="H40" s="302">
        <v>4</v>
      </c>
      <c r="I40" s="302"/>
      <c r="J40" s="303">
        <f t="shared" si="43"/>
        <v>2026</v>
      </c>
      <c r="K40" s="303">
        <f t="shared" si="43"/>
        <v>2032</v>
      </c>
      <c r="L40" s="303">
        <f t="shared" si="43"/>
        <v>6</v>
      </c>
      <c r="M40" s="301">
        <v>1</v>
      </c>
      <c r="N40" s="301">
        <f t="shared" si="2"/>
        <v>0</v>
      </c>
      <c r="O40" s="301">
        <f t="shared" si="44"/>
        <v>0</v>
      </c>
      <c r="P40" s="301">
        <f t="shared" si="45"/>
        <v>0</v>
      </c>
      <c r="Q40" s="301">
        <f t="shared" si="46"/>
        <v>0</v>
      </c>
      <c r="R40" s="301">
        <f t="shared" si="47"/>
        <v>0</v>
      </c>
      <c r="S40" s="301">
        <f t="shared" si="48"/>
        <v>0</v>
      </c>
      <c r="T40" s="301">
        <f t="shared" si="49"/>
        <v>0</v>
      </c>
      <c r="U40" s="301">
        <f t="shared" si="50"/>
        <v>0</v>
      </c>
      <c r="V40" s="304">
        <f t="shared" si="10"/>
        <v>0</v>
      </c>
      <c r="W40" s="304">
        <f t="shared" si="51"/>
        <v>0</v>
      </c>
      <c r="X40" s="345">
        <f t="shared" si="52"/>
        <v>0</v>
      </c>
      <c r="Y40" s="357">
        <f>VLOOKUP(M40,'B.0.ConsumiblesMaquinaria'!C$7:D$16,2)</f>
        <v>3.5000000000000003E-2</v>
      </c>
      <c r="Z40" s="302">
        <f t="shared" si="13"/>
        <v>0</v>
      </c>
      <c r="AA40" s="302">
        <f>+'B.0.ConsumiblesMaquinaria'!J$24</f>
        <v>4.8</v>
      </c>
      <c r="AB40" s="302">
        <f t="shared" si="61"/>
        <v>0.84</v>
      </c>
      <c r="AC40" s="301">
        <f>1*AC$102</f>
        <v>0</v>
      </c>
      <c r="AD40" s="301">
        <f t="shared" si="15"/>
        <v>0</v>
      </c>
      <c r="AE40" s="302">
        <f>+'B.0.ConsumiblesMaquinaria'!J$22</f>
        <v>1.9</v>
      </c>
      <c r="AF40" s="302">
        <f t="shared" si="16"/>
        <v>0</v>
      </c>
      <c r="AG40" s="302">
        <f t="shared" si="53"/>
        <v>0.84</v>
      </c>
      <c r="AH40" s="302">
        <f t="shared" si="54"/>
        <v>0</v>
      </c>
      <c r="AI40" s="306">
        <f t="shared" si="55"/>
        <v>0</v>
      </c>
      <c r="AJ40" s="306">
        <f t="shared" si="56"/>
        <v>0</v>
      </c>
      <c r="AK40" s="302">
        <f t="shared" si="57"/>
        <v>0</v>
      </c>
      <c r="AL40" s="303">
        <v>120</v>
      </c>
      <c r="AM40" s="301">
        <f t="shared" si="58"/>
        <v>0</v>
      </c>
      <c r="AN40" s="305">
        <f t="shared" si="59"/>
        <v>0</v>
      </c>
      <c r="AO40" s="358">
        <f t="shared" si="60"/>
        <v>0</v>
      </c>
    </row>
    <row r="41" spans="1:41">
      <c r="A41" s="344">
        <v>0</v>
      </c>
      <c r="B41" s="299" t="s">
        <v>463</v>
      </c>
      <c r="C41" s="300" t="s">
        <v>417</v>
      </c>
      <c r="D41" s="300" t="s">
        <v>464</v>
      </c>
      <c r="E41" s="301">
        <v>899</v>
      </c>
      <c r="F41" s="302"/>
      <c r="G41" s="301">
        <f t="shared" si="0"/>
        <v>880</v>
      </c>
      <c r="H41" s="302">
        <v>4</v>
      </c>
      <c r="I41" s="302"/>
      <c r="J41" s="303">
        <f t="shared" si="43"/>
        <v>2026</v>
      </c>
      <c r="K41" s="303">
        <f t="shared" si="43"/>
        <v>2032</v>
      </c>
      <c r="L41" s="303">
        <f t="shared" si="43"/>
        <v>6</v>
      </c>
      <c r="M41" s="301">
        <v>1</v>
      </c>
      <c r="N41" s="301">
        <f t="shared" si="2"/>
        <v>0</v>
      </c>
      <c r="O41" s="301">
        <f t="shared" si="44"/>
        <v>0</v>
      </c>
      <c r="P41" s="301">
        <f t="shared" si="45"/>
        <v>0</v>
      </c>
      <c r="Q41" s="301">
        <f t="shared" si="46"/>
        <v>0</v>
      </c>
      <c r="R41" s="301">
        <f t="shared" si="47"/>
        <v>0</v>
      </c>
      <c r="S41" s="301">
        <f t="shared" si="48"/>
        <v>0</v>
      </c>
      <c r="T41" s="301">
        <f t="shared" si="49"/>
        <v>0</v>
      </c>
      <c r="U41" s="301">
        <f t="shared" si="50"/>
        <v>0</v>
      </c>
      <c r="V41" s="304">
        <f t="shared" si="10"/>
        <v>0</v>
      </c>
      <c r="W41" s="304">
        <f t="shared" si="51"/>
        <v>0</v>
      </c>
      <c r="X41" s="345">
        <f t="shared" si="52"/>
        <v>0</v>
      </c>
      <c r="Y41" s="357">
        <f>VLOOKUP(M41,'B.0.ConsumiblesMaquinaria'!C$7:D$16,2)</f>
        <v>3.5000000000000003E-2</v>
      </c>
      <c r="Z41" s="302">
        <f t="shared" si="13"/>
        <v>0</v>
      </c>
      <c r="AA41" s="302">
        <f>+'B.0.ConsumiblesMaquinaria'!J$24</f>
        <v>4.8</v>
      </c>
      <c r="AB41" s="302">
        <f t="shared" si="61"/>
        <v>0.84</v>
      </c>
      <c r="AC41" s="301">
        <f>1*AC$102</f>
        <v>0</v>
      </c>
      <c r="AD41" s="301">
        <f t="shared" si="15"/>
        <v>0</v>
      </c>
      <c r="AE41" s="302">
        <f>+'B.0.ConsumiblesMaquinaria'!J$22</f>
        <v>1.9</v>
      </c>
      <c r="AF41" s="302">
        <f t="shared" si="16"/>
        <v>0</v>
      </c>
      <c r="AG41" s="302">
        <f t="shared" si="53"/>
        <v>0.84</v>
      </c>
      <c r="AH41" s="302">
        <f t="shared" si="54"/>
        <v>0</v>
      </c>
      <c r="AI41" s="306">
        <f t="shared" si="55"/>
        <v>0</v>
      </c>
      <c r="AJ41" s="306">
        <f t="shared" si="56"/>
        <v>0</v>
      </c>
      <c r="AK41" s="302">
        <f t="shared" si="57"/>
        <v>0</v>
      </c>
      <c r="AL41" s="303">
        <v>120</v>
      </c>
      <c r="AM41" s="301">
        <f t="shared" si="58"/>
        <v>0</v>
      </c>
      <c r="AN41" s="305">
        <f t="shared" si="59"/>
        <v>0</v>
      </c>
      <c r="AO41" s="358">
        <f t="shared" si="60"/>
        <v>0</v>
      </c>
    </row>
    <row r="42" spans="1:41">
      <c r="A42" s="344">
        <v>0</v>
      </c>
      <c r="B42" s="299" t="s">
        <v>465</v>
      </c>
      <c r="C42" s="300" t="s">
        <v>417</v>
      </c>
      <c r="D42" s="300" t="s">
        <v>466</v>
      </c>
      <c r="E42" s="301">
        <v>725</v>
      </c>
      <c r="F42" s="302"/>
      <c r="G42" s="301">
        <f t="shared" si="0"/>
        <v>880</v>
      </c>
      <c r="H42" s="302">
        <v>4</v>
      </c>
      <c r="I42" s="302"/>
      <c r="J42" s="303">
        <f t="shared" si="43"/>
        <v>2026</v>
      </c>
      <c r="K42" s="303">
        <f t="shared" si="43"/>
        <v>2032</v>
      </c>
      <c r="L42" s="303">
        <f t="shared" si="43"/>
        <v>6</v>
      </c>
      <c r="M42" s="301">
        <v>1.29999995231628</v>
      </c>
      <c r="N42" s="301">
        <f t="shared" si="2"/>
        <v>0</v>
      </c>
      <c r="O42" s="301">
        <f t="shared" si="44"/>
        <v>0</v>
      </c>
      <c r="P42" s="301">
        <f t="shared" si="45"/>
        <v>0</v>
      </c>
      <c r="Q42" s="301">
        <f t="shared" si="46"/>
        <v>0</v>
      </c>
      <c r="R42" s="301">
        <f t="shared" si="47"/>
        <v>0</v>
      </c>
      <c r="S42" s="301">
        <f t="shared" si="48"/>
        <v>0</v>
      </c>
      <c r="T42" s="301">
        <f t="shared" si="49"/>
        <v>0</v>
      </c>
      <c r="U42" s="301">
        <f t="shared" si="50"/>
        <v>0</v>
      </c>
      <c r="V42" s="304">
        <f t="shared" si="10"/>
        <v>0</v>
      </c>
      <c r="W42" s="304">
        <f t="shared" si="51"/>
        <v>0</v>
      </c>
      <c r="X42" s="345">
        <f t="shared" si="52"/>
        <v>0</v>
      </c>
      <c r="Y42" s="357">
        <f>VLOOKUP(M42,'B.0.ConsumiblesMaquinaria'!C$7:D$16,2)</f>
        <v>3.5000000000000003E-2</v>
      </c>
      <c r="Z42" s="302">
        <f t="shared" si="13"/>
        <v>0</v>
      </c>
      <c r="AA42" s="302">
        <f>+'B.0.ConsumiblesMaquinaria'!J$24</f>
        <v>4.8</v>
      </c>
      <c r="AB42" s="302">
        <f t="shared" si="61"/>
        <v>0.84</v>
      </c>
      <c r="AC42" s="301">
        <f>1*AC$102</f>
        <v>0</v>
      </c>
      <c r="AD42" s="301">
        <f t="shared" si="15"/>
        <v>0</v>
      </c>
      <c r="AE42" s="302">
        <f>+'B.0.ConsumiblesMaquinaria'!J$22</f>
        <v>1.9</v>
      </c>
      <c r="AF42" s="302">
        <f t="shared" si="16"/>
        <v>0</v>
      </c>
      <c r="AG42" s="302">
        <f t="shared" si="53"/>
        <v>0.84</v>
      </c>
      <c r="AH42" s="302">
        <f t="shared" si="54"/>
        <v>0</v>
      </c>
      <c r="AI42" s="306">
        <f t="shared" si="55"/>
        <v>0</v>
      </c>
      <c r="AJ42" s="306">
        <f t="shared" si="56"/>
        <v>0</v>
      </c>
      <c r="AK42" s="302">
        <f t="shared" si="57"/>
        <v>0</v>
      </c>
      <c r="AL42" s="303">
        <v>120</v>
      </c>
      <c r="AM42" s="301">
        <f t="shared" si="58"/>
        <v>0</v>
      </c>
      <c r="AN42" s="305">
        <f t="shared" si="59"/>
        <v>0</v>
      </c>
      <c r="AO42" s="358">
        <f t="shared" si="60"/>
        <v>0</v>
      </c>
    </row>
    <row r="43" spans="1:41">
      <c r="A43" s="344">
        <v>0</v>
      </c>
      <c r="B43" s="299" t="s">
        <v>467</v>
      </c>
      <c r="C43" s="300" t="s">
        <v>417</v>
      </c>
      <c r="D43" s="300" t="s">
        <v>466</v>
      </c>
      <c r="E43" s="301">
        <v>839</v>
      </c>
      <c r="F43" s="302"/>
      <c r="G43" s="301">
        <f t="shared" si="0"/>
        <v>880</v>
      </c>
      <c r="H43" s="302">
        <v>4</v>
      </c>
      <c r="I43" s="302"/>
      <c r="J43" s="303">
        <f t="shared" si="43"/>
        <v>2026</v>
      </c>
      <c r="K43" s="303">
        <f t="shared" si="43"/>
        <v>2032</v>
      </c>
      <c r="L43" s="303">
        <f t="shared" si="43"/>
        <v>6</v>
      </c>
      <c r="M43" s="301">
        <v>1.3999999761581401</v>
      </c>
      <c r="N43" s="301">
        <f t="shared" si="2"/>
        <v>0</v>
      </c>
      <c r="O43" s="301">
        <f t="shared" si="44"/>
        <v>0</v>
      </c>
      <c r="P43" s="301">
        <f t="shared" si="45"/>
        <v>0</v>
      </c>
      <c r="Q43" s="301">
        <f t="shared" si="46"/>
        <v>0</v>
      </c>
      <c r="R43" s="301">
        <f t="shared" si="47"/>
        <v>0</v>
      </c>
      <c r="S43" s="301">
        <f t="shared" si="48"/>
        <v>0</v>
      </c>
      <c r="T43" s="301">
        <f t="shared" si="49"/>
        <v>0</v>
      </c>
      <c r="U43" s="301">
        <f t="shared" si="50"/>
        <v>0</v>
      </c>
      <c r="V43" s="304">
        <f t="shared" si="10"/>
        <v>0</v>
      </c>
      <c r="W43" s="304">
        <f t="shared" si="51"/>
        <v>0</v>
      </c>
      <c r="X43" s="345">
        <f t="shared" si="52"/>
        <v>0</v>
      </c>
      <c r="Y43" s="357">
        <f>VLOOKUP(M43,'B.0.ConsumiblesMaquinaria'!C$7:D$16,2)</f>
        <v>3.5000000000000003E-2</v>
      </c>
      <c r="Z43" s="302">
        <f t="shared" si="13"/>
        <v>0</v>
      </c>
      <c r="AA43" s="302">
        <f>+'B.0.ConsumiblesMaquinaria'!J$24</f>
        <v>4.8</v>
      </c>
      <c r="AB43" s="302">
        <f t="shared" si="61"/>
        <v>0.84</v>
      </c>
      <c r="AC43" s="301">
        <f>1*AC$102</f>
        <v>0</v>
      </c>
      <c r="AD43" s="301">
        <f t="shared" si="15"/>
        <v>0</v>
      </c>
      <c r="AE43" s="302">
        <f>+'B.0.ConsumiblesMaquinaria'!J$22</f>
        <v>1.9</v>
      </c>
      <c r="AF43" s="302">
        <f t="shared" si="16"/>
        <v>0</v>
      </c>
      <c r="AG43" s="302">
        <f t="shared" si="53"/>
        <v>0.84</v>
      </c>
      <c r="AH43" s="302">
        <f t="shared" si="54"/>
        <v>0</v>
      </c>
      <c r="AI43" s="306">
        <f t="shared" si="55"/>
        <v>0</v>
      </c>
      <c r="AJ43" s="306">
        <f t="shared" si="56"/>
        <v>0</v>
      </c>
      <c r="AK43" s="302">
        <f t="shared" si="57"/>
        <v>0</v>
      </c>
      <c r="AL43" s="303">
        <v>120</v>
      </c>
      <c r="AM43" s="301">
        <f t="shared" si="58"/>
        <v>0</v>
      </c>
      <c r="AN43" s="305">
        <f t="shared" si="59"/>
        <v>0</v>
      </c>
      <c r="AO43" s="358">
        <f t="shared" si="60"/>
        <v>0</v>
      </c>
    </row>
    <row r="44" spans="1:41">
      <c r="A44" s="344">
        <v>0</v>
      </c>
      <c r="B44" s="299" t="s">
        <v>468</v>
      </c>
      <c r="C44" s="300" t="s">
        <v>406</v>
      </c>
      <c r="D44" s="300" t="s">
        <v>469</v>
      </c>
      <c r="E44" s="301">
        <v>10337.5</v>
      </c>
      <c r="F44" s="302"/>
      <c r="G44" s="301">
        <f t="shared" si="0"/>
        <v>880</v>
      </c>
      <c r="H44" s="302">
        <v>8</v>
      </c>
      <c r="I44" s="302"/>
      <c r="J44" s="303">
        <f t="shared" si="43"/>
        <v>2026</v>
      </c>
      <c r="K44" s="303">
        <f t="shared" si="43"/>
        <v>2032</v>
      </c>
      <c r="L44" s="303">
        <f t="shared" si="43"/>
        <v>6</v>
      </c>
      <c r="M44" s="301">
        <v>15</v>
      </c>
      <c r="N44" s="301">
        <f t="shared" si="2"/>
        <v>0</v>
      </c>
      <c r="O44" s="301">
        <f t="shared" si="44"/>
        <v>0</v>
      </c>
      <c r="P44" s="301">
        <f t="shared" si="45"/>
        <v>0</v>
      </c>
      <c r="Q44" s="301">
        <f t="shared" si="46"/>
        <v>0</v>
      </c>
      <c r="R44" s="301">
        <f t="shared" si="47"/>
        <v>0</v>
      </c>
      <c r="S44" s="301">
        <f t="shared" si="48"/>
        <v>0</v>
      </c>
      <c r="T44" s="301">
        <f t="shared" si="49"/>
        <v>0</v>
      </c>
      <c r="U44" s="301">
        <f t="shared" si="50"/>
        <v>0</v>
      </c>
      <c r="V44" s="304">
        <f t="shared" si="10"/>
        <v>0</v>
      </c>
      <c r="W44" s="304">
        <f t="shared" si="51"/>
        <v>0</v>
      </c>
      <c r="X44" s="345">
        <f t="shared" si="52"/>
        <v>0</v>
      </c>
      <c r="Y44" s="357">
        <f>VLOOKUP(M44,'B.0.ConsumiblesMaquinaria'!C$7:D$16,2)</f>
        <v>3.5000000000000003E-2</v>
      </c>
      <c r="Z44" s="302">
        <f t="shared" si="13"/>
        <v>0</v>
      </c>
      <c r="AA44" s="302">
        <f>+'B.0.ConsumiblesMaquinaria'!J$23</f>
        <v>9.879999999999999</v>
      </c>
      <c r="AB44" s="302">
        <f t="shared" si="61"/>
        <v>1.73</v>
      </c>
      <c r="AC44" s="301">
        <f>3.20000004768371*AC$102</f>
        <v>0</v>
      </c>
      <c r="AD44" s="301">
        <f t="shared" si="15"/>
        <v>0</v>
      </c>
      <c r="AE44" s="302">
        <f>+'B.0.ConsumiblesMaquinaria'!J$22</f>
        <v>1.9</v>
      </c>
      <c r="AF44" s="302">
        <f t="shared" si="16"/>
        <v>0</v>
      </c>
      <c r="AG44" s="302">
        <f t="shared" si="53"/>
        <v>1.73</v>
      </c>
      <c r="AH44" s="302">
        <f t="shared" si="54"/>
        <v>0</v>
      </c>
      <c r="AI44" s="306">
        <f t="shared" si="55"/>
        <v>0</v>
      </c>
      <c r="AJ44" s="306">
        <f t="shared" si="56"/>
        <v>0</v>
      </c>
      <c r="AK44" s="302">
        <f t="shared" si="57"/>
        <v>0</v>
      </c>
      <c r="AL44" s="303">
        <v>120</v>
      </c>
      <c r="AM44" s="301">
        <f t="shared" si="58"/>
        <v>0</v>
      </c>
      <c r="AN44" s="305">
        <f t="shared" si="59"/>
        <v>0</v>
      </c>
      <c r="AO44" s="358">
        <f t="shared" si="60"/>
        <v>0</v>
      </c>
    </row>
    <row r="45" spans="1:41">
      <c r="A45" s="344">
        <v>0</v>
      </c>
      <c r="B45" s="299" t="s">
        <v>470</v>
      </c>
      <c r="C45" s="300" t="s">
        <v>406</v>
      </c>
      <c r="D45" s="300" t="s">
        <v>469</v>
      </c>
      <c r="E45" s="301">
        <v>12913.95</v>
      </c>
      <c r="F45" s="302"/>
      <c r="G45" s="301">
        <f t="shared" si="0"/>
        <v>880</v>
      </c>
      <c r="H45" s="302">
        <v>8</v>
      </c>
      <c r="I45" s="302"/>
      <c r="J45" s="303">
        <f t="shared" si="43"/>
        <v>2026</v>
      </c>
      <c r="K45" s="303">
        <f t="shared" si="43"/>
        <v>2032</v>
      </c>
      <c r="L45" s="303">
        <f t="shared" si="43"/>
        <v>6</v>
      </c>
      <c r="M45" s="301">
        <v>20</v>
      </c>
      <c r="N45" s="301">
        <f t="shared" si="2"/>
        <v>0</v>
      </c>
      <c r="O45" s="301">
        <f t="shared" si="44"/>
        <v>0</v>
      </c>
      <c r="P45" s="301">
        <f t="shared" si="45"/>
        <v>0</v>
      </c>
      <c r="Q45" s="301">
        <f t="shared" si="46"/>
        <v>0</v>
      </c>
      <c r="R45" s="301">
        <f t="shared" si="47"/>
        <v>0</v>
      </c>
      <c r="S45" s="301">
        <f t="shared" si="48"/>
        <v>0</v>
      </c>
      <c r="T45" s="301">
        <f t="shared" si="49"/>
        <v>0</v>
      </c>
      <c r="U45" s="301">
        <f t="shared" si="50"/>
        <v>0</v>
      </c>
      <c r="V45" s="304">
        <f t="shared" si="10"/>
        <v>0</v>
      </c>
      <c r="W45" s="304">
        <f t="shared" si="51"/>
        <v>0</v>
      </c>
      <c r="X45" s="345">
        <f t="shared" si="52"/>
        <v>0</v>
      </c>
      <c r="Y45" s="357">
        <f>VLOOKUP(M45,'B.0.ConsumiblesMaquinaria'!C$7:D$16,2)</f>
        <v>3.5000000000000003E-2</v>
      </c>
      <c r="Z45" s="302">
        <f t="shared" si="13"/>
        <v>0</v>
      </c>
      <c r="AA45" s="302">
        <f>+'B.0.ConsumiblesMaquinaria'!J$23</f>
        <v>9.879999999999999</v>
      </c>
      <c r="AB45" s="302">
        <f t="shared" si="61"/>
        <v>1.73</v>
      </c>
      <c r="AC45" s="301">
        <f>4*AC$102</f>
        <v>0</v>
      </c>
      <c r="AD45" s="301">
        <f t="shared" si="15"/>
        <v>0</v>
      </c>
      <c r="AE45" s="302">
        <f>+'B.0.ConsumiblesMaquinaria'!J$22</f>
        <v>1.9</v>
      </c>
      <c r="AF45" s="302">
        <f t="shared" si="16"/>
        <v>0</v>
      </c>
      <c r="AG45" s="302">
        <f t="shared" si="53"/>
        <v>1.73</v>
      </c>
      <c r="AH45" s="302">
        <f t="shared" si="54"/>
        <v>0</v>
      </c>
      <c r="AI45" s="306">
        <f t="shared" si="55"/>
        <v>0</v>
      </c>
      <c r="AJ45" s="306">
        <f t="shared" si="56"/>
        <v>0</v>
      </c>
      <c r="AK45" s="302">
        <f t="shared" si="57"/>
        <v>0</v>
      </c>
      <c r="AL45" s="303">
        <v>120</v>
      </c>
      <c r="AM45" s="301">
        <f t="shared" si="58"/>
        <v>0</v>
      </c>
      <c r="AN45" s="305">
        <f t="shared" si="59"/>
        <v>0</v>
      </c>
      <c r="AO45" s="358">
        <f t="shared" si="60"/>
        <v>0</v>
      </c>
    </row>
    <row r="46" spans="1:41">
      <c r="A46" s="344">
        <v>0</v>
      </c>
      <c r="B46" s="299" t="s">
        <v>471</v>
      </c>
      <c r="C46" s="300" t="s">
        <v>406</v>
      </c>
      <c r="D46" s="300" t="s">
        <v>472</v>
      </c>
      <c r="E46" s="301">
        <v>33750</v>
      </c>
      <c r="F46" s="302"/>
      <c r="G46" s="301">
        <f t="shared" si="0"/>
        <v>880</v>
      </c>
      <c r="H46" s="302">
        <v>6</v>
      </c>
      <c r="I46" s="302"/>
      <c r="J46" s="303">
        <f t="shared" si="43"/>
        <v>2026</v>
      </c>
      <c r="K46" s="303">
        <f t="shared" si="43"/>
        <v>2032</v>
      </c>
      <c r="L46" s="303">
        <f t="shared" si="43"/>
        <v>6</v>
      </c>
      <c r="M46" s="301">
        <v>115</v>
      </c>
      <c r="N46" s="301">
        <f t="shared" si="2"/>
        <v>0</v>
      </c>
      <c r="O46" s="301">
        <f t="shared" si="44"/>
        <v>0</v>
      </c>
      <c r="P46" s="301">
        <f t="shared" si="45"/>
        <v>0</v>
      </c>
      <c r="Q46" s="301">
        <f t="shared" si="46"/>
        <v>0</v>
      </c>
      <c r="R46" s="301">
        <f t="shared" si="47"/>
        <v>0</v>
      </c>
      <c r="S46" s="301">
        <f t="shared" si="48"/>
        <v>0</v>
      </c>
      <c r="T46" s="301">
        <f t="shared" si="49"/>
        <v>0</v>
      </c>
      <c r="U46" s="301">
        <f t="shared" si="50"/>
        <v>0</v>
      </c>
      <c r="V46" s="304">
        <f t="shared" si="10"/>
        <v>0</v>
      </c>
      <c r="W46" s="304">
        <f t="shared" si="51"/>
        <v>0</v>
      </c>
      <c r="X46" s="345">
        <f t="shared" si="52"/>
        <v>0</v>
      </c>
      <c r="Y46" s="357">
        <f>VLOOKUP(M46,'B.0.ConsumiblesMaquinaria'!C$7:D$16,2)</f>
        <v>0.1</v>
      </c>
      <c r="Z46" s="302">
        <f t="shared" si="13"/>
        <v>0</v>
      </c>
      <c r="AA46" s="302">
        <f>+'B.0.ConsumiblesMaquinaria'!J$23</f>
        <v>9.879999999999999</v>
      </c>
      <c r="AB46" s="302">
        <f t="shared" si="61"/>
        <v>4.9400000000000004</v>
      </c>
      <c r="AC46" s="301">
        <f>3*AC$102</f>
        <v>0</v>
      </c>
      <c r="AD46" s="301">
        <f t="shared" si="15"/>
        <v>0</v>
      </c>
      <c r="AE46" s="302">
        <f>+'B.0.ConsumiblesMaquinaria'!J$22</f>
        <v>1.9</v>
      </c>
      <c r="AF46" s="302">
        <f t="shared" si="16"/>
        <v>0</v>
      </c>
      <c r="AG46" s="302">
        <f t="shared" si="53"/>
        <v>4.9400000000000004</v>
      </c>
      <c r="AH46" s="302">
        <f t="shared" si="54"/>
        <v>0</v>
      </c>
      <c r="AI46" s="306">
        <f t="shared" si="55"/>
        <v>0</v>
      </c>
      <c r="AJ46" s="306">
        <f t="shared" si="56"/>
        <v>0</v>
      </c>
      <c r="AK46" s="302">
        <f t="shared" si="57"/>
        <v>0</v>
      </c>
      <c r="AL46" s="303">
        <v>120</v>
      </c>
      <c r="AM46" s="301">
        <f t="shared" si="58"/>
        <v>0</v>
      </c>
      <c r="AN46" s="305">
        <f t="shared" si="59"/>
        <v>0</v>
      </c>
      <c r="AO46" s="358">
        <f t="shared" si="60"/>
        <v>0</v>
      </c>
    </row>
    <row r="47" spans="1:41">
      <c r="A47" s="344">
        <v>0</v>
      </c>
      <c r="B47" s="346" t="s">
        <v>473</v>
      </c>
      <c r="C47" s="347" t="s">
        <v>406</v>
      </c>
      <c r="D47" s="347" t="s">
        <v>474</v>
      </c>
      <c r="E47" s="348">
        <v>9000</v>
      </c>
      <c r="F47" s="349"/>
      <c r="G47" s="348">
        <f>22*4*AP$1</f>
        <v>440</v>
      </c>
      <c r="H47" s="349">
        <v>4</v>
      </c>
      <c r="I47" s="349"/>
      <c r="J47" s="350">
        <f t="shared" si="43"/>
        <v>2026</v>
      </c>
      <c r="K47" s="350">
        <f t="shared" si="43"/>
        <v>2032</v>
      </c>
      <c r="L47" s="350">
        <f t="shared" si="43"/>
        <v>6</v>
      </c>
      <c r="M47" s="348">
        <v>6</v>
      </c>
      <c r="N47" s="348">
        <f t="shared" si="2"/>
        <v>0</v>
      </c>
      <c r="O47" s="348">
        <f t="shared" si="44"/>
        <v>0</v>
      </c>
      <c r="P47" s="348">
        <f t="shared" si="45"/>
        <v>0</v>
      </c>
      <c r="Q47" s="348">
        <f t="shared" si="46"/>
        <v>0</v>
      </c>
      <c r="R47" s="348">
        <f t="shared" si="47"/>
        <v>0</v>
      </c>
      <c r="S47" s="348">
        <f t="shared" si="48"/>
        <v>0</v>
      </c>
      <c r="T47" s="348">
        <f t="shared" si="49"/>
        <v>0</v>
      </c>
      <c r="U47" s="348">
        <f t="shared" si="50"/>
        <v>0</v>
      </c>
      <c r="V47" s="351">
        <f t="shared" si="10"/>
        <v>0</v>
      </c>
      <c r="W47" s="351">
        <f t="shared" si="51"/>
        <v>0</v>
      </c>
      <c r="X47" s="352">
        <f t="shared" si="52"/>
        <v>0</v>
      </c>
      <c r="Y47" s="359">
        <f>VLOOKUP(M47,'B.0.ConsumiblesMaquinaria'!C$7:D$16,2)</f>
        <v>3.5000000000000003E-2</v>
      </c>
      <c r="Z47" s="349">
        <f t="shared" si="13"/>
        <v>0</v>
      </c>
      <c r="AA47" s="349">
        <f>+'B.0.ConsumiblesMaquinaria'!J$23</f>
        <v>9.879999999999999</v>
      </c>
      <c r="AB47" s="349">
        <f t="shared" si="61"/>
        <v>1.73</v>
      </c>
      <c r="AC47" s="348">
        <f>1.5*AC$102</f>
        <v>0</v>
      </c>
      <c r="AD47" s="348">
        <f t="shared" si="15"/>
        <v>0</v>
      </c>
      <c r="AE47" s="349">
        <f>+'B.0.ConsumiblesMaquinaria'!J$22</f>
        <v>1.9</v>
      </c>
      <c r="AF47" s="349">
        <f t="shared" si="16"/>
        <v>0</v>
      </c>
      <c r="AG47" s="349">
        <f t="shared" si="53"/>
        <v>1.73</v>
      </c>
      <c r="AH47" s="349">
        <f t="shared" si="54"/>
        <v>0</v>
      </c>
      <c r="AI47" s="360">
        <f t="shared" si="55"/>
        <v>0</v>
      </c>
      <c r="AJ47" s="360">
        <f t="shared" si="56"/>
        <v>0</v>
      </c>
      <c r="AK47" s="349">
        <f t="shared" si="57"/>
        <v>0</v>
      </c>
      <c r="AL47" s="350">
        <v>120</v>
      </c>
      <c r="AM47" s="348">
        <f t="shared" si="58"/>
        <v>0</v>
      </c>
      <c r="AN47" s="361">
        <f t="shared" si="59"/>
        <v>0</v>
      </c>
      <c r="AO47" s="362">
        <f t="shared" si="60"/>
        <v>0</v>
      </c>
    </row>
    <row r="48" spans="1:41">
      <c r="A48" s="712" t="s">
        <v>475</v>
      </c>
      <c r="B48" s="713"/>
      <c r="C48" s="713"/>
      <c r="D48" s="93"/>
      <c r="E48" s="93"/>
      <c r="F48" s="93"/>
      <c r="G48" s="93"/>
      <c r="H48" s="93"/>
      <c r="I48" s="93"/>
      <c r="J48" s="96"/>
      <c r="K48" s="96"/>
      <c r="L48" s="96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365"/>
    </row>
    <row r="49" spans="1:41">
      <c r="A49" s="344">
        <v>0</v>
      </c>
      <c r="B49" s="337" t="s">
        <v>476</v>
      </c>
      <c r="C49" s="338" t="s">
        <v>342</v>
      </c>
      <c r="D49" s="338" t="s">
        <v>477</v>
      </c>
      <c r="E49" s="339">
        <v>98.75</v>
      </c>
      <c r="F49" s="340"/>
      <c r="G49" s="339">
        <f>22*12*AP$1</f>
        <v>1320</v>
      </c>
      <c r="H49" s="340">
        <v>4</v>
      </c>
      <c r="I49" s="340"/>
      <c r="J49" s="341">
        <f t="shared" ref="J49:L54" si="62">J$4</f>
        <v>2026</v>
      </c>
      <c r="K49" s="341">
        <f t="shared" si="62"/>
        <v>2032</v>
      </c>
      <c r="L49" s="341">
        <f t="shared" si="62"/>
        <v>6</v>
      </c>
      <c r="M49" s="339">
        <v>1.1000000238418599</v>
      </c>
      <c r="N49" s="339">
        <f t="shared" si="2"/>
        <v>0</v>
      </c>
      <c r="O49" s="339">
        <f t="shared" ref="O49:O54" si="63">IF(A49&gt;0,E49/H49,0)</f>
        <v>0</v>
      </c>
      <c r="P49" s="339">
        <f t="shared" ref="P49:P54" si="64">O49*A49</f>
        <v>0</v>
      </c>
      <c r="Q49" s="339">
        <f t="shared" ref="Q49:Q54" si="65">IF(A49&gt;0,-PMT($Q$6,H49,E49)-O49,0)</f>
        <v>0</v>
      </c>
      <c r="R49" s="339">
        <f t="shared" ref="R49:R54" si="66">Q49*A49</f>
        <v>0</v>
      </c>
      <c r="S49" s="339">
        <f t="shared" ref="S49:S54" si="67">(R49+P49)</f>
        <v>0</v>
      </c>
      <c r="T49" s="339">
        <f t="shared" ref="T49:T54" si="68">O49*T$6</f>
        <v>0</v>
      </c>
      <c r="U49" s="339">
        <f t="shared" ref="U49:U54" si="69">T49*A49</f>
        <v>0</v>
      </c>
      <c r="V49" s="342">
        <f t="shared" si="10"/>
        <v>0</v>
      </c>
      <c r="W49" s="342">
        <f t="shared" ref="W49:W54" si="70">IF(A49&gt;0,(O49+Q49+T49),0)</f>
        <v>0</v>
      </c>
      <c r="X49" s="343">
        <f t="shared" ref="X49:X54" si="71">(O49+Q49+T49)*A49</f>
        <v>0</v>
      </c>
      <c r="Y49" s="353">
        <v>0</v>
      </c>
      <c r="Z49" s="340">
        <f t="shared" si="13"/>
        <v>0</v>
      </c>
      <c r="AA49" s="340">
        <v>0</v>
      </c>
      <c r="AB49" s="340">
        <f t="shared" ref="AB49:AB54" si="72">+ROUND(Y49*AP$1*AA49,2)</f>
        <v>0</v>
      </c>
      <c r="AC49" s="339">
        <f>0*AC$102</f>
        <v>0</v>
      </c>
      <c r="AD49" s="339">
        <f t="shared" si="15"/>
        <v>0</v>
      </c>
      <c r="AE49" s="340">
        <v>0</v>
      </c>
      <c r="AF49" s="340">
        <f t="shared" si="16"/>
        <v>0</v>
      </c>
      <c r="AG49" s="340">
        <f t="shared" ref="AG49:AG54" si="73">AF49+AB49</f>
        <v>0</v>
      </c>
      <c r="AH49" s="340">
        <f t="shared" ref="AH49:AH54" si="74">(AG49*AL49)*A49</f>
        <v>0</v>
      </c>
      <c r="AI49" s="354">
        <f t="shared" ref="AI49:AI54" si="75">IF(A49&gt;0,E49*AI$6,0)</f>
        <v>0</v>
      </c>
      <c r="AJ49" s="354">
        <f t="shared" ref="AJ49:AJ54" si="76">(AI49*AL49)*A49</f>
        <v>0</v>
      </c>
      <c r="AK49" s="340">
        <f t="shared" ref="AK49:AK54" si="77">IF(A49&gt;0,(AF49+AB49+AI49),0)</f>
        <v>0</v>
      </c>
      <c r="AL49" s="341">
        <v>220</v>
      </c>
      <c r="AM49" s="339">
        <f t="shared" ref="AM49:AM54" si="78">AL49*AK49</f>
        <v>0</v>
      </c>
      <c r="AN49" s="355">
        <f t="shared" ref="AN49:AN54" si="79">AM49*A49</f>
        <v>0</v>
      </c>
      <c r="AO49" s="356">
        <f t="shared" ref="AO49:AO54" si="80">AN49+X49</f>
        <v>0</v>
      </c>
    </row>
    <row r="50" spans="1:41">
      <c r="A50" s="344">
        <v>0</v>
      </c>
      <c r="B50" s="299" t="s">
        <v>478</v>
      </c>
      <c r="C50" s="300" t="s">
        <v>342</v>
      </c>
      <c r="D50" s="300" t="s">
        <v>475</v>
      </c>
      <c r="E50" s="301">
        <v>2987.5</v>
      </c>
      <c r="F50" s="302"/>
      <c r="G50" s="301">
        <f>22*6*AP$1</f>
        <v>660</v>
      </c>
      <c r="H50" s="302">
        <v>4</v>
      </c>
      <c r="I50" s="302"/>
      <c r="J50" s="303">
        <f t="shared" si="62"/>
        <v>2026</v>
      </c>
      <c r="K50" s="303">
        <f t="shared" si="62"/>
        <v>2032</v>
      </c>
      <c r="L50" s="303">
        <f t="shared" si="62"/>
        <v>6</v>
      </c>
      <c r="M50" s="301">
        <v>0</v>
      </c>
      <c r="N50" s="301">
        <f t="shared" si="2"/>
        <v>0</v>
      </c>
      <c r="O50" s="301">
        <f t="shared" si="63"/>
        <v>0</v>
      </c>
      <c r="P50" s="301">
        <f t="shared" si="64"/>
        <v>0</v>
      </c>
      <c r="Q50" s="301">
        <f t="shared" si="65"/>
        <v>0</v>
      </c>
      <c r="R50" s="301">
        <f t="shared" si="66"/>
        <v>0</v>
      </c>
      <c r="S50" s="301">
        <f t="shared" si="67"/>
        <v>0</v>
      </c>
      <c r="T50" s="301">
        <f t="shared" si="68"/>
        <v>0</v>
      </c>
      <c r="U50" s="301">
        <f t="shared" si="69"/>
        <v>0</v>
      </c>
      <c r="V50" s="304">
        <f t="shared" si="10"/>
        <v>0</v>
      </c>
      <c r="W50" s="304">
        <f t="shared" si="70"/>
        <v>0</v>
      </c>
      <c r="X50" s="345">
        <f t="shared" si="71"/>
        <v>0</v>
      </c>
      <c r="Y50" s="357">
        <v>0</v>
      </c>
      <c r="Z50" s="302">
        <f t="shared" si="13"/>
        <v>0</v>
      </c>
      <c r="AA50" s="302">
        <v>0</v>
      </c>
      <c r="AB50" s="302">
        <f t="shared" si="72"/>
        <v>0</v>
      </c>
      <c r="AC50" s="301">
        <f>0*AC$102</f>
        <v>0</v>
      </c>
      <c r="AD50" s="301">
        <f t="shared" si="15"/>
        <v>0</v>
      </c>
      <c r="AE50" s="302">
        <v>0</v>
      </c>
      <c r="AF50" s="302">
        <f t="shared" si="16"/>
        <v>0</v>
      </c>
      <c r="AG50" s="302">
        <f t="shared" si="73"/>
        <v>0</v>
      </c>
      <c r="AH50" s="302">
        <f t="shared" si="74"/>
        <v>0</v>
      </c>
      <c r="AI50" s="306">
        <f t="shared" si="75"/>
        <v>0</v>
      </c>
      <c r="AJ50" s="306">
        <f t="shared" si="76"/>
        <v>0</v>
      </c>
      <c r="AK50" s="302">
        <f t="shared" si="77"/>
        <v>0</v>
      </c>
      <c r="AL50" s="303">
        <v>220</v>
      </c>
      <c r="AM50" s="301">
        <f t="shared" si="78"/>
        <v>0</v>
      </c>
      <c r="AN50" s="305">
        <f t="shared" si="79"/>
        <v>0</v>
      </c>
      <c r="AO50" s="358">
        <f t="shared" si="80"/>
        <v>0</v>
      </c>
    </row>
    <row r="51" spans="1:41">
      <c r="A51" s="344">
        <v>0</v>
      </c>
      <c r="B51" s="299" t="s">
        <v>479</v>
      </c>
      <c r="C51" s="300" t="s">
        <v>342</v>
      </c>
      <c r="D51" s="300" t="s">
        <v>475</v>
      </c>
      <c r="E51" s="301">
        <v>1848.75</v>
      </c>
      <c r="F51" s="302"/>
      <c r="G51" s="301">
        <f>22*6*AP$1</f>
        <v>660</v>
      </c>
      <c r="H51" s="302">
        <v>4</v>
      </c>
      <c r="I51" s="302"/>
      <c r="J51" s="303">
        <f t="shared" si="62"/>
        <v>2026</v>
      </c>
      <c r="K51" s="303">
        <f t="shared" si="62"/>
        <v>2032</v>
      </c>
      <c r="L51" s="303">
        <f t="shared" si="62"/>
        <v>6</v>
      </c>
      <c r="M51" s="301">
        <v>10.6000003814697</v>
      </c>
      <c r="N51" s="301">
        <f t="shared" si="2"/>
        <v>0</v>
      </c>
      <c r="O51" s="301">
        <f t="shared" si="63"/>
        <v>0</v>
      </c>
      <c r="P51" s="301">
        <f t="shared" si="64"/>
        <v>0</v>
      </c>
      <c r="Q51" s="301">
        <f t="shared" si="65"/>
        <v>0</v>
      </c>
      <c r="R51" s="301">
        <f t="shared" si="66"/>
        <v>0</v>
      </c>
      <c r="S51" s="301">
        <f t="shared" si="67"/>
        <v>0</v>
      </c>
      <c r="T51" s="301">
        <f t="shared" si="68"/>
        <v>0</v>
      </c>
      <c r="U51" s="301">
        <f t="shared" si="69"/>
        <v>0</v>
      </c>
      <c r="V51" s="304">
        <f t="shared" si="10"/>
        <v>0</v>
      </c>
      <c r="W51" s="304">
        <f t="shared" si="70"/>
        <v>0</v>
      </c>
      <c r="X51" s="345">
        <f t="shared" si="71"/>
        <v>0</v>
      </c>
      <c r="Y51" s="357">
        <v>0</v>
      </c>
      <c r="Z51" s="302">
        <f t="shared" si="13"/>
        <v>0</v>
      </c>
      <c r="AA51" s="302">
        <v>0</v>
      </c>
      <c r="AB51" s="302">
        <f t="shared" si="72"/>
        <v>0</v>
      </c>
      <c r="AC51" s="301">
        <f>0.200000002980232*AC$102</f>
        <v>0</v>
      </c>
      <c r="AD51" s="301">
        <f t="shared" si="15"/>
        <v>0</v>
      </c>
      <c r="AE51" s="302">
        <v>0</v>
      </c>
      <c r="AF51" s="302">
        <f t="shared" si="16"/>
        <v>0</v>
      </c>
      <c r="AG51" s="302">
        <f t="shared" si="73"/>
        <v>0</v>
      </c>
      <c r="AH51" s="302">
        <f t="shared" si="74"/>
        <v>0</v>
      </c>
      <c r="AI51" s="306">
        <f t="shared" si="75"/>
        <v>0</v>
      </c>
      <c r="AJ51" s="306">
        <f t="shared" si="76"/>
        <v>0</v>
      </c>
      <c r="AK51" s="302">
        <f t="shared" si="77"/>
        <v>0</v>
      </c>
      <c r="AL51" s="303">
        <v>220</v>
      </c>
      <c r="AM51" s="301">
        <f t="shared" si="78"/>
        <v>0</v>
      </c>
      <c r="AN51" s="305">
        <f t="shared" si="79"/>
        <v>0</v>
      </c>
      <c r="AO51" s="358">
        <f t="shared" si="80"/>
        <v>0</v>
      </c>
    </row>
    <row r="52" spans="1:41">
      <c r="A52" s="344">
        <v>0</v>
      </c>
      <c r="B52" s="299" t="s">
        <v>480</v>
      </c>
      <c r="C52" s="300" t="s">
        <v>406</v>
      </c>
      <c r="D52" s="300" t="s">
        <v>481</v>
      </c>
      <c r="E52" s="301">
        <v>12062.5</v>
      </c>
      <c r="F52" s="302"/>
      <c r="G52" s="301">
        <f>22*4*AP$1</f>
        <v>440</v>
      </c>
      <c r="H52" s="302">
        <v>4</v>
      </c>
      <c r="I52" s="302"/>
      <c r="J52" s="303">
        <f t="shared" si="62"/>
        <v>2026</v>
      </c>
      <c r="K52" s="303">
        <f t="shared" si="62"/>
        <v>2032</v>
      </c>
      <c r="L52" s="303">
        <f t="shared" si="62"/>
        <v>6</v>
      </c>
      <c r="M52" s="301">
        <v>0</v>
      </c>
      <c r="N52" s="301">
        <f t="shared" si="2"/>
        <v>0</v>
      </c>
      <c r="O52" s="301">
        <f t="shared" si="63"/>
        <v>0</v>
      </c>
      <c r="P52" s="301">
        <f t="shared" si="64"/>
        <v>0</v>
      </c>
      <c r="Q52" s="301">
        <f t="shared" si="65"/>
        <v>0</v>
      </c>
      <c r="R52" s="301">
        <f t="shared" si="66"/>
        <v>0</v>
      </c>
      <c r="S52" s="301">
        <f t="shared" si="67"/>
        <v>0</v>
      </c>
      <c r="T52" s="301">
        <f t="shared" si="68"/>
        <v>0</v>
      </c>
      <c r="U52" s="301">
        <f t="shared" si="69"/>
        <v>0</v>
      </c>
      <c r="V52" s="304">
        <f t="shared" si="10"/>
        <v>0</v>
      </c>
      <c r="W52" s="304">
        <f t="shared" si="70"/>
        <v>0</v>
      </c>
      <c r="X52" s="345">
        <f t="shared" si="71"/>
        <v>0</v>
      </c>
      <c r="Y52" s="357">
        <f>VLOOKUP(M52,'B.0.ConsumiblesMaquinaria'!C$7:D$16,2)</f>
        <v>3.5000000000000003E-2</v>
      </c>
      <c r="Z52" s="302">
        <f t="shared" si="13"/>
        <v>0</v>
      </c>
      <c r="AA52" s="302">
        <f>+'B.0.ConsumiblesMaquinaria'!J$23</f>
        <v>9.879999999999999</v>
      </c>
      <c r="AB52" s="302">
        <f t="shared" si="72"/>
        <v>1.73</v>
      </c>
      <c r="AC52" s="301">
        <f>0*AC$102</f>
        <v>0</v>
      </c>
      <c r="AD52" s="301">
        <f t="shared" si="15"/>
        <v>0</v>
      </c>
      <c r="AE52" s="302">
        <f>+'B.0.ConsumiblesMaquinaria'!J$22</f>
        <v>1.9</v>
      </c>
      <c r="AF52" s="302">
        <f t="shared" si="16"/>
        <v>0</v>
      </c>
      <c r="AG52" s="302">
        <f t="shared" si="73"/>
        <v>1.73</v>
      </c>
      <c r="AH52" s="302">
        <f t="shared" si="74"/>
        <v>0</v>
      </c>
      <c r="AI52" s="306">
        <f t="shared" si="75"/>
        <v>0</v>
      </c>
      <c r="AJ52" s="306">
        <f t="shared" si="76"/>
        <v>0</v>
      </c>
      <c r="AK52" s="302">
        <f t="shared" si="77"/>
        <v>0</v>
      </c>
      <c r="AL52" s="303">
        <v>220</v>
      </c>
      <c r="AM52" s="301">
        <f t="shared" si="78"/>
        <v>0</v>
      </c>
      <c r="AN52" s="305">
        <f t="shared" si="79"/>
        <v>0</v>
      </c>
      <c r="AO52" s="358">
        <f t="shared" si="80"/>
        <v>0</v>
      </c>
    </row>
    <row r="53" spans="1:41">
      <c r="A53" s="344">
        <v>0</v>
      </c>
      <c r="B53" s="299" t="s">
        <v>482</v>
      </c>
      <c r="C53" s="300" t="s">
        <v>417</v>
      </c>
      <c r="D53" s="300" t="s">
        <v>477</v>
      </c>
      <c r="E53" s="301">
        <v>699</v>
      </c>
      <c r="F53" s="302"/>
      <c r="G53" s="301">
        <f>22*12*AP$1</f>
        <v>1320</v>
      </c>
      <c r="H53" s="302">
        <v>4</v>
      </c>
      <c r="I53" s="302"/>
      <c r="J53" s="303">
        <f t="shared" si="62"/>
        <v>2026</v>
      </c>
      <c r="K53" s="303">
        <f t="shared" si="62"/>
        <v>2032</v>
      </c>
      <c r="L53" s="303">
        <f t="shared" si="62"/>
        <v>6</v>
      </c>
      <c r="M53" s="301">
        <v>1.1000000000000001</v>
      </c>
      <c r="N53" s="301">
        <f t="shared" si="2"/>
        <v>0</v>
      </c>
      <c r="O53" s="301">
        <f t="shared" si="63"/>
        <v>0</v>
      </c>
      <c r="P53" s="301">
        <f t="shared" si="64"/>
        <v>0</v>
      </c>
      <c r="Q53" s="301">
        <f t="shared" si="65"/>
        <v>0</v>
      </c>
      <c r="R53" s="301">
        <f t="shared" si="66"/>
        <v>0</v>
      </c>
      <c r="S53" s="301">
        <f t="shared" si="67"/>
        <v>0</v>
      </c>
      <c r="T53" s="301">
        <f t="shared" si="68"/>
        <v>0</v>
      </c>
      <c r="U53" s="301">
        <f t="shared" si="69"/>
        <v>0</v>
      </c>
      <c r="V53" s="304">
        <f t="shared" si="10"/>
        <v>0</v>
      </c>
      <c r="W53" s="304">
        <f t="shared" si="70"/>
        <v>0</v>
      </c>
      <c r="X53" s="345">
        <f t="shared" si="71"/>
        <v>0</v>
      </c>
      <c r="Y53" s="357">
        <f>VLOOKUP(M53,'B.0.ConsumiblesMaquinaria'!C$7:D$16,2)</f>
        <v>3.5000000000000003E-2</v>
      </c>
      <c r="Z53" s="302">
        <f t="shared" si="13"/>
        <v>0</v>
      </c>
      <c r="AA53" s="302">
        <f>+'B.0.ConsumiblesMaquinaria'!J$24</f>
        <v>4.8</v>
      </c>
      <c r="AB53" s="302">
        <f t="shared" si="72"/>
        <v>0.84</v>
      </c>
      <c r="AC53" s="301">
        <f>0.5*AC$102</f>
        <v>0</v>
      </c>
      <c r="AD53" s="301">
        <f t="shared" si="15"/>
        <v>0</v>
      </c>
      <c r="AE53" s="302">
        <f>+'B.0.ConsumiblesMaquinaria'!J$22</f>
        <v>1.9</v>
      </c>
      <c r="AF53" s="302">
        <f t="shared" si="16"/>
        <v>0</v>
      </c>
      <c r="AG53" s="302">
        <f t="shared" si="73"/>
        <v>0.84</v>
      </c>
      <c r="AH53" s="302">
        <f t="shared" si="74"/>
        <v>0</v>
      </c>
      <c r="AI53" s="306">
        <f t="shared" si="75"/>
        <v>0</v>
      </c>
      <c r="AJ53" s="306">
        <f t="shared" si="76"/>
        <v>0</v>
      </c>
      <c r="AK53" s="302">
        <f t="shared" si="77"/>
        <v>0</v>
      </c>
      <c r="AL53" s="303">
        <v>220</v>
      </c>
      <c r="AM53" s="301">
        <f t="shared" si="78"/>
        <v>0</v>
      </c>
      <c r="AN53" s="305">
        <f t="shared" si="79"/>
        <v>0</v>
      </c>
      <c r="AO53" s="358">
        <f t="shared" si="80"/>
        <v>0</v>
      </c>
    </row>
    <row r="54" spans="1:41">
      <c r="A54" s="344">
        <v>0</v>
      </c>
      <c r="B54" s="346" t="s">
        <v>483</v>
      </c>
      <c r="C54" s="347"/>
      <c r="D54" s="347" t="s">
        <v>475</v>
      </c>
      <c r="E54" s="348">
        <v>1875</v>
      </c>
      <c r="F54" s="349"/>
      <c r="G54" s="348">
        <f>22*12*AP$1</f>
        <v>1320</v>
      </c>
      <c r="H54" s="349">
        <v>4</v>
      </c>
      <c r="I54" s="349"/>
      <c r="J54" s="350">
        <f t="shared" si="62"/>
        <v>2026</v>
      </c>
      <c r="K54" s="350">
        <f t="shared" si="62"/>
        <v>2032</v>
      </c>
      <c r="L54" s="350">
        <f t="shared" si="62"/>
        <v>6</v>
      </c>
      <c r="M54" s="348">
        <v>3</v>
      </c>
      <c r="N54" s="348">
        <f t="shared" si="2"/>
        <v>0</v>
      </c>
      <c r="O54" s="348">
        <f t="shared" si="63"/>
        <v>0</v>
      </c>
      <c r="P54" s="348">
        <f t="shared" si="64"/>
        <v>0</v>
      </c>
      <c r="Q54" s="348">
        <f t="shared" si="65"/>
        <v>0</v>
      </c>
      <c r="R54" s="348">
        <f t="shared" si="66"/>
        <v>0</v>
      </c>
      <c r="S54" s="348">
        <f t="shared" si="67"/>
        <v>0</v>
      </c>
      <c r="T54" s="348">
        <f t="shared" si="68"/>
        <v>0</v>
      </c>
      <c r="U54" s="348">
        <f t="shared" si="69"/>
        <v>0</v>
      </c>
      <c r="V54" s="351">
        <f t="shared" si="10"/>
        <v>0</v>
      </c>
      <c r="W54" s="351">
        <f t="shared" si="70"/>
        <v>0</v>
      </c>
      <c r="X54" s="352">
        <f t="shared" si="71"/>
        <v>0</v>
      </c>
      <c r="Y54" s="359">
        <v>0</v>
      </c>
      <c r="Z54" s="349">
        <f t="shared" si="13"/>
        <v>0</v>
      </c>
      <c r="AA54" s="349">
        <v>0</v>
      </c>
      <c r="AB54" s="349">
        <f t="shared" si="72"/>
        <v>0</v>
      </c>
      <c r="AC54" s="348">
        <f>0*AC$102</f>
        <v>0</v>
      </c>
      <c r="AD54" s="348">
        <f t="shared" si="15"/>
        <v>0</v>
      </c>
      <c r="AE54" s="349">
        <v>0</v>
      </c>
      <c r="AF54" s="349">
        <f t="shared" si="16"/>
        <v>0</v>
      </c>
      <c r="AG54" s="349">
        <f t="shared" si="73"/>
        <v>0</v>
      </c>
      <c r="AH54" s="349">
        <f t="shared" si="74"/>
        <v>0</v>
      </c>
      <c r="AI54" s="360">
        <f t="shared" si="75"/>
        <v>0</v>
      </c>
      <c r="AJ54" s="360">
        <f t="shared" si="76"/>
        <v>0</v>
      </c>
      <c r="AK54" s="349">
        <f t="shared" si="77"/>
        <v>0</v>
      </c>
      <c r="AL54" s="350">
        <v>220</v>
      </c>
      <c r="AM54" s="348">
        <f t="shared" si="78"/>
        <v>0</v>
      </c>
      <c r="AN54" s="361">
        <f t="shared" si="79"/>
        <v>0</v>
      </c>
      <c r="AO54" s="362">
        <f t="shared" si="80"/>
        <v>0</v>
      </c>
    </row>
    <row r="55" spans="1:41">
      <c r="A55" s="712" t="s">
        <v>484</v>
      </c>
      <c r="B55" s="713"/>
      <c r="C55" s="713"/>
      <c r="D55" s="93"/>
      <c r="E55" s="93"/>
      <c r="F55" s="93"/>
      <c r="G55" s="93"/>
      <c r="H55" s="93"/>
      <c r="I55" s="93"/>
      <c r="J55" s="96"/>
      <c r="K55" s="96"/>
      <c r="L55" s="96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365"/>
    </row>
    <row r="56" spans="1:41">
      <c r="A56" s="344">
        <v>0</v>
      </c>
      <c r="B56" s="337" t="s">
        <v>485</v>
      </c>
      <c r="C56" s="338"/>
      <c r="D56" s="338" t="s">
        <v>486</v>
      </c>
      <c r="E56" s="339">
        <v>125</v>
      </c>
      <c r="F56" s="340"/>
      <c r="G56" s="339">
        <f>22*4*AP$1</f>
        <v>440</v>
      </c>
      <c r="H56" s="340">
        <v>2</v>
      </c>
      <c r="I56" s="340"/>
      <c r="J56" s="341">
        <f t="shared" ref="J56:L60" si="81">J$4</f>
        <v>2026</v>
      </c>
      <c r="K56" s="341">
        <f t="shared" si="81"/>
        <v>2032</v>
      </c>
      <c r="L56" s="341">
        <f t="shared" si="81"/>
        <v>6</v>
      </c>
      <c r="M56" s="339">
        <v>0</v>
      </c>
      <c r="N56" s="339">
        <f t="shared" si="2"/>
        <v>0</v>
      </c>
      <c r="O56" s="339">
        <f t="shared" ref="O56:O60" si="82">IF(A56&gt;0,E56/H56,0)</f>
        <v>0</v>
      </c>
      <c r="P56" s="339">
        <f t="shared" ref="P56:P60" si="83">O56*A56</f>
        <v>0</v>
      </c>
      <c r="Q56" s="339">
        <f t="shared" ref="Q56:Q60" si="84">IF(A56&gt;0,-PMT($Q$6,H56,E56)-O56,0)</f>
        <v>0</v>
      </c>
      <c r="R56" s="339">
        <f t="shared" ref="R56:R60" si="85">Q56*A56</f>
        <v>0</v>
      </c>
      <c r="S56" s="339">
        <f t="shared" ref="S56:S60" si="86">(R56+P56)</f>
        <v>0</v>
      </c>
      <c r="T56" s="339">
        <f t="shared" ref="T56:T60" si="87">O56*T$6</f>
        <v>0</v>
      </c>
      <c r="U56" s="339">
        <f t="shared" ref="U56:U60" si="88">T56*A56</f>
        <v>0</v>
      </c>
      <c r="V56" s="342">
        <f t="shared" si="10"/>
        <v>0</v>
      </c>
      <c r="W56" s="342">
        <f t="shared" ref="W56:W60" si="89">IF(A56&gt;0,(O56+Q56+T56),0)</f>
        <v>0</v>
      </c>
      <c r="X56" s="343">
        <f t="shared" ref="X56:X60" si="90">(O56+Q56+T56)*A56</f>
        <v>0</v>
      </c>
      <c r="Y56" s="353">
        <v>0</v>
      </c>
      <c r="Z56" s="340">
        <f t="shared" si="13"/>
        <v>0</v>
      </c>
      <c r="AA56" s="340">
        <v>0</v>
      </c>
      <c r="AB56" s="340">
        <f>+ROUND(Y56*AP$1*AA56,2)</f>
        <v>0</v>
      </c>
      <c r="AC56" s="339">
        <f>0*AC$102</f>
        <v>0</v>
      </c>
      <c r="AD56" s="339">
        <f t="shared" si="15"/>
        <v>0</v>
      </c>
      <c r="AE56" s="340">
        <v>0</v>
      </c>
      <c r="AF56" s="340">
        <f t="shared" si="16"/>
        <v>0</v>
      </c>
      <c r="AG56" s="340">
        <f t="shared" ref="AG56:AG60" si="91">AF56+AB56</f>
        <v>0</v>
      </c>
      <c r="AH56" s="340">
        <f t="shared" ref="AH56:AH60" si="92">(AG56*AL56)*A56</f>
        <v>0</v>
      </c>
      <c r="AI56" s="354">
        <f t="shared" ref="AI56:AI60" si="93">IF(A56&gt;0,E56*AI$6,0)</f>
        <v>0</v>
      </c>
      <c r="AJ56" s="354">
        <f t="shared" ref="AJ56:AJ60" si="94">(AI56*AL56)*A56</f>
        <v>0</v>
      </c>
      <c r="AK56" s="340">
        <f t="shared" ref="AK56:AK60" si="95">IF(A56&gt;0,(AF56+AB56+AI56),0)</f>
        <v>0</v>
      </c>
      <c r="AL56" s="341">
        <v>60</v>
      </c>
      <c r="AM56" s="339">
        <f t="shared" ref="AM56:AM60" si="96">AL56*AK56</f>
        <v>0</v>
      </c>
      <c r="AN56" s="355">
        <f t="shared" ref="AN56:AN60" si="97">AM56*A56</f>
        <v>0</v>
      </c>
      <c r="AO56" s="356">
        <f t="shared" ref="AO56:AO60" si="98">AN56+X56</f>
        <v>0</v>
      </c>
    </row>
    <row r="57" spans="1:41">
      <c r="A57" s="344">
        <v>0</v>
      </c>
      <c r="B57" s="299" t="s">
        <v>487</v>
      </c>
      <c r="C57" s="300" t="s">
        <v>406</v>
      </c>
      <c r="D57" s="300" t="s">
        <v>486</v>
      </c>
      <c r="E57" s="301">
        <v>750</v>
      </c>
      <c r="F57" s="302"/>
      <c r="G57" s="301">
        <f>22*4*AP$1</f>
        <v>440</v>
      </c>
      <c r="H57" s="302">
        <v>2</v>
      </c>
      <c r="I57" s="302"/>
      <c r="J57" s="303">
        <f t="shared" si="81"/>
        <v>2026</v>
      </c>
      <c r="K57" s="303">
        <f t="shared" si="81"/>
        <v>2032</v>
      </c>
      <c r="L57" s="303">
        <f t="shared" si="81"/>
        <v>6</v>
      </c>
      <c r="M57" s="301">
        <v>6</v>
      </c>
      <c r="N57" s="301">
        <f t="shared" si="2"/>
        <v>0</v>
      </c>
      <c r="O57" s="301">
        <f t="shared" si="82"/>
        <v>0</v>
      </c>
      <c r="P57" s="301">
        <f t="shared" si="83"/>
        <v>0</v>
      </c>
      <c r="Q57" s="301">
        <f t="shared" si="84"/>
        <v>0</v>
      </c>
      <c r="R57" s="301">
        <f t="shared" si="85"/>
        <v>0</v>
      </c>
      <c r="S57" s="301">
        <f t="shared" si="86"/>
        <v>0</v>
      </c>
      <c r="T57" s="301">
        <f t="shared" si="87"/>
        <v>0</v>
      </c>
      <c r="U57" s="301">
        <f t="shared" si="88"/>
        <v>0</v>
      </c>
      <c r="V57" s="304">
        <f t="shared" si="10"/>
        <v>0</v>
      </c>
      <c r="W57" s="304">
        <f t="shared" si="89"/>
        <v>0</v>
      </c>
      <c r="X57" s="345">
        <f t="shared" si="90"/>
        <v>0</v>
      </c>
      <c r="Y57" s="357">
        <f>VLOOKUP(M57,'B.0.ConsumiblesMaquinaria'!C$7:D$16,2)</f>
        <v>3.5000000000000003E-2</v>
      </c>
      <c r="Z57" s="302">
        <f t="shared" si="13"/>
        <v>0</v>
      </c>
      <c r="AA57" s="302">
        <f>+'B.0.ConsumiblesMaquinaria'!J$23</f>
        <v>9.879999999999999</v>
      </c>
      <c r="AB57" s="302">
        <f>+ROUND(Y57*AP$1*AA57,2)</f>
        <v>1.73</v>
      </c>
      <c r="AC57" s="301">
        <f>0.5*AC$102</f>
        <v>0</v>
      </c>
      <c r="AD57" s="301">
        <f t="shared" si="15"/>
        <v>0</v>
      </c>
      <c r="AE57" s="302">
        <f>+'B.0.ConsumiblesMaquinaria'!J$22</f>
        <v>1.9</v>
      </c>
      <c r="AF57" s="302">
        <f t="shared" si="16"/>
        <v>0</v>
      </c>
      <c r="AG57" s="302">
        <f t="shared" si="91"/>
        <v>1.73</v>
      </c>
      <c r="AH57" s="302">
        <f t="shared" si="92"/>
        <v>0</v>
      </c>
      <c r="AI57" s="306">
        <f t="shared" si="93"/>
        <v>0</v>
      </c>
      <c r="AJ57" s="306">
        <f t="shared" si="94"/>
        <v>0</v>
      </c>
      <c r="AK57" s="302">
        <f t="shared" si="95"/>
        <v>0</v>
      </c>
      <c r="AL57" s="303">
        <v>60</v>
      </c>
      <c r="AM57" s="301">
        <f t="shared" si="96"/>
        <v>0</v>
      </c>
      <c r="AN57" s="305">
        <f t="shared" si="97"/>
        <v>0</v>
      </c>
      <c r="AO57" s="358">
        <f t="shared" si="98"/>
        <v>0</v>
      </c>
    </row>
    <row r="58" spans="1:41">
      <c r="A58" s="344">
        <v>0</v>
      </c>
      <c r="B58" s="299" t="s">
        <v>488</v>
      </c>
      <c r="C58" s="300" t="s">
        <v>406</v>
      </c>
      <c r="D58" s="300" t="s">
        <v>486</v>
      </c>
      <c r="E58" s="301">
        <v>2250</v>
      </c>
      <c r="F58" s="302"/>
      <c r="G58" s="301">
        <f>22*4*AP$1</f>
        <v>440</v>
      </c>
      <c r="H58" s="302">
        <v>4</v>
      </c>
      <c r="I58" s="302"/>
      <c r="J58" s="303">
        <f t="shared" si="81"/>
        <v>2026</v>
      </c>
      <c r="K58" s="303">
        <f t="shared" si="81"/>
        <v>2032</v>
      </c>
      <c r="L58" s="303">
        <f t="shared" si="81"/>
        <v>6</v>
      </c>
      <c r="M58" s="301">
        <v>15</v>
      </c>
      <c r="N58" s="301">
        <f t="shared" si="2"/>
        <v>0</v>
      </c>
      <c r="O58" s="301">
        <f t="shared" si="82"/>
        <v>0</v>
      </c>
      <c r="P58" s="301">
        <f t="shared" si="83"/>
        <v>0</v>
      </c>
      <c r="Q58" s="301">
        <f t="shared" si="84"/>
        <v>0</v>
      </c>
      <c r="R58" s="301">
        <f t="shared" si="85"/>
        <v>0</v>
      </c>
      <c r="S58" s="301">
        <f t="shared" si="86"/>
        <v>0</v>
      </c>
      <c r="T58" s="301">
        <f t="shared" si="87"/>
        <v>0</v>
      </c>
      <c r="U58" s="301">
        <f t="shared" si="88"/>
        <v>0</v>
      </c>
      <c r="V58" s="304">
        <f t="shared" si="10"/>
        <v>0</v>
      </c>
      <c r="W58" s="304">
        <f t="shared" si="89"/>
        <v>0</v>
      </c>
      <c r="X58" s="345">
        <f t="shared" si="90"/>
        <v>0</v>
      </c>
      <c r="Y58" s="357">
        <f>VLOOKUP(M58,'B.0.ConsumiblesMaquinaria'!C$7:D$16,2)</f>
        <v>3.5000000000000003E-2</v>
      </c>
      <c r="Z58" s="302">
        <f t="shared" si="13"/>
        <v>0</v>
      </c>
      <c r="AA58" s="302">
        <f>+'B.0.ConsumiblesMaquinaria'!J$23</f>
        <v>9.879999999999999</v>
      </c>
      <c r="AB58" s="302">
        <f>+ROUND(Y58*AP$1*AA58,2)</f>
        <v>1.73</v>
      </c>
      <c r="AC58" s="301">
        <f>0.5*AC$102</f>
        <v>0</v>
      </c>
      <c r="AD58" s="301">
        <f t="shared" si="15"/>
        <v>0</v>
      </c>
      <c r="AE58" s="302">
        <f>+'B.0.ConsumiblesMaquinaria'!J$22</f>
        <v>1.9</v>
      </c>
      <c r="AF58" s="302">
        <f t="shared" si="16"/>
        <v>0</v>
      </c>
      <c r="AG58" s="302">
        <f t="shared" si="91"/>
        <v>1.73</v>
      </c>
      <c r="AH58" s="302">
        <f t="shared" si="92"/>
        <v>0</v>
      </c>
      <c r="AI58" s="306">
        <f t="shared" si="93"/>
        <v>0</v>
      </c>
      <c r="AJ58" s="306">
        <f t="shared" si="94"/>
        <v>0</v>
      </c>
      <c r="AK58" s="302">
        <f t="shared" si="95"/>
        <v>0</v>
      </c>
      <c r="AL58" s="303">
        <v>60</v>
      </c>
      <c r="AM58" s="301">
        <f t="shared" si="96"/>
        <v>0</v>
      </c>
      <c r="AN58" s="305">
        <f t="shared" si="97"/>
        <v>0</v>
      </c>
      <c r="AO58" s="358">
        <f t="shared" si="98"/>
        <v>0</v>
      </c>
    </row>
    <row r="59" spans="1:41">
      <c r="A59" s="344">
        <v>0</v>
      </c>
      <c r="B59" s="299" t="s">
        <v>489</v>
      </c>
      <c r="C59" s="300" t="s">
        <v>406</v>
      </c>
      <c r="D59" s="300" t="s">
        <v>486</v>
      </c>
      <c r="E59" s="301">
        <v>9750</v>
      </c>
      <c r="F59" s="302"/>
      <c r="G59" s="301">
        <f>22*4*AP$1</f>
        <v>440</v>
      </c>
      <c r="H59" s="302">
        <v>8</v>
      </c>
      <c r="I59" s="302"/>
      <c r="J59" s="303">
        <f t="shared" si="81"/>
        <v>2026</v>
      </c>
      <c r="K59" s="303">
        <f t="shared" si="81"/>
        <v>2032</v>
      </c>
      <c r="L59" s="303">
        <f t="shared" si="81"/>
        <v>6</v>
      </c>
      <c r="M59" s="301">
        <v>37</v>
      </c>
      <c r="N59" s="301">
        <f t="shared" si="2"/>
        <v>0</v>
      </c>
      <c r="O59" s="301">
        <f t="shared" si="82"/>
        <v>0</v>
      </c>
      <c r="P59" s="301">
        <f t="shared" si="83"/>
        <v>0</v>
      </c>
      <c r="Q59" s="301">
        <f t="shared" si="84"/>
        <v>0</v>
      </c>
      <c r="R59" s="301">
        <f t="shared" si="85"/>
        <v>0</v>
      </c>
      <c r="S59" s="301">
        <f t="shared" si="86"/>
        <v>0</v>
      </c>
      <c r="T59" s="301">
        <f t="shared" si="87"/>
        <v>0</v>
      </c>
      <c r="U59" s="301">
        <f t="shared" si="88"/>
        <v>0</v>
      </c>
      <c r="V59" s="304">
        <f t="shared" si="10"/>
        <v>0</v>
      </c>
      <c r="W59" s="304">
        <f t="shared" si="89"/>
        <v>0</v>
      </c>
      <c r="X59" s="345">
        <f t="shared" si="90"/>
        <v>0</v>
      </c>
      <c r="Y59" s="357">
        <f>VLOOKUP(M59,'B.0.ConsumiblesMaquinaria'!C$7:D$16,2)</f>
        <v>3.9E-2</v>
      </c>
      <c r="Z59" s="302">
        <f t="shared" si="13"/>
        <v>0</v>
      </c>
      <c r="AA59" s="302">
        <f>+'B.0.ConsumiblesMaquinaria'!J$23</f>
        <v>9.879999999999999</v>
      </c>
      <c r="AB59" s="302">
        <f>+ROUND(Y59*AP$1*AA59,2)</f>
        <v>1.93</v>
      </c>
      <c r="AC59" s="301">
        <f>1*AC$102</f>
        <v>0</v>
      </c>
      <c r="AD59" s="301">
        <f t="shared" si="15"/>
        <v>0</v>
      </c>
      <c r="AE59" s="302">
        <f>+'B.0.ConsumiblesMaquinaria'!J$22</f>
        <v>1.9</v>
      </c>
      <c r="AF59" s="302">
        <f t="shared" si="16"/>
        <v>0</v>
      </c>
      <c r="AG59" s="302">
        <f t="shared" si="91"/>
        <v>1.93</v>
      </c>
      <c r="AH59" s="302">
        <f t="shared" si="92"/>
        <v>0</v>
      </c>
      <c r="AI59" s="306">
        <f t="shared" si="93"/>
        <v>0</v>
      </c>
      <c r="AJ59" s="306">
        <f t="shared" si="94"/>
        <v>0</v>
      </c>
      <c r="AK59" s="302">
        <f t="shared" si="95"/>
        <v>0</v>
      </c>
      <c r="AL59" s="303">
        <v>60</v>
      </c>
      <c r="AM59" s="301">
        <f t="shared" si="96"/>
        <v>0</v>
      </c>
      <c r="AN59" s="305">
        <f t="shared" si="97"/>
        <v>0</v>
      </c>
      <c r="AO59" s="358">
        <f t="shared" si="98"/>
        <v>0</v>
      </c>
    </row>
    <row r="60" spans="1:41">
      <c r="A60" s="344">
        <v>0</v>
      </c>
      <c r="B60" s="346" t="s">
        <v>490</v>
      </c>
      <c r="C60" s="347" t="s">
        <v>406</v>
      </c>
      <c r="D60" s="347" t="s">
        <v>486</v>
      </c>
      <c r="E60" s="348">
        <v>25250</v>
      </c>
      <c r="F60" s="349"/>
      <c r="G60" s="348">
        <f>22*4*AP$1</f>
        <v>440</v>
      </c>
      <c r="H60" s="349">
        <v>4</v>
      </c>
      <c r="I60" s="349"/>
      <c r="J60" s="350">
        <f t="shared" si="81"/>
        <v>2026</v>
      </c>
      <c r="K60" s="350">
        <f t="shared" si="81"/>
        <v>2032</v>
      </c>
      <c r="L60" s="350">
        <f t="shared" si="81"/>
        <v>6</v>
      </c>
      <c r="M60" s="348">
        <v>37</v>
      </c>
      <c r="N60" s="348">
        <f t="shared" si="2"/>
        <v>0</v>
      </c>
      <c r="O60" s="348">
        <f t="shared" si="82"/>
        <v>0</v>
      </c>
      <c r="P60" s="348">
        <f t="shared" si="83"/>
        <v>0</v>
      </c>
      <c r="Q60" s="348">
        <f t="shared" si="84"/>
        <v>0</v>
      </c>
      <c r="R60" s="348">
        <f t="shared" si="85"/>
        <v>0</v>
      </c>
      <c r="S60" s="348">
        <f t="shared" si="86"/>
        <v>0</v>
      </c>
      <c r="T60" s="348">
        <f t="shared" si="87"/>
        <v>0</v>
      </c>
      <c r="U60" s="348">
        <f t="shared" si="88"/>
        <v>0</v>
      </c>
      <c r="V60" s="351">
        <f t="shared" si="10"/>
        <v>0</v>
      </c>
      <c r="W60" s="351">
        <f t="shared" si="89"/>
        <v>0</v>
      </c>
      <c r="X60" s="352">
        <f t="shared" si="90"/>
        <v>0</v>
      </c>
      <c r="Y60" s="359">
        <f>VLOOKUP(M60,'B.0.ConsumiblesMaquinaria'!C$7:D$16,2)</f>
        <v>3.9E-2</v>
      </c>
      <c r="Z60" s="349">
        <f t="shared" si="13"/>
        <v>0</v>
      </c>
      <c r="AA60" s="349">
        <f>+'B.0.ConsumiblesMaquinaria'!J$23</f>
        <v>9.879999999999999</v>
      </c>
      <c r="AB60" s="349">
        <f>+ROUND(Y60*AP$1*AA60,2)</f>
        <v>1.93</v>
      </c>
      <c r="AC60" s="348">
        <f>1.5*AC$102</f>
        <v>0</v>
      </c>
      <c r="AD60" s="348">
        <f t="shared" si="15"/>
        <v>0</v>
      </c>
      <c r="AE60" s="349">
        <f>+'B.0.ConsumiblesMaquinaria'!J$22</f>
        <v>1.9</v>
      </c>
      <c r="AF60" s="349">
        <f t="shared" si="16"/>
        <v>0</v>
      </c>
      <c r="AG60" s="349">
        <f t="shared" si="91"/>
        <v>1.93</v>
      </c>
      <c r="AH60" s="349">
        <f t="shared" si="92"/>
        <v>0</v>
      </c>
      <c r="AI60" s="360">
        <f t="shared" si="93"/>
        <v>0</v>
      </c>
      <c r="AJ60" s="360">
        <f t="shared" si="94"/>
        <v>0</v>
      </c>
      <c r="AK60" s="349">
        <f t="shared" si="95"/>
        <v>0</v>
      </c>
      <c r="AL60" s="350">
        <v>60</v>
      </c>
      <c r="AM60" s="348">
        <f t="shared" si="96"/>
        <v>0</v>
      </c>
      <c r="AN60" s="361">
        <f t="shared" si="97"/>
        <v>0</v>
      </c>
      <c r="AO60" s="362">
        <f t="shared" si="98"/>
        <v>0</v>
      </c>
    </row>
    <row r="61" spans="1:41">
      <c r="A61" s="712" t="s">
        <v>491</v>
      </c>
      <c r="B61" s="713"/>
      <c r="C61" s="713"/>
      <c r="D61" s="93"/>
      <c r="E61" s="93"/>
      <c r="F61" s="93"/>
      <c r="G61" s="93"/>
      <c r="H61" s="93"/>
      <c r="I61" s="93"/>
      <c r="J61" s="96"/>
      <c r="K61" s="96"/>
      <c r="L61" s="96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366"/>
      <c r="AO61" s="367"/>
    </row>
    <row r="62" spans="1:41">
      <c r="A62" s="344">
        <v>0</v>
      </c>
      <c r="B62" s="337" t="s">
        <v>492</v>
      </c>
      <c r="C62" s="338"/>
      <c r="D62" s="338" t="s">
        <v>491</v>
      </c>
      <c r="E62" s="339">
        <v>2437.5</v>
      </c>
      <c r="F62" s="340"/>
      <c r="G62" s="339">
        <f>22*4*AP$1</f>
        <v>440</v>
      </c>
      <c r="H62" s="340">
        <v>8</v>
      </c>
      <c r="I62" s="340"/>
      <c r="J62" s="341">
        <f t="shared" ref="J62:L64" si="99">J$4</f>
        <v>2026</v>
      </c>
      <c r="K62" s="341">
        <f t="shared" si="99"/>
        <v>2032</v>
      </c>
      <c r="L62" s="341">
        <f t="shared" si="99"/>
        <v>6</v>
      </c>
      <c r="M62" s="339">
        <v>0</v>
      </c>
      <c r="N62" s="339">
        <f t="shared" si="2"/>
        <v>0</v>
      </c>
      <c r="O62" s="339">
        <f t="shared" ref="O62:O64" si="100">IF(A62&gt;0,E62/H62,0)</f>
        <v>0</v>
      </c>
      <c r="P62" s="339">
        <f t="shared" ref="P62:P64" si="101">O62*A62</f>
        <v>0</v>
      </c>
      <c r="Q62" s="339">
        <f t="shared" ref="Q62:Q64" si="102">IF(A62&gt;0,-PMT($Q$6,H62,E62)-O62,0)</f>
        <v>0</v>
      </c>
      <c r="R62" s="339">
        <f t="shared" ref="R62:R64" si="103">Q62*A62</f>
        <v>0</v>
      </c>
      <c r="S62" s="339">
        <f t="shared" ref="S62:S78" si="104">(R62+P62)</f>
        <v>0</v>
      </c>
      <c r="T62" s="339">
        <f t="shared" ref="T62:T64" si="105">O62*T$6</f>
        <v>0</v>
      </c>
      <c r="U62" s="339">
        <f t="shared" ref="U62:U64" si="106">T62*A62</f>
        <v>0</v>
      </c>
      <c r="V62" s="342">
        <f t="shared" si="10"/>
        <v>0</v>
      </c>
      <c r="W62" s="342">
        <f t="shared" ref="W62:W64" si="107">IF(A62&gt;0,(O62+Q62+T62),0)</f>
        <v>0</v>
      </c>
      <c r="X62" s="343">
        <f t="shared" ref="X62:X64" si="108">(O62+Q62+T62)*A62</f>
        <v>0</v>
      </c>
      <c r="Y62" s="353">
        <v>0</v>
      </c>
      <c r="Z62" s="340">
        <f t="shared" si="13"/>
        <v>0</v>
      </c>
      <c r="AA62" s="340">
        <v>0</v>
      </c>
      <c r="AB62" s="340">
        <f>+ROUND(Y62*AP$1*AA62,2)</f>
        <v>0</v>
      </c>
      <c r="AC62" s="339">
        <f>0*AC$102</f>
        <v>0</v>
      </c>
      <c r="AD62" s="339">
        <f t="shared" si="15"/>
        <v>0</v>
      </c>
      <c r="AE62" s="340">
        <f>+'B.0.ConsumiblesMaquinaria'!J$22</f>
        <v>1.9</v>
      </c>
      <c r="AF62" s="340">
        <f t="shared" si="16"/>
        <v>0</v>
      </c>
      <c r="AG62" s="340">
        <f t="shared" ref="AG62:AG64" si="109">AF62+AB62</f>
        <v>0</v>
      </c>
      <c r="AH62" s="340">
        <f t="shared" ref="AH62:AH64" si="110">(AG62*AL62)*A62</f>
        <v>0</v>
      </c>
      <c r="AI62" s="354">
        <f t="shared" ref="AI62:AI64" si="111">IF(A62&gt;0,E62*AI$6,0)</f>
        <v>0</v>
      </c>
      <c r="AJ62" s="354">
        <f t="shared" ref="AJ62:AJ64" si="112">(AI62*AL62)*A62</f>
        <v>0</v>
      </c>
      <c r="AK62" s="340">
        <f t="shared" ref="AK62:AK64" si="113">IF(A62&gt;0,(AF62+AB62+AI62),0)</f>
        <v>0</v>
      </c>
      <c r="AL62" s="341">
        <v>80</v>
      </c>
      <c r="AM62" s="339">
        <f t="shared" ref="AM62:AM64" si="114">AL62*AK62</f>
        <v>0</v>
      </c>
      <c r="AN62" s="355">
        <f t="shared" ref="AN62:AN64" si="115">AM62*A62</f>
        <v>0</v>
      </c>
      <c r="AO62" s="356">
        <f t="shared" ref="AO62:AO64" si="116">AN62+X62</f>
        <v>0</v>
      </c>
    </row>
    <row r="63" spans="1:41">
      <c r="A63" s="344">
        <v>0</v>
      </c>
      <c r="B63" s="299" t="s">
        <v>493</v>
      </c>
      <c r="C63" s="300" t="s">
        <v>406</v>
      </c>
      <c r="D63" s="300" t="s">
        <v>491</v>
      </c>
      <c r="E63" s="301">
        <v>1133.75</v>
      </c>
      <c r="F63" s="302"/>
      <c r="G63" s="301">
        <f>22*4*AP$1</f>
        <v>440</v>
      </c>
      <c r="H63" s="302">
        <v>4</v>
      </c>
      <c r="I63" s="302"/>
      <c r="J63" s="303">
        <f t="shared" si="99"/>
        <v>2026</v>
      </c>
      <c r="K63" s="303">
        <f t="shared" si="99"/>
        <v>2032</v>
      </c>
      <c r="L63" s="303">
        <f t="shared" si="99"/>
        <v>6</v>
      </c>
      <c r="M63" s="301">
        <v>5.5</v>
      </c>
      <c r="N63" s="301">
        <f t="shared" si="2"/>
        <v>0</v>
      </c>
      <c r="O63" s="301">
        <f t="shared" si="100"/>
        <v>0</v>
      </c>
      <c r="P63" s="301">
        <f t="shared" si="101"/>
        <v>0</v>
      </c>
      <c r="Q63" s="301">
        <f t="shared" si="102"/>
        <v>0</v>
      </c>
      <c r="R63" s="301">
        <f t="shared" si="103"/>
        <v>0</v>
      </c>
      <c r="S63" s="301">
        <f t="shared" si="104"/>
        <v>0</v>
      </c>
      <c r="T63" s="301">
        <f t="shared" si="105"/>
        <v>0</v>
      </c>
      <c r="U63" s="301">
        <f t="shared" si="106"/>
        <v>0</v>
      </c>
      <c r="V63" s="304">
        <f t="shared" si="10"/>
        <v>0</v>
      </c>
      <c r="W63" s="304">
        <f t="shared" si="107"/>
        <v>0</v>
      </c>
      <c r="X63" s="345">
        <f t="shared" si="108"/>
        <v>0</v>
      </c>
      <c r="Y63" s="357">
        <f>VLOOKUP(M63,'B.0.ConsumiblesMaquinaria'!C$7:D$16,2)</f>
        <v>3.5000000000000003E-2</v>
      </c>
      <c r="Z63" s="302">
        <f t="shared" si="13"/>
        <v>0</v>
      </c>
      <c r="AA63" s="302">
        <f>+'B.0.ConsumiblesMaquinaria'!J$23</f>
        <v>9.879999999999999</v>
      </c>
      <c r="AB63" s="302">
        <f>+ROUND(Y63*AP$1*AA63,2)</f>
        <v>1.73</v>
      </c>
      <c r="AC63" s="301">
        <f>2.04*AC$102</f>
        <v>0</v>
      </c>
      <c r="AD63" s="301">
        <f t="shared" si="15"/>
        <v>0</v>
      </c>
      <c r="AE63" s="302">
        <f>+'B.0.ConsumiblesMaquinaria'!J$22</f>
        <v>1.9</v>
      </c>
      <c r="AF63" s="302">
        <f t="shared" si="16"/>
        <v>0</v>
      </c>
      <c r="AG63" s="302">
        <f t="shared" si="109"/>
        <v>1.73</v>
      </c>
      <c r="AH63" s="302">
        <f t="shared" si="110"/>
        <v>0</v>
      </c>
      <c r="AI63" s="306">
        <f t="shared" si="111"/>
        <v>0</v>
      </c>
      <c r="AJ63" s="306">
        <f t="shared" si="112"/>
        <v>0</v>
      </c>
      <c r="AK63" s="302">
        <f t="shared" si="113"/>
        <v>0</v>
      </c>
      <c r="AL63" s="303">
        <v>80</v>
      </c>
      <c r="AM63" s="301">
        <f t="shared" si="114"/>
        <v>0</v>
      </c>
      <c r="AN63" s="305">
        <f t="shared" si="115"/>
        <v>0</v>
      </c>
      <c r="AO63" s="358">
        <f t="shared" si="116"/>
        <v>0</v>
      </c>
    </row>
    <row r="64" spans="1:41">
      <c r="A64" s="344">
        <v>0</v>
      </c>
      <c r="B64" s="346" t="s">
        <v>494</v>
      </c>
      <c r="C64" s="347"/>
      <c r="D64" s="347" t="s">
        <v>491</v>
      </c>
      <c r="E64" s="348">
        <v>4375</v>
      </c>
      <c r="F64" s="349"/>
      <c r="G64" s="348">
        <f>22*4*AP$1</f>
        <v>440</v>
      </c>
      <c r="H64" s="349">
        <v>4</v>
      </c>
      <c r="I64" s="349"/>
      <c r="J64" s="350">
        <f t="shared" si="99"/>
        <v>2026</v>
      </c>
      <c r="K64" s="350">
        <f t="shared" si="99"/>
        <v>2032</v>
      </c>
      <c r="L64" s="350">
        <f t="shared" si="99"/>
        <v>6</v>
      </c>
      <c r="M64" s="348">
        <v>0</v>
      </c>
      <c r="N64" s="348">
        <f t="shared" si="2"/>
        <v>0</v>
      </c>
      <c r="O64" s="348">
        <f t="shared" si="100"/>
        <v>0</v>
      </c>
      <c r="P64" s="348">
        <f t="shared" si="101"/>
        <v>0</v>
      </c>
      <c r="Q64" s="348">
        <f t="shared" si="102"/>
        <v>0</v>
      </c>
      <c r="R64" s="348">
        <f t="shared" si="103"/>
        <v>0</v>
      </c>
      <c r="S64" s="348">
        <f t="shared" si="104"/>
        <v>0</v>
      </c>
      <c r="T64" s="348">
        <f t="shared" si="105"/>
        <v>0</v>
      </c>
      <c r="U64" s="348">
        <f t="shared" si="106"/>
        <v>0</v>
      </c>
      <c r="V64" s="351">
        <f t="shared" si="10"/>
        <v>0</v>
      </c>
      <c r="W64" s="351">
        <f t="shared" si="107"/>
        <v>0</v>
      </c>
      <c r="X64" s="352">
        <f t="shared" si="108"/>
        <v>0</v>
      </c>
      <c r="Y64" s="359">
        <v>0</v>
      </c>
      <c r="Z64" s="349">
        <f t="shared" si="13"/>
        <v>0</v>
      </c>
      <c r="AA64" s="349">
        <v>0</v>
      </c>
      <c r="AB64" s="349">
        <f>+ROUND(Y64*AP$1*AA64,2)</f>
        <v>0</v>
      </c>
      <c r="AC64" s="348">
        <f>0*AC$102</f>
        <v>0</v>
      </c>
      <c r="AD64" s="348">
        <f t="shared" si="15"/>
        <v>0</v>
      </c>
      <c r="AE64" s="349">
        <v>0</v>
      </c>
      <c r="AF64" s="349">
        <f t="shared" si="16"/>
        <v>0</v>
      </c>
      <c r="AG64" s="349">
        <f t="shared" si="109"/>
        <v>0</v>
      </c>
      <c r="AH64" s="349">
        <f t="shared" si="110"/>
        <v>0</v>
      </c>
      <c r="AI64" s="360">
        <f t="shared" si="111"/>
        <v>0</v>
      </c>
      <c r="AJ64" s="360">
        <f t="shared" si="112"/>
        <v>0</v>
      </c>
      <c r="AK64" s="349">
        <f t="shared" si="113"/>
        <v>0</v>
      </c>
      <c r="AL64" s="350">
        <v>80</v>
      </c>
      <c r="AM64" s="348">
        <f t="shared" si="114"/>
        <v>0</v>
      </c>
      <c r="AN64" s="361">
        <f t="shared" si="115"/>
        <v>0</v>
      </c>
      <c r="AO64" s="362">
        <f t="shared" si="116"/>
        <v>0</v>
      </c>
    </row>
    <row r="65" spans="1:41">
      <c r="A65" s="712" t="s">
        <v>495</v>
      </c>
      <c r="B65" s="713"/>
      <c r="C65" s="713"/>
      <c r="D65" s="93"/>
      <c r="E65" s="93"/>
      <c r="F65" s="93"/>
      <c r="G65" s="93"/>
      <c r="H65" s="93"/>
      <c r="I65" s="93"/>
      <c r="J65" s="96"/>
      <c r="K65" s="96"/>
      <c r="L65" s="96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366"/>
      <c r="AO65" s="367"/>
    </row>
    <row r="66" spans="1:41">
      <c r="A66" s="344">
        <v>0</v>
      </c>
      <c r="B66" s="337" t="s">
        <v>496</v>
      </c>
      <c r="C66" s="338" t="s">
        <v>406</v>
      </c>
      <c r="D66" s="338" t="s">
        <v>497</v>
      </c>
      <c r="E66" s="339">
        <v>25562.5</v>
      </c>
      <c r="F66" s="340"/>
      <c r="G66" s="339">
        <f>22*4*AP$1</f>
        <v>440</v>
      </c>
      <c r="H66" s="340">
        <v>8</v>
      </c>
      <c r="I66" s="340"/>
      <c r="J66" s="341">
        <f t="shared" ref="J66:L78" si="117">J$4</f>
        <v>2026</v>
      </c>
      <c r="K66" s="341">
        <f t="shared" si="117"/>
        <v>2032</v>
      </c>
      <c r="L66" s="341">
        <f t="shared" si="117"/>
        <v>6</v>
      </c>
      <c r="M66" s="339">
        <v>54</v>
      </c>
      <c r="N66" s="339">
        <f t="shared" si="2"/>
        <v>0</v>
      </c>
      <c r="O66" s="339">
        <f t="shared" ref="O66:O78" si="118">IF(A66&gt;0,E66/H66,0)</f>
        <v>0</v>
      </c>
      <c r="P66" s="339">
        <f t="shared" ref="P66:P78" si="119">O66*A66</f>
        <v>0</v>
      </c>
      <c r="Q66" s="339">
        <f t="shared" ref="Q66:Q78" si="120">IF(A66&gt;0,-PMT($Q$6,H66,E66)-O66,0)</f>
        <v>0</v>
      </c>
      <c r="R66" s="339">
        <f t="shared" ref="R66:R78" si="121">Q66*A66</f>
        <v>0</v>
      </c>
      <c r="S66" s="339">
        <f t="shared" si="104"/>
        <v>0</v>
      </c>
      <c r="T66" s="339">
        <f t="shared" ref="T66:T78" si="122">O66*T$6</f>
        <v>0</v>
      </c>
      <c r="U66" s="339">
        <f t="shared" ref="U66:U78" si="123">T66*A66</f>
        <v>0</v>
      </c>
      <c r="V66" s="342">
        <f t="shared" si="10"/>
        <v>0</v>
      </c>
      <c r="W66" s="342">
        <f t="shared" ref="W66:W78" si="124">IF(A66&gt;0,(O66+Q66+T66),0)</f>
        <v>0</v>
      </c>
      <c r="X66" s="343">
        <f t="shared" ref="X66:X78" si="125">(O66+Q66+T66)*A66</f>
        <v>0</v>
      </c>
      <c r="Y66" s="353">
        <f>VLOOKUP(M66,'B.0.ConsumiblesMaquinaria'!C$7:D$16,2)</f>
        <v>4.7E-2</v>
      </c>
      <c r="Z66" s="340">
        <f t="shared" si="13"/>
        <v>0</v>
      </c>
      <c r="AA66" s="340">
        <f>+'B.0.ConsumiblesMaquinaria'!J$23</f>
        <v>9.879999999999999</v>
      </c>
      <c r="AB66" s="340">
        <f t="shared" ref="AB66:AB78" si="126">+ROUND(Y66*AP$1*AA66,2)</f>
        <v>2.3199999999999998</v>
      </c>
      <c r="AC66" s="339">
        <f>4*AC$102</f>
        <v>0</v>
      </c>
      <c r="AD66" s="339">
        <f t="shared" si="15"/>
        <v>0</v>
      </c>
      <c r="AE66" s="340">
        <f>+'B.0.ConsumiblesMaquinaria'!J$22</f>
        <v>1.9</v>
      </c>
      <c r="AF66" s="340">
        <f t="shared" si="16"/>
        <v>0</v>
      </c>
      <c r="AG66" s="340">
        <f t="shared" ref="AG66:AG78" si="127">AF66+AB66</f>
        <v>2.3199999999999998</v>
      </c>
      <c r="AH66" s="340">
        <f t="shared" ref="AH66:AH78" si="128">(AG66*AL66)*A66</f>
        <v>0</v>
      </c>
      <c r="AI66" s="354">
        <f t="shared" ref="AI66:AI78" si="129">IF(A66&gt;0,E66*AI$6,0)</f>
        <v>0</v>
      </c>
      <c r="AJ66" s="354">
        <f t="shared" ref="AJ66:AJ78" si="130">(AI66*AL66)*A66</f>
        <v>0</v>
      </c>
      <c r="AK66" s="340">
        <f t="shared" ref="AK66:AK78" si="131">IF(A66&gt;0,(AF66+AB66+AI66),0)</f>
        <v>0</v>
      </c>
      <c r="AL66" s="341">
        <v>80</v>
      </c>
      <c r="AM66" s="339">
        <f t="shared" ref="AM66:AM78" si="132">AL66*AK66</f>
        <v>0</v>
      </c>
      <c r="AN66" s="355">
        <f t="shared" ref="AN66:AN78" si="133">AM66*A66</f>
        <v>0</v>
      </c>
      <c r="AO66" s="356">
        <f t="shared" ref="AO66:AO78" si="134">AN66+X66</f>
        <v>0</v>
      </c>
    </row>
    <row r="67" spans="1:41">
      <c r="A67" s="344">
        <v>0</v>
      </c>
      <c r="B67" s="299" t="s">
        <v>498</v>
      </c>
      <c r="C67" s="300" t="s">
        <v>406</v>
      </c>
      <c r="D67" s="300" t="s">
        <v>497</v>
      </c>
      <c r="E67" s="301">
        <v>42625</v>
      </c>
      <c r="F67" s="302"/>
      <c r="G67" s="301">
        <f t="shared" ref="G67:G76" si="135">22*4*AP$1</f>
        <v>440</v>
      </c>
      <c r="H67" s="302">
        <v>8</v>
      </c>
      <c r="I67" s="302"/>
      <c r="J67" s="303">
        <f t="shared" si="117"/>
        <v>2026</v>
      </c>
      <c r="K67" s="303">
        <f t="shared" si="117"/>
        <v>2032</v>
      </c>
      <c r="L67" s="303">
        <f t="shared" si="117"/>
        <v>6</v>
      </c>
      <c r="M67" s="301">
        <v>83</v>
      </c>
      <c r="N67" s="301">
        <f t="shared" si="2"/>
        <v>0</v>
      </c>
      <c r="O67" s="301">
        <f t="shared" si="118"/>
        <v>0</v>
      </c>
      <c r="P67" s="301">
        <f t="shared" si="119"/>
        <v>0</v>
      </c>
      <c r="Q67" s="301">
        <f t="shared" si="120"/>
        <v>0</v>
      </c>
      <c r="R67" s="301">
        <f t="shared" si="121"/>
        <v>0</v>
      </c>
      <c r="S67" s="301">
        <f t="shared" si="104"/>
        <v>0</v>
      </c>
      <c r="T67" s="301">
        <f t="shared" si="122"/>
        <v>0</v>
      </c>
      <c r="U67" s="301">
        <f t="shared" si="123"/>
        <v>0</v>
      </c>
      <c r="V67" s="304">
        <f t="shared" si="10"/>
        <v>0</v>
      </c>
      <c r="W67" s="304">
        <f t="shared" si="124"/>
        <v>0</v>
      </c>
      <c r="X67" s="345">
        <f t="shared" si="125"/>
        <v>0</v>
      </c>
      <c r="Y67" s="357">
        <f>VLOOKUP(M67,'B.0.ConsumiblesMaquinaria'!C$7:D$16,2)</f>
        <v>7.5999999999999998E-2</v>
      </c>
      <c r="Z67" s="302">
        <f t="shared" si="13"/>
        <v>0</v>
      </c>
      <c r="AA67" s="302">
        <f>+'B.0.ConsumiblesMaquinaria'!J$23</f>
        <v>9.879999999999999</v>
      </c>
      <c r="AB67" s="302">
        <f t="shared" si="126"/>
        <v>3.75</v>
      </c>
      <c r="AC67" s="301">
        <f>8.5*AC$102</f>
        <v>0</v>
      </c>
      <c r="AD67" s="301">
        <f t="shared" si="15"/>
        <v>0</v>
      </c>
      <c r="AE67" s="302">
        <f>+'B.0.ConsumiblesMaquinaria'!J$22</f>
        <v>1.9</v>
      </c>
      <c r="AF67" s="302">
        <f t="shared" si="16"/>
        <v>0</v>
      </c>
      <c r="AG67" s="302">
        <f t="shared" si="127"/>
        <v>3.75</v>
      </c>
      <c r="AH67" s="302">
        <f t="shared" si="128"/>
        <v>0</v>
      </c>
      <c r="AI67" s="306">
        <f t="shared" si="129"/>
        <v>0</v>
      </c>
      <c r="AJ67" s="306">
        <f t="shared" si="130"/>
        <v>0</v>
      </c>
      <c r="AK67" s="302">
        <f t="shared" si="131"/>
        <v>0</v>
      </c>
      <c r="AL67" s="303">
        <v>80</v>
      </c>
      <c r="AM67" s="301">
        <f t="shared" si="132"/>
        <v>0</v>
      </c>
      <c r="AN67" s="305">
        <f t="shared" si="133"/>
        <v>0</v>
      </c>
      <c r="AO67" s="358">
        <f t="shared" si="134"/>
        <v>0</v>
      </c>
    </row>
    <row r="68" spans="1:41">
      <c r="A68" s="344">
        <v>0</v>
      </c>
      <c r="B68" s="299" t="s">
        <v>499</v>
      </c>
      <c r="C68" s="300"/>
      <c r="D68" s="300" t="s">
        <v>441</v>
      </c>
      <c r="E68" s="301">
        <v>3500</v>
      </c>
      <c r="F68" s="302"/>
      <c r="G68" s="301">
        <f t="shared" si="135"/>
        <v>440</v>
      </c>
      <c r="H68" s="302">
        <v>4</v>
      </c>
      <c r="I68" s="302"/>
      <c r="J68" s="303">
        <f t="shared" si="117"/>
        <v>2026</v>
      </c>
      <c r="K68" s="303">
        <f t="shared" si="117"/>
        <v>2032</v>
      </c>
      <c r="L68" s="303">
        <f t="shared" si="117"/>
        <v>6</v>
      </c>
      <c r="M68" s="301">
        <v>0</v>
      </c>
      <c r="N68" s="301">
        <f t="shared" si="2"/>
        <v>0</v>
      </c>
      <c r="O68" s="301">
        <f t="shared" si="118"/>
        <v>0</v>
      </c>
      <c r="P68" s="301">
        <f t="shared" si="119"/>
        <v>0</v>
      </c>
      <c r="Q68" s="301">
        <f t="shared" si="120"/>
        <v>0</v>
      </c>
      <c r="R68" s="301">
        <f t="shared" si="121"/>
        <v>0</v>
      </c>
      <c r="S68" s="301">
        <f t="shared" si="104"/>
        <v>0</v>
      </c>
      <c r="T68" s="301">
        <f t="shared" si="122"/>
        <v>0</v>
      </c>
      <c r="U68" s="301">
        <f t="shared" si="123"/>
        <v>0</v>
      </c>
      <c r="V68" s="304">
        <f t="shared" si="10"/>
        <v>0</v>
      </c>
      <c r="W68" s="304">
        <f t="shared" si="124"/>
        <v>0</v>
      </c>
      <c r="X68" s="345">
        <f t="shared" si="125"/>
        <v>0</v>
      </c>
      <c r="Y68" s="357">
        <v>0</v>
      </c>
      <c r="Z68" s="302">
        <f t="shared" si="13"/>
        <v>0</v>
      </c>
      <c r="AA68" s="302">
        <v>0</v>
      </c>
      <c r="AB68" s="302">
        <f t="shared" si="126"/>
        <v>0</v>
      </c>
      <c r="AC68" s="301">
        <f t="shared" ref="AC68:AC78" si="136">0*AC$102</f>
        <v>0</v>
      </c>
      <c r="AD68" s="301">
        <f t="shared" si="15"/>
        <v>0</v>
      </c>
      <c r="AE68" s="302">
        <f>+'B.0.ConsumiblesMaquinaria'!J$22</f>
        <v>1.9</v>
      </c>
      <c r="AF68" s="302">
        <f t="shared" si="16"/>
        <v>0</v>
      </c>
      <c r="AG68" s="302">
        <f t="shared" si="127"/>
        <v>0</v>
      </c>
      <c r="AH68" s="302">
        <f t="shared" si="128"/>
        <v>0</v>
      </c>
      <c r="AI68" s="306">
        <f t="shared" si="129"/>
        <v>0</v>
      </c>
      <c r="AJ68" s="306">
        <f t="shared" si="130"/>
        <v>0</v>
      </c>
      <c r="AK68" s="302">
        <f t="shared" si="131"/>
        <v>0</v>
      </c>
      <c r="AL68" s="303">
        <v>80</v>
      </c>
      <c r="AM68" s="301">
        <f t="shared" si="132"/>
        <v>0</v>
      </c>
      <c r="AN68" s="305">
        <f t="shared" si="133"/>
        <v>0</v>
      </c>
      <c r="AO68" s="358">
        <f t="shared" si="134"/>
        <v>0</v>
      </c>
    </row>
    <row r="69" spans="1:41">
      <c r="A69" s="344">
        <v>0</v>
      </c>
      <c r="B69" s="299" t="s">
        <v>500</v>
      </c>
      <c r="C69" s="300"/>
      <c r="D69" s="300" t="s">
        <v>441</v>
      </c>
      <c r="E69" s="301">
        <v>4375</v>
      </c>
      <c r="F69" s="302"/>
      <c r="G69" s="301">
        <f t="shared" si="135"/>
        <v>440</v>
      </c>
      <c r="H69" s="302">
        <v>4</v>
      </c>
      <c r="I69" s="302"/>
      <c r="J69" s="303">
        <f t="shared" si="117"/>
        <v>2026</v>
      </c>
      <c r="K69" s="303">
        <f t="shared" si="117"/>
        <v>2032</v>
      </c>
      <c r="L69" s="303">
        <f t="shared" si="117"/>
        <v>6</v>
      </c>
      <c r="M69" s="301">
        <v>0</v>
      </c>
      <c r="N69" s="301">
        <f t="shared" si="2"/>
        <v>0</v>
      </c>
      <c r="O69" s="301">
        <f t="shared" si="118"/>
        <v>0</v>
      </c>
      <c r="P69" s="301">
        <f t="shared" si="119"/>
        <v>0</v>
      </c>
      <c r="Q69" s="301">
        <f t="shared" si="120"/>
        <v>0</v>
      </c>
      <c r="R69" s="301">
        <f t="shared" si="121"/>
        <v>0</v>
      </c>
      <c r="S69" s="301">
        <f t="shared" si="104"/>
        <v>0</v>
      </c>
      <c r="T69" s="301">
        <f t="shared" si="122"/>
        <v>0</v>
      </c>
      <c r="U69" s="301">
        <f t="shared" si="123"/>
        <v>0</v>
      </c>
      <c r="V69" s="304">
        <f t="shared" si="10"/>
        <v>0</v>
      </c>
      <c r="W69" s="304">
        <f t="shared" si="124"/>
        <v>0</v>
      </c>
      <c r="X69" s="345">
        <f t="shared" si="125"/>
        <v>0</v>
      </c>
      <c r="Y69" s="357">
        <v>0</v>
      </c>
      <c r="Z69" s="302">
        <f t="shared" si="13"/>
        <v>0</v>
      </c>
      <c r="AA69" s="302">
        <v>0</v>
      </c>
      <c r="AB69" s="302">
        <f t="shared" si="126"/>
        <v>0</v>
      </c>
      <c r="AC69" s="301">
        <f t="shared" si="136"/>
        <v>0</v>
      </c>
      <c r="AD69" s="301">
        <f t="shared" si="15"/>
        <v>0</v>
      </c>
      <c r="AE69" s="302">
        <f>+'B.0.ConsumiblesMaquinaria'!J$22</f>
        <v>1.9</v>
      </c>
      <c r="AF69" s="302">
        <f t="shared" si="16"/>
        <v>0</v>
      </c>
      <c r="AG69" s="302">
        <f t="shared" si="127"/>
        <v>0</v>
      </c>
      <c r="AH69" s="302">
        <f t="shared" si="128"/>
        <v>0</v>
      </c>
      <c r="AI69" s="306">
        <f t="shared" si="129"/>
        <v>0</v>
      </c>
      <c r="AJ69" s="306">
        <f t="shared" si="130"/>
        <v>0</v>
      </c>
      <c r="AK69" s="302">
        <f t="shared" si="131"/>
        <v>0</v>
      </c>
      <c r="AL69" s="303">
        <v>80</v>
      </c>
      <c r="AM69" s="301">
        <f t="shared" si="132"/>
        <v>0</v>
      </c>
      <c r="AN69" s="305">
        <f t="shared" si="133"/>
        <v>0</v>
      </c>
      <c r="AO69" s="358">
        <f t="shared" si="134"/>
        <v>0</v>
      </c>
    </row>
    <row r="70" spans="1:41">
      <c r="A70" s="344">
        <v>0</v>
      </c>
      <c r="B70" s="299" t="s">
        <v>501</v>
      </c>
      <c r="C70" s="300"/>
      <c r="D70" s="300" t="s">
        <v>502</v>
      </c>
      <c r="E70" s="301">
        <v>11750</v>
      </c>
      <c r="F70" s="302"/>
      <c r="G70" s="301">
        <f t="shared" si="135"/>
        <v>440</v>
      </c>
      <c r="H70" s="302">
        <v>8</v>
      </c>
      <c r="I70" s="302"/>
      <c r="J70" s="303">
        <f t="shared" si="117"/>
        <v>2026</v>
      </c>
      <c r="K70" s="303">
        <f t="shared" si="117"/>
        <v>2032</v>
      </c>
      <c r="L70" s="303">
        <f t="shared" si="117"/>
        <v>6</v>
      </c>
      <c r="M70" s="301">
        <v>0</v>
      </c>
      <c r="N70" s="301">
        <f t="shared" si="2"/>
        <v>0</v>
      </c>
      <c r="O70" s="301">
        <f t="shared" si="118"/>
        <v>0</v>
      </c>
      <c r="P70" s="301">
        <f t="shared" si="119"/>
        <v>0</v>
      </c>
      <c r="Q70" s="301">
        <f t="shared" si="120"/>
        <v>0</v>
      </c>
      <c r="R70" s="301">
        <f t="shared" si="121"/>
        <v>0</v>
      </c>
      <c r="S70" s="301">
        <f t="shared" si="104"/>
        <v>0</v>
      </c>
      <c r="T70" s="301">
        <f t="shared" si="122"/>
        <v>0</v>
      </c>
      <c r="U70" s="301">
        <f t="shared" si="123"/>
        <v>0</v>
      </c>
      <c r="V70" s="304">
        <f t="shared" si="10"/>
        <v>0</v>
      </c>
      <c r="W70" s="304">
        <f t="shared" si="124"/>
        <v>0</v>
      </c>
      <c r="X70" s="345">
        <f t="shared" si="125"/>
        <v>0</v>
      </c>
      <c r="Y70" s="357">
        <v>0</v>
      </c>
      <c r="Z70" s="302">
        <f t="shared" si="13"/>
        <v>0</v>
      </c>
      <c r="AA70" s="302">
        <v>0</v>
      </c>
      <c r="AB70" s="302">
        <f t="shared" si="126"/>
        <v>0</v>
      </c>
      <c r="AC70" s="301">
        <f t="shared" si="136"/>
        <v>0</v>
      </c>
      <c r="AD70" s="301">
        <f t="shared" si="15"/>
        <v>0</v>
      </c>
      <c r="AE70" s="302">
        <f>+'B.0.ConsumiblesMaquinaria'!J$22</f>
        <v>1.9</v>
      </c>
      <c r="AF70" s="302">
        <f t="shared" si="16"/>
        <v>0</v>
      </c>
      <c r="AG70" s="302">
        <f t="shared" si="127"/>
        <v>0</v>
      </c>
      <c r="AH70" s="302">
        <f t="shared" si="128"/>
        <v>0</v>
      </c>
      <c r="AI70" s="306">
        <f t="shared" si="129"/>
        <v>0</v>
      </c>
      <c r="AJ70" s="306">
        <f t="shared" si="130"/>
        <v>0</v>
      </c>
      <c r="AK70" s="302">
        <f t="shared" si="131"/>
        <v>0</v>
      </c>
      <c r="AL70" s="303">
        <v>80</v>
      </c>
      <c r="AM70" s="301">
        <f t="shared" si="132"/>
        <v>0</v>
      </c>
      <c r="AN70" s="305">
        <f t="shared" si="133"/>
        <v>0</v>
      </c>
      <c r="AO70" s="358">
        <f t="shared" si="134"/>
        <v>0</v>
      </c>
    </row>
    <row r="71" spans="1:41">
      <c r="A71" s="344">
        <v>0</v>
      </c>
      <c r="B71" s="299" t="s">
        <v>503</v>
      </c>
      <c r="C71" s="300"/>
      <c r="D71" s="300" t="s">
        <v>504</v>
      </c>
      <c r="E71" s="301">
        <v>5375</v>
      </c>
      <c r="F71" s="302"/>
      <c r="G71" s="301">
        <f>22*2*AP$1</f>
        <v>220</v>
      </c>
      <c r="H71" s="302">
        <v>6</v>
      </c>
      <c r="I71" s="302"/>
      <c r="J71" s="303">
        <f t="shared" si="117"/>
        <v>2026</v>
      </c>
      <c r="K71" s="303">
        <f t="shared" si="117"/>
        <v>2032</v>
      </c>
      <c r="L71" s="303">
        <f t="shared" si="117"/>
        <v>6</v>
      </c>
      <c r="M71" s="301">
        <v>0</v>
      </c>
      <c r="N71" s="301">
        <f t="shared" si="2"/>
        <v>0</v>
      </c>
      <c r="O71" s="301">
        <f t="shared" si="118"/>
        <v>0</v>
      </c>
      <c r="P71" s="301">
        <f t="shared" si="119"/>
        <v>0</v>
      </c>
      <c r="Q71" s="301">
        <f t="shared" si="120"/>
        <v>0</v>
      </c>
      <c r="R71" s="301">
        <f t="shared" si="121"/>
        <v>0</v>
      </c>
      <c r="S71" s="301">
        <f t="shared" si="104"/>
        <v>0</v>
      </c>
      <c r="T71" s="301">
        <f t="shared" si="122"/>
        <v>0</v>
      </c>
      <c r="U71" s="301">
        <f t="shared" si="123"/>
        <v>0</v>
      </c>
      <c r="V71" s="304">
        <f t="shared" si="10"/>
        <v>0</v>
      </c>
      <c r="W71" s="304">
        <f t="shared" si="124"/>
        <v>0</v>
      </c>
      <c r="X71" s="345">
        <f t="shared" si="125"/>
        <v>0</v>
      </c>
      <c r="Y71" s="357">
        <v>0</v>
      </c>
      <c r="Z71" s="302">
        <f t="shared" si="13"/>
        <v>0</v>
      </c>
      <c r="AA71" s="302">
        <v>0</v>
      </c>
      <c r="AB71" s="302">
        <f t="shared" si="126"/>
        <v>0</v>
      </c>
      <c r="AC71" s="301">
        <f t="shared" si="136"/>
        <v>0</v>
      </c>
      <c r="AD71" s="301">
        <f t="shared" si="15"/>
        <v>0</v>
      </c>
      <c r="AE71" s="302">
        <f>+'B.0.ConsumiblesMaquinaria'!J$22</f>
        <v>1.9</v>
      </c>
      <c r="AF71" s="302">
        <f t="shared" si="16"/>
        <v>0</v>
      </c>
      <c r="AG71" s="302">
        <f t="shared" si="127"/>
        <v>0</v>
      </c>
      <c r="AH71" s="302">
        <f t="shared" si="128"/>
        <v>0</v>
      </c>
      <c r="AI71" s="306">
        <f t="shared" si="129"/>
        <v>0</v>
      </c>
      <c r="AJ71" s="306">
        <f t="shared" si="130"/>
        <v>0</v>
      </c>
      <c r="AK71" s="302">
        <f t="shared" si="131"/>
        <v>0</v>
      </c>
      <c r="AL71" s="303">
        <v>80</v>
      </c>
      <c r="AM71" s="301">
        <f t="shared" si="132"/>
        <v>0</v>
      </c>
      <c r="AN71" s="305">
        <f t="shared" si="133"/>
        <v>0</v>
      </c>
      <c r="AO71" s="358">
        <f t="shared" si="134"/>
        <v>0</v>
      </c>
    </row>
    <row r="72" spans="1:41">
      <c r="A72" s="344">
        <v>0</v>
      </c>
      <c r="B72" s="299" t="s">
        <v>505</v>
      </c>
      <c r="C72" s="300"/>
      <c r="D72" s="300" t="s">
        <v>506</v>
      </c>
      <c r="E72" s="301">
        <v>1875</v>
      </c>
      <c r="F72" s="302"/>
      <c r="G72" s="301">
        <f>22*2*AP$1</f>
        <v>220</v>
      </c>
      <c r="H72" s="302">
        <v>4</v>
      </c>
      <c r="I72" s="302"/>
      <c r="J72" s="303">
        <f t="shared" si="117"/>
        <v>2026</v>
      </c>
      <c r="K72" s="303">
        <f t="shared" si="117"/>
        <v>2032</v>
      </c>
      <c r="L72" s="303">
        <f t="shared" si="117"/>
        <v>6</v>
      </c>
      <c r="M72" s="301">
        <v>0</v>
      </c>
      <c r="N72" s="301">
        <f t="shared" ref="N72:N98" si="137">E72*A72</f>
        <v>0</v>
      </c>
      <c r="O72" s="301">
        <f t="shared" si="118"/>
        <v>0</v>
      </c>
      <c r="P72" s="301">
        <f t="shared" si="119"/>
        <v>0</v>
      </c>
      <c r="Q72" s="301">
        <f t="shared" si="120"/>
        <v>0</v>
      </c>
      <c r="R72" s="301">
        <f t="shared" si="121"/>
        <v>0</v>
      </c>
      <c r="S72" s="301">
        <f t="shared" si="104"/>
        <v>0</v>
      </c>
      <c r="T72" s="301">
        <f t="shared" si="122"/>
        <v>0</v>
      </c>
      <c r="U72" s="301">
        <f t="shared" si="123"/>
        <v>0</v>
      </c>
      <c r="V72" s="304">
        <f t="shared" ref="V72:V78" si="138">IF((H72-L72)&lt;0,0,(O72*(H72-(L72))))</f>
        <v>0</v>
      </c>
      <c r="W72" s="304">
        <f t="shared" si="124"/>
        <v>0</v>
      </c>
      <c r="X72" s="345">
        <f t="shared" si="125"/>
        <v>0</v>
      </c>
      <c r="Y72" s="357">
        <v>0</v>
      </c>
      <c r="Z72" s="302">
        <f t="shared" ref="Z72:Z78" si="139">IF(A72&gt;0,+G72*Y72,0)</f>
        <v>0</v>
      </c>
      <c r="AA72" s="302">
        <v>0</v>
      </c>
      <c r="AB72" s="302">
        <f t="shared" si="126"/>
        <v>0</v>
      </c>
      <c r="AC72" s="301">
        <f t="shared" si="136"/>
        <v>0</v>
      </c>
      <c r="AD72" s="301">
        <f t="shared" ref="AD72:AD98" si="140">IF(A72&gt;0,ROUND(AC72*G72,2),0)</f>
        <v>0</v>
      </c>
      <c r="AE72" s="302">
        <f>+'B.0.ConsumiblesMaquinaria'!J$22</f>
        <v>1.9</v>
      </c>
      <c r="AF72" s="302">
        <f t="shared" ref="AF72:AF98" si="141">IF(A72&gt;0,+ROUND(AC72*AP$1*AE72,4),0)</f>
        <v>0</v>
      </c>
      <c r="AG72" s="302">
        <f t="shared" si="127"/>
        <v>0</v>
      </c>
      <c r="AH72" s="302">
        <f t="shared" si="128"/>
        <v>0</v>
      </c>
      <c r="AI72" s="306">
        <f t="shared" si="129"/>
        <v>0</v>
      </c>
      <c r="AJ72" s="306">
        <f t="shared" si="130"/>
        <v>0</v>
      </c>
      <c r="AK72" s="302">
        <f t="shared" si="131"/>
        <v>0</v>
      </c>
      <c r="AL72" s="303">
        <v>80</v>
      </c>
      <c r="AM72" s="301">
        <f t="shared" si="132"/>
        <v>0</v>
      </c>
      <c r="AN72" s="305">
        <f t="shared" si="133"/>
        <v>0</v>
      </c>
      <c r="AO72" s="358">
        <f t="shared" si="134"/>
        <v>0</v>
      </c>
    </row>
    <row r="73" spans="1:41">
      <c r="A73" s="344">
        <v>0</v>
      </c>
      <c r="B73" s="299" t="s">
        <v>507</v>
      </c>
      <c r="C73" s="300"/>
      <c r="D73" s="300" t="s">
        <v>508</v>
      </c>
      <c r="E73" s="301">
        <v>3125</v>
      </c>
      <c r="F73" s="302"/>
      <c r="G73" s="301">
        <f t="shared" si="135"/>
        <v>440</v>
      </c>
      <c r="H73" s="302">
        <v>4</v>
      </c>
      <c r="I73" s="302"/>
      <c r="J73" s="303">
        <f t="shared" si="117"/>
        <v>2026</v>
      </c>
      <c r="K73" s="303">
        <f t="shared" si="117"/>
        <v>2032</v>
      </c>
      <c r="L73" s="303">
        <f t="shared" si="117"/>
        <v>6</v>
      </c>
      <c r="M73" s="301">
        <v>0</v>
      </c>
      <c r="N73" s="301">
        <f t="shared" si="137"/>
        <v>0</v>
      </c>
      <c r="O73" s="301">
        <f t="shared" si="118"/>
        <v>0</v>
      </c>
      <c r="P73" s="301">
        <f t="shared" si="119"/>
        <v>0</v>
      </c>
      <c r="Q73" s="301">
        <f t="shared" si="120"/>
        <v>0</v>
      </c>
      <c r="R73" s="301">
        <f t="shared" si="121"/>
        <v>0</v>
      </c>
      <c r="S73" s="301">
        <f t="shared" si="104"/>
        <v>0</v>
      </c>
      <c r="T73" s="301">
        <f t="shared" si="122"/>
        <v>0</v>
      </c>
      <c r="U73" s="301">
        <f t="shared" si="123"/>
        <v>0</v>
      </c>
      <c r="V73" s="304">
        <f t="shared" si="138"/>
        <v>0</v>
      </c>
      <c r="W73" s="304">
        <f t="shared" si="124"/>
        <v>0</v>
      </c>
      <c r="X73" s="345">
        <f t="shared" si="125"/>
        <v>0</v>
      </c>
      <c r="Y73" s="357">
        <v>0</v>
      </c>
      <c r="Z73" s="302">
        <f t="shared" si="139"/>
        <v>0</v>
      </c>
      <c r="AA73" s="302">
        <v>0</v>
      </c>
      <c r="AB73" s="302">
        <f t="shared" si="126"/>
        <v>0</v>
      </c>
      <c r="AC73" s="301">
        <f t="shared" si="136"/>
        <v>0</v>
      </c>
      <c r="AD73" s="301">
        <f t="shared" si="140"/>
        <v>0</v>
      </c>
      <c r="AE73" s="302">
        <f>+'B.0.ConsumiblesMaquinaria'!J$22</f>
        <v>1.9</v>
      </c>
      <c r="AF73" s="302">
        <f t="shared" si="141"/>
        <v>0</v>
      </c>
      <c r="AG73" s="302">
        <f t="shared" si="127"/>
        <v>0</v>
      </c>
      <c r="AH73" s="302">
        <f t="shared" si="128"/>
        <v>0</v>
      </c>
      <c r="AI73" s="306">
        <f t="shared" si="129"/>
        <v>0</v>
      </c>
      <c r="AJ73" s="306">
        <f t="shared" si="130"/>
        <v>0</v>
      </c>
      <c r="AK73" s="302">
        <f t="shared" si="131"/>
        <v>0</v>
      </c>
      <c r="AL73" s="303">
        <v>80</v>
      </c>
      <c r="AM73" s="301">
        <f t="shared" si="132"/>
        <v>0</v>
      </c>
      <c r="AN73" s="305">
        <f t="shared" si="133"/>
        <v>0</v>
      </c>
      <c r="AO73" s="358">
        <f t="shared" si="134"/>
        <v>0</v>
      </c>
    </row>
    <row r="74" spans="1:41">
      <c r="A74" s="344">
        <v>0</v>
      </c>
      <c r="B74" s="299" t="s">
        <v>509</v>
      </c>
      <c r="C74" s="300"/>
      <c r="D74" s="300" t="s">
        <v>433</v>
      </c>
      <c r="E74" s="301">
        <v>3125</v>
      </c>
      <c r="F74" s="302"/>
      <c r="G74" s="301">
        <f t="shared" si="135"/>
        <v>440</v>
      </c>
      <c r="H74" s="302">
        <v>4</v>
      </c>
      <c r="I74" s="302"/>
      <c r="J74" s="303">
        <f t="shared" si="117"/>
        <v>2026</v>
      </c>
      <c r="K74" s="303">
        <f t="shared" si="117"/>
        <v>2032</v>
      </c>
      <c r="L74" s="303">
        <f t="shared" si="117"/>
        <v>6</v>
      </c>
      <c r="M74" s="301">
        <v>0</v>
      </c>
      <c r="N74" s="301">
        <f t="shared" si="137"/>
        <v>0</v>
      </c>
      <c r="O74" s="301">
        <f t="shared" si="118"/>
        <v>0</v>
      </c>
      <c r="P74" s="301">
        <f t="shared" si="119"/>
        <v>0</v>
      </c>
      <c r="Q74" s="301">
        <f t="shared" si="120"/>
        <v>0</v>
      </c>
      <c r="R74" s="301">
        <f t="shared" si="121"/>
        <v>0</v>
      </c>
      <c r="S74" s="301">
        <f t="shared" si="104"/>
        <v>0</v>
      </c>
      <c r="T74" s="301">
        <f t="shared" si="122"/>
        <v>0</v>
      </c>
      <c r="U74" s="301">
        <f t="shared" si="123"/>
        <v>0</v>
      </c>
      <c r="V74" s="304">
        <f t="shared" si="138"/>
        <v>0</v>
      </c>
      <c r="W74" s="304">
        <f t="shared" si="124"/>
        <v>0</v>
      </c>
      <c r="X74" s="345">
        <f t="shared" si="125"/>
        <v>0</v>
      </c>
      <c r="Y74" s="357">
        <v>0</v>
      </c>
      <c r="Z74" s="302">
        <f t="shared" si="139"/>
        <v>0</v>
      </c>
      <c r="AA74" s="302">
        <v>0</v>
      </c>
      <c r="AB74" s="302">
        <f t="shared" si="126"/>
        <v>0</v>
      </c>
      <c r="AC74" s="301">
        <f t="shared" si="136"/>
        <v>0</v>
      </c>
      <c r="AD74" s="301">
        <f t="shared" si="140"/>
        <v>0</v>
      </c>
      <c r="AE74" s="302">
        <f>+'B.0.ConsumiblesMaquinaria'!J$22</f>
        <v>1.9</v>
      </c>
      <c r="AF74" s="302">
        <f t="shared" si="141"/>
        <v>0</v>
      </c>
      <c r="AG74" s="302">
        <f t="shared" si="127"/>
        <v>0</v>
      </c>
      <c r="AH74" s="302">
        <f t="shared" si="128"/>
        <v>0</v>
      </c>
      <c r="AI74" s="306">
        <f t="shared" si="129"/>
        <v>0</v>
      </c>
      <c r="AJ74" s="306">
        <f t="shared" si="130"/>
        <v>0</v>
      </c>
      <c r="AK74" s="302">
        <f t="shared" si="131"/>
        <v>0</v>
      </c>
      <c r="AL74" s="303">
        <v>80</v>
      </c>
      <c r="AM74" s="301">
        <f t="shared" si="132"/>
        <v>0</v>
      </c>
      <c r="AN74" s="305">
        <f t="shared" si="133"/>
        <v>0</v>
      </c>
      <c r="AO74" s="358">
        <f t="shared" si="134"/>
        <v>0</v>
      </c>
    </row>
    <row r="75" spans="1:41">
      <c r="A75" s="344">
        <v>0</v>
      </c>
      <c r="B75" s="299" t="s">
        <v>510</v>
      </c>
      <c r="C75" s="300" t="s">
        <v>406</v>
      </c>
      <c r="D75" s="300" t="s">
        <v>511</v>
      </c>
      <c r="E75" s="301">
        <v>3125</v>
      </c>
      <c r="F75" s="302"/>
      <c r="G75" s="301">
        <f t="shared" si="135"/>
        <v>440</v>
      </c>
      <c r="H75" s="302">
        <v>6</v>
      </c>
      <c r="I75" s="302"/>
      <c r="J75" s="303">
        <f t="shared" si="117"/>
        <v>2026</v>
      </c>
      <c r="K75" s="303">
        <f t="shared" si="117"/>
        <v>2032</v>
      </c>
      <c r="L75" s="303">
        <f t="shared" si="117"/>
        <v>6</v>
      </c>
      <c r="M75" s="301">
        <v>50</v>
      </c>
      <c r="N75" s="301">
        <f t="shared" si="137"/>
        <v>0</v>
      </c>
      <c r="O75" s="301">
        <f t="shared" si="118"/>
        <v>0</v>
      </c>
      <c r="P75" s="301">
        <f t="shared" si="119"/>
        <v>0</v>
      </c>
      <c r="Q75" s="301">
        <f t="shared" si="120"/>
        <v>0</v>
      </c>
      <c r="R75" s="301">
        <f t="shared" si="121"/>
        <v>0</v>
      </c>
      <c r="S75" s="301">
        <f t="shared" si="104"/>
        <v>0</v>
      </c>
      <c r="T75" s="301">
        <f t="shared" si="122"/>
        <v>0</v>
      </c>
      <c r="U75" s="301">
        <f t="shared" si="123"/>
        <v>0</v>
      </c>
      <c r="V75" s="304">
        <f t="shared" si="138"/>
        <v>0</v>
      </c>
      <c r="W75" s="304">
        <f t="shared" si="124"/>
        <v>0</v>
      </c>
      <c r="X75" s="345">
        <f t="shared" si="125"/>
        <v>0</v>
      </c>
      <c r="Y75" s="357">
        <f>VLOOKUP(M75,'B.0.ConsumiblesMaquinaria'!C$7:D$16,2)</f>
        <v>4.7E-2</v>
      </c>
      <c r="Z75" s="302">
        <f t="shared" si="139"/>
        <v>0</v>
      </c>
      <c r="AA75" s="302">
        <f>+'B.0.ConsumiblesMaquinaria'!J$23</f>
        <v>9.879999999999999</v>
      </c>
      <c r="AB75" s="302">
        <f t="shared" si="126"/>
        <v>2.3199999999999998</v>
      </c>
      <c r="AC75" s="301">
        <f t="shared" si="136"/>
        <v>0</v>
      </c>
      <c r="AD75" s="301">
        <f t="shared" si="140"/>
        <v>0</v>
      </c>
      <c r="AE75" s="302">
        <f>+'B.0.ConsumiblesMaquinaria'!J$22</f>
        <v>1.9</v>
      </c>
      <c r="AF75" s="302">
        <f t="shared" si="141"/>
        <v>0</v>
      </c>
      <c r="AG75" s="302">
        <f t="shared" si="127"/>
        <v>2.3199999999999998</v>
      </c>
      <c r="AH75" s="302">
        <f t="shared" si="128"/>
        <v>0</v>
      </c>
      <c r="AI75" s="306">
        <f t="shared" si="129"/>
        <v>0</v>
      </c>
      <c r="AJ75" s="306">
        <f t="shared" si="130"/>
        <v>0</v>
      </c>
      <c r="AK75" s="302">
        <f t="shared" si="131"/>
        <v>0</v>
      </c>
      <c r="AL75" s="303">
        <v>80</v>
      </c>
      <c r="AM75" s="301">
        <f t="shared" si="132"/>
        <v>0</v>
      </c>
      <c r="AN75" s="305">
        <f t="shared" si="133"/>
        <v>0</v>
      </c>
      <c r="AO75" s="358">
        <f t="shared" si="134"/>
        <v>0</v>
      </c>
    </row>
    <row r="76" spans="1:41">
      <c r="A76" s="344">
        <v>0</v>
      </c>
      <c r="B76" s="299" t="s">
        <v>512</v>
      </c>
      <c r="C76" s="300" t="s">
        <v>406</v>
      </c>
      <c r="D76" s="300" t="s">
        <v>511</v>
      </c>
      <c r="E76" s="301">
        <v>4375</v>
      </c>
      <c r="F76" s="302"/>
      <c r="G76" s="301">
        <f t="shared" si="135"/>
        <v>440</v>
      </c>
      <c r="H76" s="302">
        <v>6</v>
      </c>
      <c r="I76" s="302"/>
      <c r="J76" s="303">
        <f t="shared" si="117"/>
        <v>2026</v>
      </c>
      <c r="K76" s="303">
        <f t="shared" si="117"/>
        <v>2032</v>
      </c>
      <c r="L76" s="303">
        <f t="shared" si="117"/>
        <v>6</v>
      </c>
      <c r="M76" s="301">
        <v>70</v>
      </c>
      <c r="N76" s="301">
        <f t="shared" si="137"/>
        <v>0</v>
      </c>
      <c r="O76" s="301">
        <f t="shared" si="118"/>
        <v>0</v>
      </c>
      <c r="P76" s="301">
        <f t="shared" si="119"/>
        <v>0</v>
      </c>
      <c r="Q76" s="301">
        <f t="shared" si="120"/>
        <v>0</v>
      </c>
      <c r="R76" s="301">
        <f t="shared" si="121"/>
        <v>0</v>
      </c>
      <c r="S76" s="301">
        <f t="shared" si="104"/>
        <v>0</v>
      </c>
      <c r="T76" s="301">
        <f t="shared" si="122"/>
        <v>0</v>
      </c>
      <c r="U76" s="301">
        <f t="shared" si="123"/>
        <v>0</v>
      </c>
      <c r="V76" s="304">
        <f t="shared" si="138"/>
        <v>0</v>
      </c>
      <c r="W76" s="304">
        <f t="shared" si="124"/>
        <v>0</v>
      </c>
      <c r="X76" s="345">
        <f t="shared" si="125"/>
        <v>0</v>
      </c>
      <c r="Y76" s="357">
        <f>VLOOKUP(M76,'B.0.ConsumiblesMaquinaria'!C$7:D$16,2)</f>
        <v>0.06</v>
      </c>
      <c r="Z76" s="302">
        <f t="shared" si="139"/>
        <v>0</v>
      </c>
      <c r="AA76" s="302">
        <f>+'B.0.ConsumiblesMaquinaria'!J$23</f>
        <v>9.879999999999999</v>
      </c>
      <c r="AB76" s="302">
        <f t="shared" si="126"/>
        <v>2.96</v>
      </c>
      <c r="AC76" s="301">
        <f t="shared" si="136"/>
        <v>0</v>
      </c>
      <c r="AD76" s="301">
        <f t="shared" si="140"/>
        <v>0</v>
      </c>
      <c r="AE76" s="302">
        <f>+'B.0.ConsumiblesMaquinaria'!J$22</f>
        <v>1.9</v>
      </c>
      <c r="AF76" s="302">
        <f t="shared" si="141"/>
        <v>0</v>
      </c>
      <c r="AG76" s="302">
        <f t="shared" si="127"/>
        <v>2.96</v>
      </c>
      <c r="AH76" s="302">
        <f t="shared" si="128"/>
        <v>0</v>
      </c>
      <c r="AI76" s="306">
        <f t="shared" si="129"/>
        <v>0</v>
      </c>
      <c r="AJ76" s="306">
        <f t="shared" si="130"/>
        <v>0</v>
      </c>
      <c r="AK76" s="302">
        <f t="shared" si="131"/>
        <v>0</v>
      </c>
      <c r="AL76" s="303">
        <v>80</v>
      </c>
      <c r="AM76" s="301">
        <f t="shared" si="132"/>
        <v>0</v>
      </c>
      <c r="AN76" s="305">
        <f t="shared" si="133"/>
        <v>0</v>
      </c>
      <c r="AO76" s="358">
        <f t="shared" si="134"/>
        <v>0</v>
      </c>
    </row>
    <row r="77" spans="1:41">
      <c r="A77" s="344">
        <v>0</v>
      </c>
      <c r="B77" s="299" t="s">
        <v>513</v>
      </c>
      <c r="C77" s="300" t="s">
        <v>406</v>
      </c>
      <c r="D77" s="307" t="s">
        <v>514</v>
      </c>
      <c r="E77" s="301">
        <v>12022.5</v>
      </c>
      <c r="F77" s="302"/>
      <c r="G77" s="301">
        <f>22*8*AP$1</f>
        <v>880</v>
      </c>
      <c r="H77" s="302">
        <v>8</v>
      </c>
      <c r="I77" s="302"/>
      <c r="J77" s="303">
        <f t="shared" si="117"/>
        <v>2026</v>
      </c>
      <c r="K77" s="303">
        <f t="shared" si="117"/>
        <v>2032</v>
      </c>
      <c r="L77" s="303">
        <f t="shared" si="117"/>
        <v>6</v>
      </c>
      <c r="M77" s="301">
        <v>40</v>
      </c>
      <c r="N77" s="301">
        <f t="shared" si="137"/>
        <v>0</v>
      </c>
      <c r="O77" s="301">
        <f t="shared" si="118"/>
        <v>0</v>
      </c>
      <c r="P77" s="301">
        <f t="shared" si="119"/>
        <v>0</v>
      </c>
      <c r="Q77" s="301">
        <f t="shared" si="120"/>
        <v>0</v>
      </c>
      <c r="R77" s="301">
        <f t="shared" si="121"/>
        <v>0</v>
      </c>
      <c r="S77" s="301">
        <f t="shared" si="104"/>
        <v>0</v>
      </c>
      <c r="T77" s="301">
        <f t="shared" si="122"/>
        <v>0</v>
      </c>
      <c r="U77" s="301">
        <f t="shared" si="123"/>
        <v>0</v>
      </c>
      <c r="V77" s="304">
        <f t="shared" si="138"/>
        <v>0</v>
      </c>
      <c r="W77" s="304">
        <f t="shared" si="124"/>
        <v>0</v>
      </c>
      <c r="X77" s="345">
        <f t="shared" si="125"/>
        <v>0</v>
      </c>
      <c r="Y77" s="357">
        <f>VLOOKUP(M77,'B.0.ConsumiblesMaquinaria'!C$7:D$16,2)</f>
        <v>3.9E-2</v>
      </c>
      <c r="Z77" s="302">
        <f t="shared" si="139"/>
        <v>0</v>
      </c>
      <c r="AA77" s="302">
        <f>+'B.0.ConsumiblesMaquinaria'!J$23</f>
        <v>9.879999999999999</v>
      </c>
      <c r="AB77" s="302">
        <f t="shared" si="126"/>
        <v>1.93</v>
      </c>
      <c r="AC77" s="301">
        <f t="shared" si="136"/>
        <v>0</v>
      </c>
      <c r="AD77" s="301">
        <f t="shared" si="140"/>
        <v>0</v>
      </c>
      <c r="AE77" s="302">
        <f>+'B.0.ConsumiblesMaquinaria'!J$22</f>
        <v>1.9</v>
      </c>
      <c r="AF77" s="302">
        <f t="shared" si="141"/>
        <v>0</v>
      </c>
      <c r="AG77" s="302">
        <f t="shared" si="127"/>
        <v>1.93</v>
      </c>
      <c r="AH77" s="302">
        <f t="shared" si="128"/>
        <v>0</v>
      </c>
      <c r="AI77" s="306">
        <f t="shared" si="129"/>
        <v>0</v>
      </c>
      <c r="AJ77" s="306">
        <f t="shared" si="130"/>
        <v>0</v>
      </c>
      <c r="AK77" s="302">
        <f t="shared" si="131"/>
        <v>0</v>
      </c>
      <c r="AL77" s="303">
        <v>80</v>
      </c>
      <c r="AM77" s="301">
        <f t="shared" si="132"/>
        <v>0</v>
      </c>
      <c r="AN77" s="305">
        <f t="shared" si="133"/>
        <v>0</v>
      </c>
      <c r="AO77" s="358">
        <f t="shared" si="134"/>
        <v>0</v>
      </c>
    </row>
    <row r="78" spans="1:41">
      <c r="A78" s="344">
        <v>0</v>
      </c>
      <c r="B78" s="346" t="s">
        <v>515</v>
      </c>
      <c r="C78" s="347" t="s">
        <v>406</v>
      </c>
      <c r="D78" s="364" t="s">
        <v>514</v>
      </c>
      <c r="E78" s="348">
        <v>2518.9499999999998</v>
      </c>
      <c r="F78" s="349"/>
      <c r="G78" s="348">
        <f>22*8*AP$1</f>
        <v>880</v>
      </c>
      <c r="H78" s="349">
        <v>8</v>
      </c>
      <c r="I78" s="349"/>
      <c r="J78" s="350">
        <f t="shared" si="117"/>
        <v>2026</v>
      </c>
      <c r="K78" s="350">
        <f t="shared" si="117"/>
        <v>2032</v>
      </c>
      <c r="L78" s="350">
        <f t="shared" si="117"/>
        <v>6</v>
      </c>
      <c r="M78" s="348">
        <v>18</v>
      </c>
      <c r="N78" s="348">
        <f t="shared" si="137"/>
        <v>0</v>
      </c>
      <c r="O78" s="348">
        <f t="shared" si="118"/>
        <v>0</v>
      </c>
      <c r="P78" s="348">
        <f t="shared" si="119"/>
        <v>0</v>
      </c>
      <c r="Q78" s="348">
        <f t="shared" si="120"/>
        <v>0</v>
      </c>
      <c r="R78" s="348">
        <f t="shared" si="121"/>
        <v>0</v>
      </c>
      <c r="S78" s="348">
        <f t="shared" si="104"/>
        <v>0</v>
      </c>
      <c r="T78" s="348">
        <f t="shared" si="122"/>
        <v>0</v>
      </c>
      <c r="U78" s="348">
        <f t="shared" si="123"/>
        <v>0</v>
      </c>
      <c r="V78" s="351">
        <f t="shared" si="138"/>
        <v>0</v>
      </c>
      <c r="W78" s="351">
        <f t="shared" si="124"/>
        <v>0</v>
      </c>
      <c r="X78" s="352">
        <f t="shared" si="125"/>
        <v>0</v>
      </c>
      <c r="Y78" s="359">
        <f>VLOOKUP(M78,'B.0.ConsumiblesMaquinaria'!C$7:D$16,2)</f>
        <v>3.5000000000000003E-2</v>
      </c>
      <c r="Z78" s="349">
        <f t="shared" si="139"/>
        <v>0</v>
      </c>
      <c r="AA78" s="349">
        <f>+'B.0.ConsumiblesMaquinaria'!J$23</f>
        <v>9.879999999999999</v>
      </c>
      <c r="AB78" s="349">
        <f t="shared" si="126"/>
        <v>1.73</v>
      </c>
      <c r="AC78" s="348">
        <f t="shared" si="136"/>
        <v>0</v>
      </c>
      <c r="AD78" s="348">
        <f t="shared" si="140"/>
        <v>0</v>
      </c>
      <c r="AE78" s="349">
        <f>+'B.0.ConsumiblesMaquinaria'!J$22</f>
        <v>1.9</v>
      </c>
      <c r="AF78" s="349">
        <f t="shared" si="141"/>
        <v>0</v>
      </c>
      <c r="AG78" s="349">
        <f t="shared" si="127"/>
        <v>1.73</v>
      </c>
      <c r="AH78" s="349">
        <f t="shared" si="128"/>
        <v>0</v>
      </c>
      <c r="AI78" s="360">
        <f t="shared" si="129"/>
        <v>0</v>
      </c>
      <c r="AJ78" s="360">
        <f t="shared" si="130"/>
        <v>0</v>
      </c>
      <c r="AK78" s="349">
        <f t="shared" si="131"/>
        <v>0</v>
      </c>
      <c r="AL78" s="350">
        <v>80</v>
      </c>
      <c r="AM78" s="348">
        <f t="shared" si="132"/>
        <v>0</v>
      </c>
      <c r="AN78" s="361">
        <f t="shared" si="133"/>
        <v>0</v>
      </c>
      <c r="AO78" s="362">
        <f t="shared" si="134"/>
        <v>0</v>
      </c>
    </row>
    <row r="79" spans="1:41">
      <c r="A79" s="712" t="s">
        <v>516</v>
      </c>
      <c r="B79" s="713"/>
      <c r="C79" s="713"/>
      <c r="D79" s="93"/>
      <c r="E79" s="93"/>
      <c r="F79" s="93"/>
      <c r="G79" s="93"/>
      <c r="H79" s="93"/>
      <c r="I79" s="93"/>
      <c r="J79" s="96"/>
      <c r="K79" s="96"/>
      <c r="L79" s="96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366"/>
      <c r="AO79" s="367"/>
    </row>
    <row r="80" spans="1:41">
      <c r="A80" s="344">
        <v>0</v>
      </c>
      <c r="B80" s="337" t="s">
        <v>517</v>
      </c>
      <c r="C80" s="338" t="s">
        <v>406</v>
      </c>
      <c r="D80" s="338" t="s">
        <v>518</v>
      </c>
      <c r="E80" s="339">
        <v>55625</v>
      </c>
      <c r="F80" s="340">
        <f>105*22</f>
        <v>2310</v>
      </c>
      <c r="G80" s="339">
        <f>22*2*AP$1</f>
        <v>220</v>
      </c>
      <c r="H80" s="340">
        <v>8</v>
      </c>
      <c r="I80" s="340"/>
      <c r="J80" s="341">
        <f t="shared" ref="J80:L98" si="142">J$4</f>
        <v>2026</v>
      </c>
      <c r="K80" s="341">
        <f t="shared" si="142"/>
        <v>2032</v>
      </c>
      <c r="L80" s="341">
        <f t="shared" si="142"/>
        <v>6</v>
      </c>
      <c r="M80" s="339">
        <v>95</v>
      </c>
      <c r="N80" s="339">
        <f t="shared" si="137"/>
        <v>0</v>
      </c>
      <c r="O80" s="339">
        <f t="shared" ref="O80:O98" si="143">IF(A80&gt;0,E80/H80,0)</f>
        <v>0</v>
      </c>
      <c r="P80" s="339">
        <f t="shared" ref="P80:P98" si="144">O80*A80</f>
        <v>0</v>
      </c>
      <c r="Q80" s="339">
        <f t="shared" ref="Q80:Q98" si="145">IF(A80&gt;0,-PMT($Q$6,H80,E80)-O80,0)</f>
        <v>0</v>
      </c>
      <c r="R80" s="339">
        <f t="shared" ref="R80:R98" si="146">Q80*A80</f>
        <v>0</v>
      </c>
      <c r="S80" s="339">
        <f t="shared" ref="S80:S98" si="147">(R80+P80)</f>
        <v>0</v>
      </c>
      <c r="T80" s="339">
        <f t="shared" ref="T80:T98" si="148">O80*T$6</f>
        <v>0</v>
      </c>
      <c r="U80" s="339">
        <f t="shared" ref="U80:U98" si="149">T80*A80</f>
        <v>0</v>
      </c>
      <c r="V80" s="342">
        <f t="shared" ref="V80:V98" si="150">IF((H80-L80)&lt;0,0,(O80*(H80-(L80))))</f>
        <v>0</v>
      </c>
      <c r="W80" s="342">
        <f t="shared" ref="W80:W98" si="151">IF(A80&gt;0,(O80+Q80+T80),0)</f>
        <v>0</v>
      </c>
      <c r="X80" s="355">
        <f t="shared" ref="X80:X98" si="152">(O80+Q80+T80)*A80</f>
        <v>0</v>
      </c>
      <c r="Y80" s="354">
        <f>VLOOKUP(M80,'B.0.ConsumiblesMaquinaria'!C$7:D$16,2)</f>
        <v>7.5999999999999998E-2</v>
      </c>
      <c r="Z80" s="340">
        <f t="shared" ref="Z80:Z98" si="153">IF(A80&gt;0,+G80*Y80,0)</f>
        <v>0</v>
      </c>
      <c r="AA80" s="340">
        <f>+'B.0.ConsumiblesMaquinaria'!J$23</f>
        <v>9.879999999999999</v>
      </c>
      <c r="AB80" s="340">
        <f t="shared" ref="AB80:AB98" si="154">+ROUND(Y80*AP$1*AA80,2)</f>
        <v>3.75</v>
      </c>
      <c r="AC80" s="339">
        <f>5*AC$102</f>
        <v>0</v>
      </c>
      <c r="AD80" s="339">
        <f t="shared" si="140"/>
        <v>0</v>
      </c>
      <c r="AE80" s="340">
        <f>+'B.0.ConsumiblesMaquinaria'!J$22</f>
        <v>1.9</v>
      </c>
      <c r="AF80" s="340">
        <f t="shared" si="141"/>
        <v>0</v>
      </c>
      <c r="AG80" s="340">
        <f t="shared" ref="AG80:AG98" si="155">AF80+AB80</f>
        <v>3.75</v>
      </c>
      <c r="AH80" s="340">
        <f t="shared" ref="AH80:AH98" si="156">(AG80*AL80)*A80</f>
        <v>0</v>
      </c>
      <c r="AI80" s="354">
        <f t="shared" ref="AI80:AI98" si="157">IF(A80&gt;0,E80*AI$6,0)</f>
        <v>0</v>
      </c>
      <c r="AJ80" s="354">
        <f t="shared" ref="AJ80:AJ98" si="158">(AI80*AL80)*A80</f>
        <v>0</v>
      </c>
      <c r="AK80" s="340">
        <f t="shared" ref="AK80:AK98" si="159">IF(A80&gt;0,(AF80+AB80+AI80),0)</f>
        <v>0</v>
      </c>
      <c r="AL80" s="341">
        <v>20</v>
      </c>
      <c r="AM80" s="339">
        <f t="shared" ref="AM80:AM98" si="160">AL80*AK80</f>
        <v>0</v>
      </c>
      <c r="AN80" s="355">
        <f t="shared" ref="AN80:AN98" si="161">AM80*A80</f>
        <v>0</v>
      </c>
      <c r="AO80" s="356">
        <f t="shared" ref="AO80:AO98" si="162">AN80+X80</f>
        <v>0</v>
      </c>
    </row>
    <row r="81" spans="1:41">
      <c r="A81" s="344">
        <v>0</v>
      </c>
      <c r="B81" s="299" t="s">
        <v>519</v>
      </c>
      <c r="C81" s="300" t="s">
        <v>406</v>
      </c>
      <c r="D81" s="300" t="s">
        <v>518</v>
      </c>
      <c r="E81" s="301">
        <v>42500</v>
      </c>
      <c r="F81" s="302">
        <f>50*22</f>
        <v>1100</v>
      </c>
      <c r="G81" s="301">
        <f>22*4*AP$1</f>
        <v>440</v>
      </c>
      <c r="H81" s="302">
        <v>6</v>
      </c>
      <c r="I81" s="302"/>
      <c r="J81" s="303">
        <f t="shared" si="142"/>
        <v>2026</v>
      </c>
      <c r="K81" s="303">
        <f t="shared" si="142"/>
        <v>2032</v>
      </c>
      <c r="L81" s="303">
        <f t="shared" si="142"/>
        <v>6</v>
      </c>
      <c r="M81" s="301">
        <v>60.700000762939503</v>
      </c>
      <c r="N81" s="301">
        <f t="shared" si="137"/>
        <v>0</v>
      </c>
      <c r="O81" s="301">
        <f t="shared" si="143"/>
        <v>0</v>
      </c>
      <c r="P81" s="301">
        <f t="shared" si="144"/>
        <v>0</v>
      </c>
      <c r="Q81" s="301">
        <f t="shared" si="145"/>
        <v>0</v>
      </c>
      <c r="R81" s="301">
        <f t="shared" si="146"/>
        <v>0</v>
      </c>
      <c r="S81" s="301">
        <f t="shared" si="147"/>
        <v>0</v>
      </c>
      <c r="T81" s="301">
        <f t="shared" si="148"/>
        <v>0</v>
      </c>
      <c r="U81" s="301">
        <f t="shared" si="149"/>
        <v>0</v>
      </c>
      <c r="V81" s="304">
        <f t="shared" si="150"/>
        <v>0</v>
      </c>
      <c r="W81" s="304">
        <f t="shared" si="151"/>
        <v>0</v>
      </c>
      <c r="X81" s="305">
        <f t="shared" si="152"/>
        <v>0</v>
      </c>
      <c r="Y81" s="306">
        <f>VLOOKUP(M81,'B.0.ConsumiblesMaquinaria'!C$7:D$16,2)</f>
        <v>4.7E-2</v>
      </c>
      <c r="Z81" s="302">
        <f t="shared" si="153"/>
        <v>0</v>
      </c>
      <c r="AA81" s="302">
        <f>+'B.0.ConsumiblesMaquinaria'!J$23</f>
        <v>9.879999999999999</v>
      </c>
      <c r="AB81" s="302">
        <f t="shared" si="154"/>
        <v>2.3199999999999998</v>
      </c>
      <c r="AC81" s="301">
        <f>4.5*AC$102</f>
        <v>0</v>
      </c>
      <c r="AD81" s="301">
        <f t="shared" si="140"/>
        <v>0</v>
      </c>
      <c r="AE81" s="302">
        <f>+'B.0.ConsumiblesMaquinaria'!J$22</f>
        <v>1.9</v>
      </c>
      <c r="AF81" s="302">
        <f t="shared" si="141"/>
        <v>0</v>
      </c>
      <c r="AG81" s="302">
        <f t="shared" si="155"/>
        <v>2.3199999999999998</v>
      </c>
      <c r="AH81" s="302">
        <f t="shared" si="156"/>
        <v>0</v>
      </c>
      <c r="AI81" s="306">
        <f t="shared" si="157"/>
        <v>0</v>
      </c>
      <c r="AJ81" s="306">
        <f t="shared" si="158"/>
        <v>0</v>
      </c>
      <c r="AK81" s="302">
        <f t="shared" si="159"/>
        <v>0</v>
      </c>
      <c r="AL81" s="303">
        <v>20</v>
      </c>
      <c r="AM81" s="301">
        <f t="shared" si="160"/>
        <v>0</v>
      </c>
      <c r="AN81" s="305">
        <f t="shared" si="161"/>
        <v>0</v>
      </c>
      <c r="AO81" s="358">
        <f t="shared" si="162"/>
        <v>0</v>
      </c>
    </row>
    <row r="82" spans="1:41">
      <c r="A82" s="344">
        <v>0</v>
      </c>
      <c r="B82" s="299" t="s">
        <v>520</v>
      </c>
      <c r="C82" s="300" t="s">
        <v>406</v>
      </c>
      <c r="D82" s="300" t="s">
        <v>370</v>
      </c>
      <c r="E82" s="301">
        <v>14000</v>
      </c>
      <c r="F82" s="302">
        <f>15*22</f>
        <v>330</v>
      </c>
      <c r="G82" s="301">
        <f>22*8*AP$1</f>
        <v>880</v>
      </c>
      <c r="H82" s="302">
        <v>6</v>
      </c>
      <c r="I82" s="302"/>
      <c r="J82" s="303">
        <f t="shared" si="142"/>
        <v>2026</v>
      </c>
      <c r="K82" s="303">
        <f t="shared" si="142"/>
        <v>2032</v>
      </c>
      <c r="L82" s="303">
        <f t="shared" si="142"/>
        <v>6</v>
      </c>
      <c r="M82" s="301">
        <v>14</v>
      </c>
      <c r="N82" s="301">
        <f t="shared" si="137"/>
        <v>0</v>
      </c>
      <c r="O82" s="301">
        <f t="shared" si="143"/>
        <v>0</v>
      </c>
      <c r="P82" s="301">
        <f t="shared" si="144"/>
        <v>0</v>
      </c>
      <c r="Q82" s="301">
        <f t="shared" si="145"/>
        <v>0</v>
      </c>
      <c r="R82" s="301">
        <f t="shared" si="146"/>
        <v>0</v>
      </c>
      <c r="S82" s="301">
        <f t="shared" si="147"/>
        <v>0</v>
      </c>
      <c r="T82" s="301">
        <f t="shared" si="148"/>
        <v>0</v>
      </c>
      <c r="U82" s="301">
        <f t="shared" si="149"/>
        <v>0</v>
      </c>
      <c r="V82" s="304">
        <f t="shared" si="150"/>
        <v>0</v>
      </c>
      <c r="W82" s="304">
        <f t="shared" si="151"/>
        <v>0</v>
      </c>
      <c r="X82" s="305">
        <f t="shared" si="152"/>
        <v>0</v>
      </c>
      <c r="Y82" s="306">
        <f>VLOOKUP(M82,'B.0.ConsumiblesMaquinaria'!C$7:D$16,2)</f>
        <v>3.5000000000000003E-2</v>
      </c>
      <c r="Z82" s="302">
        <f t="shared" si="153"/>
        <v>0</v>
      </c>
      <c r="AA82" s="302">
        <f>+'B.0.ConsumiblesMaquinaria'!J$23</f>
        <v>9.879999999999999</v>
      </c>
      <c r="AB82" s="302">
        <f t="shared" si="154"/>
        <v>1.73</v>
      </c>
      <c r="AC82" s="301">
        <f>1.5*AC$102</f>
        <v>0</v>
      </c>
      <c r="AD82" s="301">
        <f t="shared" si="140"/>
        <v>0</v>
      </c>
      <c r="AE82" s="302">
        <f>+'B.0.ConsumiblesMaquinaria'!J$22</f>
        <v>1.9</v>
      </c>
      <c r="AF82" s="302">
        <f t="shared" si="141"/>
        <v>0</v>
      </c>
      <c r="AG82" s="302">
        <f t="shared" si="155"/>
        <v>1.73</v>
      </c>
      <c r="AH82" s="302">
        <f t="shared" si="156"/>
        <v>0</v>
      </c>
      <c r="AI82" s="306">
        <f t="shared" si="157"/>
        <v>0</v>
      </c>
      <c r="AJ82" s="306">
        <f t="shared" si="158"/>
        <v>0</v>
      </c>
      <c r="AK82" s="302">
        <f t="shared" si="159"/>
        <v>0</v>
      </c>
      <c r="AL82" s="303">
        <v>80</v>
      </c>
      <c r="AM82" s="301">
        <f t="shared" si="160"/>
        <v>0</v>
      </c>
      <c r="AN82" s="305">
        <f t="shared" si="161"/>
        <v>0</v>
      </c>
      <c r="AO82" s="358">
        <f t="shared" si="162"/>
        <v>0</v>
      </c>
    </row>
    <row r="83" spans="1:41">
      <c r="A83" s="344">
        <v>0</v>
      </c>
      <c r="B83" s="299" t="s">
        <v>521</v>
      </c>
      <c r="C83" s="300" t="s">
        <v>406</v>
      </c>
      <c r="D83" s="300" t="s">
        <v>522</v>
      </c>
      <c r="E83" s="301">
        <v>2375</v>
      </c>
      <c r="F83" s="302">
        <f>8*22</f>
        <v>176</v>
      </c>
      <c r="G83" s="301">
        <f>22*3*AP$1</f>
        <v>330</v>
      </c>
      <c r="H83" s="302">
        <v>4</v>
      </c>
      <c r="I83" s="302"/>
      <c r="J83" s="303">
        <f t="shared" si="142"/>
        <v>2026</v>
      </c>
      <c r="K83" s="303">
        <f t="shared" si="142"/>
        <v>2032</v>
      </c>
      <c r="L83" s="303">
        <f t="shared" si="142"/>
        <v>6</v>
      </c>
      <c r="M83" s="301">
        <v>2</v>
      </c>
      <c r="N83" s="301">
        <f t="shared" si="137"/>
        <v>0</v>
      </c>
      <c r="O83" s="301">
        <f t="shared" si="143"/>
        <v>0</v>
      </c>
      <c r="P83" s="301">
        <f t="shared" si="144"/>
        <v>0</v>
      </c>
      <c r="Q83" s="301">
        <f t="shared" si="145"/>
        <v>0</v>
      </c>
      <c r="R83" s="301">
        <f t="shared" si="146"/>
        <v>0</v>
      </c>
      <c r="S83" s="301">
        <f t="shared" si="147"/>
        <v>0</v>
      </c>
      <c r="T83" s="301">
        <f t="shared" si="148"/>
        <v>0</v>
      </c>
      <c r="U83" s="301">
        <f t="shared" si="149"/>
        <v>0</v>
      </c>
      <c r="V83" s="304">
        <f t="shared" si="150"/>
        <v>0</v>
      </c>
      <c r="W83" s="304">
        <f t="shared" si="151"/>
        <v>0</v>
      </c>
      <c r="X83" s="305">
        <f t="shared" si="152"/>
        <v>0</v>
      </c>
      <c r="Y83" s="306">
        <f>VLOOKUP(M83,'B.0.ConsumiblesMaquinaria'!C$7:D$16,2)</f>
        <v>3.5000000000000003E-2</v>
      </c>
      <c r="Z83" s="301">
        <f t="shared" si="153"/>
        <v>0</v>
      </c>
      <c r="AA83" s="302">
        <f>+'B.0.ConsumiblesMaquinaria'!J$23</f>
        <v>9.879999999999999</v>
      </c>
      <c r="AB83" s="301">
        <f>+ROUND(Y83*AP$1*AA83,2)</f>
        <v>1.73</v>
      </c>
      <c r="AC83" s="301">
        <f>0*AC$102</f>
        <v>0</v>
      </c>
      <c r="AD83" s="301">
        <f t="shared" si="140"/>
        <v>0</v>
      </c>
      <c r="AE83" s="302">
        <f>+'B.0.ConsumiblesMaquinaria'!J$22</f>
        <v>1.9</v>
      </c>
      <c r="AF83" s="302">
        <f t="shared" si="141"/>
        <v>0</v>
      </c>
      <c r="AG83" s="302">
        <f t="shared" si="155"/>
        <v>1.73</v>
      </c>
      <c r="AH83" s="302">
        <f t="shared" si="156"/>
        <v>0</v>
      </c>
      <c r="AI83" s="306">
        <f t="shared" si="157"/>
        <v>0</v>
      </c>
      <c r="AJ83" s="306">
        <f t="shared" si="158"/>
        <v>0</v>
      </c>
      <c r="AK83" s="302">
        <f t="shared" si="159"/>
        <v>0</v>
      </c>
      <c r="AL83" s="303">
        <v>80</v>
      </c>
      <c r="AM83" s="301">
        <f t="shared" si="160"/>
        <v>0</v>
      </c>
      <c r="AN83" s="305">
        <f t="shared" si="161"/>
        <v>0</v>
      </c>
      <c r="AO83" s="358">
        <f t="shared" si="162"/>
        <v>0</v>
      </c>
    </row>
    <row r="84" spans="1:41">
      <c r="A84" s="344">
        <v>0</v>
      </c>
      <c r="B84" s="299" t="s">
        <v>523</v>
      </c>
      <c r="C84" s="300" t="s">
        <v>406</v>
      </c>
      <c r="D84" s="300" t="s">
        <v>524</v>
      </c>
      <c r="E84" s="301">
        <v>2305</v>
      </c>
      <c r="F84" s="300"/>
      <c r="G84" s="301">
        <f>22*3*AP$1</f>
        <v>330</v>
      </c>
      <c r="H84" s="302">
        <v>4</v>
      </c>
      <c r="I84" s="302"/>
      <c r="J84" s="303">
        <f t="shared" si="142"/>
        <v>2026</v>
      </c>
      <c r="K84" s="303">
        <f t="shared" si="142"/>
        <v>2032</v>
      </c>
      <c r="L84" s="303">
        <f t="shared" si="142"/>
        <v>6</v>
      </c>
      <c r="M84" s="301">
        <v>1</v>
      </c>
      <c r="N84" s="301">
        <f t="shared" si="137"/>
        <v>0</v>
      </c>
      <c r="O84" s="301">
        <f t="shared" si="143"/>
        <v>0</v>
      </c>
      <c r="P84" s="301">
        <f t="shared" si="144"/>
        <v>0</v>
      </c>
      <c r="Q84" s="301">
        <f t="shared" si="145"/>
        <v>0</v>
      </c>
      <c r="R84" s="301">
        <f t="shared" si="146"/>
        <v>0</v>
      </c>
      <c r="S84" s="301">
        <f t="shared" si="147"/>
        <v>0</v>
      </c>
      <c r="T84" s="301">
        <f t="shared" si="148"/>
        <v>0</v>
      </c>
      <c r="U84" s="301">
        <f t="shared" si="149"/>
        <v>0</v>
      </c>
      <c r="V84" s="304">
        <f t="shared" si="150"/>
        <v>0</v>
      </c>
      <c r="W84" s="304">
        <f t="shared" si="151"/>
        <v>0</v>
      </c>
      <c r="X84" s="305">
        <f t="shared" si="152"/>
        <v>0</v>
      </c>
      <c r="Y84" s="306">
        <f>VLOOKUP(M84,'B.0.ConsumiblesMaquinaria'!C$7:D$16,2)</f>
        <v>3.5000000000000003E-2</v>
      </c>
      <c r="Z84" s="301">
        <f t="shared" si="153"/>
        <v>0</v>
      </c>
      <c r="AA84" s="302">
        <f>+'B.0.ConsumiblesMaquinaria'!J$23</f>
        <v>9.879999999999999</v>
      </c>
      <c r="AB84" s="301">
        <f>+ROUND(Y84*AP$1*AA84,2)</f>
        <v>1.73</v>
      </c>
      <c r="AC84" s="301">
        <f>1*AC$102</f>
        <v>0</v>
      </c>
      <c r="AD84" s="301">
        <f t="shared" si="140"/>
        <v>0</v>
      </c>
      <c r="AE84" s="302">
        <f>+'B.0.ConsumiblesMaquinaria'!J$22</f>
        <v>1.9</v>
      </c>
      <c r="AF84" s="302">
        <f t="shared" si="141"/>
        <v>0</v>
      </c>
      <c r="AG84" s="302">
        <f t="shared" si="155"/>
        <v>1.73</v>
      </c>
      <c r="AH84" s="302">
        <f t="shared" si="156"/>
        <v>0</v>
      </c>
      <c r="AI84" s="306">
        <f t="shared" si="157"/>
        <v>0</v>
      </c>
      <c r="AJ84" s="306">
        <f t="shared" si="158"/>
        <v>0</v>
      </c>
      <c r="AK84" s="302">
        <f t="shared" si="159"/>
        <v>0</v>
      </c>
      <c r="AL84" s="303">
        <v>80</v>
      </c>
      <c r="AM84" s="301">
        <f t="shared" si="160"/>
        <v>0</v>
      </c>
      <c r="AN84" s="305">
        <f t="shared" si="161"/>
        <v>0</v>
      </c>
      <c r="AO84" s="358">
        <f t="shared" si="162"/>
        <v>0</v>
      </c>
    </row>
    <row r="85" spans="1:41">
      <c r="A85" s="344">
        <v>0</v>
      </c>
      <c r="B85" s="299" t="s">
        <v>525</v>
      </c>
      <c r="C85" s="300" t="s">
        <v>406</v>
      </c>
      <c r="D85" s="300" t="s">
        <v>526</v>
      </c>
      <c r="E85" s="301">
        <v>18875</v>
      </c>
      <c r="F85" s="302"/>
      <c r="G85" s="301">
        <f>22*3*AP$1</f>
        <v>330</v>
      </c>
      <c r="H85" s="302">
        <v>6</v>
      </c>
      <c r="I85" s="302"/>
      <c r="J85" s="303">
        <f t="shared" si="142"/>
        <v>2026</v>
      </c>
      <c r="K85" s="303">
        <f t="shared" si="142"/>
        <v>2032</v>
      </c>
      <c r="L85" s="303">
        <f t="shared" si="142"/>
        <v>6</v>
      </c>
      <c r="M85" s="301">
        <v>15</v>
      </c>
      <c r="N85" s="301">
        <f t="shared" si="137"/>
        <v>0</v>
      </c>
      <c r="O85" s="301">
        <f t="shared" si="143"/>
        <v>0</v>
      </c>
      <c r="P85" s="301">
        <f t="shared" si="144"/>
        <v>0</v>
      </c>
      <c r="Q85" s="301">
        <f t="shared" si="145"/>
        <v>0</v>
      </c>
      <c r="R85" s="301">
        <f t="shared" si="146"/>
        <v>0</v>
      </c>
      <c r="S85" s="301">
        <f t="shared" si="147"/>
        <v>0</v>
      </c>
      <c r="T85" s="301">
        <f t="shared" si="148"/>
        <v>0</v>
      </c>
      <c r="U85" s="301">
        <f t="shared" si="149"/>
        <v>0</v>
      </c>
      <c r="V85" s="304">
        <f t="shared" si="150"/>
        <v>0</v>
      </c>
      <c r="W85" s="304">
        <f t="shared" si="151"/>
        <v>0</v>
      </c>
      <c r="X85" s="305">
        <f t="shared" si="152"/>
        <v>0</v>
      </c>
      <c r="Y85" s="306">
        <f>VLOOKUP(M85,'B.0.ConsumiblesMaquinaria'!C$7:D$16,2)</f>
        <v>3.5000000000000003E-2</v>
      </c>
      <c r="Z85" s="302">
        <f t="shared" si="153"/>
        <v>0</v>
      </c>
      <c r="AA85" s="302">
        <f>+'B.0.ConsumiblesMaquinaria'!J$23</f>
        <v>9.879999999999999</v>
      </c>
      <c r="AB85" s="302">
        <f t="shared" si="154"/>
        <v>1.73</v>
      </c>
      <c r="AC85" s="301">
        <f>1.5*AC$102</f>
        <v>0</v>
      </c>
      <c r="AD85" s="301">
        <f t="shared" si="140"/>
        <v>0</v>
      </c>
      <c r="AE85" s="302">
        <f>+'B.0.ConsumiblesMaquinaria'!J$22</f>
        <v>1.9</v>
      </c>
      <c r="AF85" s="302">
        <f t="shared" si="141"/>
        <v>0</v>
      </c>
      <c r="AG85" s="302">
        <f t="shared" si="155"/>
        <v>1.73</v>
      </c>
      <c r="AH85" s="302">
        <f t="shared" si="156"/>
        <v>0</v>
      </c>
      <c r="AI85" s="306">
        <f t="shared" si="157"/>
        <v>0</v>
      </c>
      <c r="AJ85" s="306">
        <f t="shared" si="158"/>
        <v>0</v>
      </c>
      <c r="AK85" s="302">
        <f t="shared" si="159"/>
        <v>0</v>
      </c>
      <c r="AL85" s="303">
        <v>80</v>
      </c>
      <c r="AM85" s="301">
        <f t="shared" si="160"/>
        <v>0</v>
      </c>
      <c r="AN85" s="305">
        <f t="shared" si="161"/>
        <v>0</v>
      </c>
      <c r="AO85" s="358">
        <f t="shared" si="162"/>
        <v>0</v>
      </c>
    </row>
    <row r="86" spans="1:41">
      <c r="A86" s="344">
        <v>0</v>
      </c>
      <c r="B86" s="299" t="s">
        <v>527</v>
      </c>
      <c r="C86" s="300" t="s">
        <v>406</v>
      </c>
      <c r="D86" s="300" t="s">
        <v>370</v>
      </c>
      <c r="E86" s="301">
        <v>18750</v>
      </c>
      <c r="F86" s="302">
        <v>88</v>
      </c>
      <c r="G86" s="301">
        <f>22*3*AP$1</f>
        <v>330</v>
      </c>
      <c r="H86" s="302">
        <v>8</v>
      </c>
      <c r="I86" s="302"/>
      <c r="J86" s="303">
        <f t="shared" si="142"/>
        <v>2026</v>
      </c>
      <c r="K86" s="303">
        <f t="shared" si="142"/>
        <v>2032</v>
      </c>
      <c r="L86" s="303">
        <f t="shared" si="142"/>
        <v>6</v>
      </c>
      <c r="M86" s="301">
        <v>25</v>
      </c>
      <c r="N86" s="301">
        <f t="shared" si="137"/>
        <v>0</v>
      </c>
      <c r="O86" s="301">
        <f t="shared" si="143"/>
        <v>0</v>
      </c>
      <c r="P86" s="301">
        <f t="shared" si="144"/>
        <v>0</v>
      </c>
      <c r="Q86" s="301">
        <f t="shared" si="145"/>
        <v>0</v>
      </c>
      <c r="R86" s="301">
        <f t="shared" si="146"/>
        <v>0</v>
      </c>
      <c r="S86" s="301">
        <f t="shared" si="147"/>
        <v>0</v>
      </c>
      <c r="T86" s="301">
        <f t="shared" si="148"/>
        <v>0</v>
      </c>
      <c r="U86" s="301">
        <f t="shared" si="149"/>
        <v>0</v>
      </c>
      <c r="V86" s="304">
        <f t="shared" si="150"/>
        <v>0</v>
      </c>
      <c r="W86" s="304">
        <f t="shared" si="151"/>
        <v>0</v>
      </c>
      <c r="X86" s="305">
        <f t="shared" si="152"/>
        <v>0</v>
      </c>
      <c r="Y86" s="306">
        <f>VLOOKUP(M86,'B.0.ConsumiblesMaquinaria'!C$7:D$16,2)</f>
        <v>3.9E-2</v>
      </c>
      <c r="Z86" s="301">
        <f t="shared" si="153"/>
        <v>0</v>
      </c>
      <c r="AA86" s="302">
        <f>+'B.0.ConsumiblesMaquinaria'!J$23</f>
        <v>9.879999999999999</v>
      </c>
      <c r="AB86" s="301">
        <f t="shared" si="154"/>
        <v>1.93</v>
      </c>
      <c r="AC86" s="301">
        <f>2*AC$102</f>
        <v>0</v>
      </c>
      <c r="AD86" s="301">
        <f t="shared" si="140"/>
        <v>0</v>
      </c>
      <c r="AE86" s="302">
        <f>+'B.0.ConsumiblesMaquinaria'!J$22</f>
        <v>1.9</v>
      </c>
      <c r="AF86" s="302">
        <f t="shared" si="141"/>
        <v>0</v>
      </c>
      <c r="AG86" s="302">
        <f t="shared" si="155"/>
        <v>1.93</v>
      </c>
      <c r="AH86" s="302">
        <f t="shared" si="156"/>
        <v>0</v>
      </c>
      <c r="AI86" s="306">
        <f t="shared" si="157"/>
        <v>0</v>
      </c>
      <c r="AJ86" s="306">
        <f t="shared" si="158"/>
        <v>0</v>
      </c>
      <c r="AK86" s="302">
        <f t="shared" si="159"/>
        <v>0</v>
      </c>
      <c r="AL86" s="303">
        <v>80</v>
      </c>
      <c r="AM86" s="301">
        <f t="shared" si="160"/>
        <v>0</v>
      </c>
      <c r="AN86" s="305">
        <f t="shared" si="161"/>
        <v>0</v>
      </c>
      <c r="AO86" s="358">
        <f t="shared" si="162"/>
        <v>0</v>
      </c>
    </row>
    <row r="87" spans="1:41">
      <c r="A87" s="344">
        <v>0</v>
      </c>
      <c r="B87" s="299" t="s">
        <v>528</v>
      </c>
      <c r="C87" s="300" t="s">
        <v>342</v>
      </c>
      <c r="D87" s="300" t="s">
        <v>370</v>
      </c>
      <c r="E87" s="301">
        <v>125</v>
      </c>
      <c r="F87" s="302"/>
      <c r="G87" s="301">
        <f>22*8*AP$1</f>
        <v>880</v>
      </c>
      <c r="H87" s="302">
        <v>2</v>
      </c>
      <c r="I87" s="302"/>
      <c r="J87" s="303">
        <f t="shared" si="142"/>
        <v>2026</v>
      </c>
      <c r="K87" s="303">
        <f t="shared" si="142"/>
        <v>2032</v>
      </c>
      <c r="L87" s="303">
        <f t="shared" si="142"/>
        <v>6</v>
      </c>
      <c r="M87" s="301">
        <v>6</v>
      </c>
      <c r="N87" s="301">
        <f t="shared" si="137"/>
        <v>0</v>
      </c>
      <c r="O87" s="301">
        <f t="shared" si="143"/>
        <v>0</v>
      </c>
      <c r="P87" s="301">
        <f t="shared" si="144"/>
        <v>0</v>
      </c>
      <c r="Q87" s="301">
        <f t="shared" si="145"/>
        <v>0</v>
      </c>
      <c r="R87" s="301">
        <f t="shared" si="146"/>
        <v>0</v>
      </c>
      <c r="S87" s="301">
        <f t="shared" si="147"/>
        <v>0</v>
      </c>
      <c r="T87" s="301">
        <f t="shared" si="148"/>
        <v>0</v>
      </c>
      <c r="U87" s="301">
        <f t="shared" si="149"/>
        <v>0</v>
      </c>
      <c r="V87" s="304">
        <f t="shared" si="150"/>
        <v>0</v>
      </c>
      <c r="W87" s="304">
        <f t="shared" si="151"/>
        <v>0</v>
      </c>
      <c r="X87" s="305">
        <f t="shared" si="152"/>
        <v>0</v>
      </c>
      <c r="Y87" s="301">
        <v>0</v>
      </c>
      <c r="Z87" s="301">
        <f t="shared" si="153"/>
        <v>0</v>
      </c>
      <c r="AA87" s="301">
        <v>0</v>
      </c>
      <c r="AB87" s="301">
        <f t="shared" si="154"/>
        <v>0</v>
      </c>
      <c r="AC87" s="301">
        <f>0*AC$102</f>
        <v>0</v>
      </c>
      <c r="AD87" s="301">
        <f t="shared" si="140"/>
        <v>0</v>
      </c>
      <c r="AE87" s="302">
        <v>0</v>
      </c>
      <c r="AF87" s="302">
        <f t="shared" si="141"/>
        <v>0</v>
      </c>
      <c r="AG87" s="302">
        <f t="shared" si="155"/>
        <v>0</v>
      </c>
      <c r="AH87" s="302">
        <f t="shared" si="156"/>
        <v>0</v>
      </c>
      <c r="AI87" s="306">
        <f t="shared" si="157"/>
        <v>0</v>
      </c>
      <c r="AJ87" s="306">
        <f t="shared" si="158"/>
        <v>0</v>
      </c>
      <c r="AK87" s="302">
        <f t="shared" si="159"/>
        <v>0</v>
      </c>
      <c r="AL87" s="303">
        <v>80</v>
      </c>
      <c r="AM87" s="301">
        <f t="shared" si="160"/>
        <v>0</v>
      </c>
      <c r="AN87" s="305">
        <f t="shared" si="161"/>
        <v>0</v>
      </c>
      <c r="AO87" s="358">
        <f t="shared" si="162"/>
        <v>0</v>
      </c>
    </row>
    <row r="88" spans="1:41">
      <c r="A88" s="344">
        <v>0</v>
      </c>
      <c r="B88" s="299" t="s">
        <v>529</v>
      </c>
      <c r="C88" s="300" t="s">
        <v>342</v>
      </c>
      <c r="D88" s="300" t="s">
        <v>530</v>
      </c>
      <c r="E88" s="301">
        <v>750</v>
      </c>
      <c r="F88" s="302"/>
      <c r="G88" s="301">
        <f t="shared" ref="G88:G96" si="163">22*3*AP$1</f>
        <v>330</v>
      </c>
      <c r="H88" s="302">
        <v>4</v>
      </c>
      <c r="I88" s="302"/>
      <c r="J88" s="303">
        <f t="shared" si="142"/>
        <v>2026</v>
      </c>
      <c r="K88" s="303">
        <f t="shared" si="142"/>
        <v>2032</v>
      </c>
      <c r="L88" s="303">
        <f t="shared" si="142"/>
        <v>6</v>
      </c>
      <c r="M88" s="301">
        <v>2</v>
      </c>
      <c r="N88" s="301">
        <f t="shared" si="137"/>
        <v>0</v>
      </c>
      <c r="O88" s="301">
        <f t="shared" si="143"/>
        <v>0</v>
      </c>
      <c r="P88" s="301">
        <f t="shared" si="144"/>
        <v>0</v>
      </c>
      <c r="Q88" s="301">
        <f t="shared" si="145"/>
        <v>0</v>
      </c>
      <c r="R88" s="301">
        <f t="shared" si="146"/>
        <v>0</v>
      </c>
      <c r="S88" s="301">
        <f t="shared" si="147"/>
        <v>0</v>
      </c>
      <c r="T88" s="301">
        <f t="shared" si="148"/>
        <v>0</v>
      </c>
      <c r="U88" s="301">
        <f t="shared" si="149"/>
        <v>0</v>
      </c>
      <c r="V88" s="304">
        <f t="shared" si="150"/>
        <v>0</v>
      </c>
      <c r="W88" s="304">
        <f t="shared" si="151"/>
        <v>0</v>
      </c>
      <c r="X88" s="305">
        <f t="shared" si="152"/>
        <v>0</v>
      </c>
      <c r="Y88" s="301">
        <v>0</v>
      </c>
      <c r="Z88" s="301">
        <f t="shared" si="153"/>
        <v>0</v>
      </c>
      <c r="AA88" s="301">
        <v>0</v>
      </c>
      <c r="AB88" s="301">
        <f t="shared" si="154"/>
        <v>0</v>
      </c>
      <c r="AC88" s="301">
        <f>0*AC$102</f>
        <v>0</v>
      </c>
      <c r="AD88" s="301">
        <f t="shared" si="140"/>
        <v>0</v>
      </c>
      <c r="AE88" s="302">
        <v>0</v>
      </c>
      <c r="AF88" s="302">
        <f t="shared" si="141"/>
        <v>0</v>
      </c>
      <c r="AG88" s="302">
        <f t="shared" si="155"/>
        <v>0</v>
      </c>
      <c r="AH88" s="302">
        <f t="shared" si="156"/>
        <v>0</v>
      </c>
      <c r="AI88" s="306">
        <f t="shared" si="157"/>
        <v>0</v>
      </c>
      <c r="AJ88" s="306">
        <f t="shared" si="158"/>
        <v>0</v>
      </c>
      <c r="AK88" s="302">
        <f t="shared" si="159"/>
        <v>0</v>
      </c>
      <c r="AL88" s="303">
        <v>80</v>
      </c>
      <c r="AM88" s="301">
        <f t="shared" si="160"/>
        <v>0</v>
      </c>
      <c r="AN88" s="305">
        <f t="shared" si="161"/>
        <v>0</v>
      </c>
      <c r="AO88" s="358">
        <f t="shared" si="162"/>
        <v>0</v>
      </c>
    </row>
    <row r="89" spans="1:41">
      <c r="A89" s="344">
        <v>0</v>
      </c>
      <c r="B89" s="299" t="s">
        <v>531</v>
      </c>
      <c r="C89" s="300" t="s">
        <v>406</v>
      </c>
      <c r="D89" s="300" t="s">
        <v>532</v>
      </c>
      <c r="E89" s="301">
        <v>6000</v>
      </c>
      <c r="F89" s="302"/>
      <c r="G89" s="301">
        <f t="shared" si="163"/>
        <v>330</v>
      </c>
      <c r="H89" s="302">
        <v>4</v>
      </c>
      <c r="I89" s="302"/>
      <c r="J89" s="303">
        <f t="shared" si="142"/>
        <v>2026</v>
      </c>
      <c r="K89" s="303">
        <f t="shared" si="142"/>
        <v>2032</v>
      </c>
      <c r="L89" s="303">
        <f t="shared" si="142"/>
        <v>6</v>
      </c>
      <c r="M89" s="301">
        <v>11</v>
      </c>
      <c r="N89" s="301">
        <f t="shared" si="137"/>
        <v>0</v>
      </c>
      <c r="O89" s="301">
        <f t="shared" si="143"/>
        <v>0</v>
      </c>
      <c r="P89" s="301">
        <f t="shared" si="144"/>
        <v>0</v>
      </c>
      <c r="Q89" s="301">
        <f t="shared" si="145"/>
        <v>0</v>
      </c>
      <c r="R89" s="301">
        <f t="shared" si="146"/>
        <v>0</v>
      </c>
      <c r="S89" s="301">
        <f t="shared" si="147"/>
        <v>0</v>
      </c>
      <c r="T89" s="301">
        <f t="shared" si="148"/>
        <v>0</v>
      </c>
      <c r="U89" s="301">
        <f t="shared" si="149"/>
        <v>0</v>
      </c>
      <c r="V89" s="304">
        <f t="shared" si="150"/>
        <v>0</v>
      </c>
      <c r="W89" s="304">
        <f t="shared" si="151"/>
        <v>0</v>
      </c>
      <c r="X89" s="305">
        <f t="shared" si="152"/>
        <v>0</v>
      </c>
      <c r="Y89" s="306">
        <f>VLOOKUP(M89,'B.0.ConsumiblesMaquinaria'!C$7:D$16,2)</f>
        <v>3.5000000000000003E-2</v>
      </c>
      <c r="Z89" s="301">
        <f t="shared" si="153"/>
        <v>0</v>
      </c>
      <c r="AA89" s="302">
        <f>+'B.0.ConsumiblesMaquinaria'!J$23</f>
        <v>9.879999999999999</v>
      </c>
      <c r="AB89" s="301">
        <f t="shared" si="154"/>
        <v>1.73</v>
      </c>
      <c r="AC89" s="301">
        <f>1*AC$102</f>
        <v>0</v>
      </c>
      <c r="AD89" s="301">
        <f t="shared" si="140"/>
        <v>0</v>
      </c>
      <c r="AE89" s="302">
        <f>+'B.0.ConsumiblesMaquinaria'!J$22</f>
        <v>1.9</v>
      </c>
      <c r="AF89" s="302">
        <f t="shared" si="141"/>
        <v>0</v>
      </c>
      <c r="AG89" s="302">
        <f t="shared" si="155"/>
        <v>1.73</v>
      </c>
      <c r="AH89" s="302">
        <f t="shared" si="156"/>
        <v>0</v>
      </c>
      <c r="AI89" s="306">
        <f t="shared" si="157"/>
        <v>0</v>
      </c>
      <c r="AJ89" s="306">
        <f t="shared" si="158"/>
        <v>0</v>
      </c>
      <c r="AK89" s="302">
        <f t="shared" si="159"/>
        <v>0</v>
      </c>
      <c r="AL89" s="303">
        <v>80</v>
      </c>
      <c r="AM89" s="301">
        <f t="shared" si="160"/>
        <v>0</v>
      </c>
      <c r="AN89" s="305">
        <f t="shared" si="161"/>
        <v>0</v>
      </c>
      <c r="AO89" s="358">
        <f t="shared" si="162"/>
        <v>0</v>
      </c>
    </row>
    <row r="90" spans="1:41">
      <c r="A90" s="344">
        <v>0</v>
      </c>
      <c r="B90" s="299" t="s">
        <v>533</v>
      </c>
      <c r="C90" s="300" t="s">
        <v>406</v>
      </c>
      <c r="D90" s="300" t="s">
        <v>534</v>
      </c>
      <c r="E90" s="301">
        <v>5625</v>
      </c>
      <c r="F90" s="302">
        <f>15*22</f>
        <v>330</v>
      </c>
      <c r="G90" s="301">
        <f t="shared" si="163"/>
        <v>330</v>
      </c>
      <c r="H90" s="302">
        <v>2</v>
      </c>
      <c r="I90" s="302"/>
      <c r="J90" s="303">
        <f t="shared" si="142"/>
        <v>2026</v>
      </c>
      <c r="K90" s="303">
        <f t="shared" si="142"/>
        <v>2032</v>
      </c>
      <c r="L90" s="303">
        <f t="shared" si="142"/>
        <v>6</v>
      </c>
      <c r="M90" s="301">
        <v>15</v>
      </c>
      <c r="N90" s="301">
        <f t="shared" si="137"/>
        <v>0</v>
      </c>
      <c r="O90" s="301">
        <f t="shared" si="143"/>
        <v>0</v>
      </c>
      <c r="P90" s="301">
        <f t="shared" si="144"/>
        <v>0</v>
      </c>
      <c r="Q90" s="301">
        <f t="shared" si="145"/>
        <v>0</v>
      </c>
      <c r="R90" s="301">
        <f t="shared" si="146"/>
        <v>0</v>
      </c>
      <c r="S90" s="301">
        <f t="shared" si="147"/>
        <v>0</v>
      </c>
      <c r="T90" s="301">
        <f t="shared" si="148"/>
        <v>0</v>
      </c>
      <c r="U90" s="301">
        <f t="shared" si="149"/>
        <v>0</v>
      </c>
      <c r="V90" s="304">
        <f t="shared" si="150"/>
        <v>0</v>
      </c>
      <c r="W90" s="304">
        <f t="shared" si="151"/>
        <v>0</v>
      </c>
      <c r="X90" s="305">
        <f t="shared" si="152"/>
        <v>0</v>
      </c>
      <c r="Y90" s="306">
        <f>VLOOKUP(M90,'B.0.ConsumiblesMaquinaria'!C$7:D$16,2)</f>
        <v>3.5000000000000003E-2</v>
      </c>
      <c r="Z90" s="301">
        <f t="shared" si="153"/>
        <v>0</v>
      </c>
      <c r="AA90" s="302">
        <f>+'B.0.ConsumiblesMaquinaria'!J$23</f>
        <v>9.879999999999999</v>
      </c>
      <c r="AB90" s="301">
        <f t="shared" si="154"/>
        <v>1.73</v>
      </c>
      <c r="AC90" s="301">
        <f>0.5*AC$102</f>
        <v>0</v>
      </c>
      <c r="AD90" s="301">
        <f t="shared" si="140"/>
        <v>0</v>
      </c>
      <c r="AE90" s="302">
        <f>+'B.0.ConsumiblesMaquinaria'!J$22</f>
        <v>1.9</v>
      </c>
      <c r="AF90" s="302">
        <f t="shared" si="141"/>
        <v>0</v>
      </c>
      <c r="AG90" s="302">
        <f t="shared" si="155"/>
        <v>1.73</v>
      </c>
      <c r="AH90" s="302">
        <f t="shared" si="156"/>
        <v>0</v>
      </c>
      <c r="AI90" s="306">
        <f t="shared" si="157"/>
        <v>0</v>
      </c>
      <c r="AJ90" s="306">
        <f t="shared" si="158"/>
        <v>0</v>
      </c>
      <c r="AK90" s="302">
        <f t="shared" si="159"/>
        <v>0</v>
      </c>
      <c r="AL90" s="303">
        <v>80</v>
      </c>
      <c r="AM90" s="301">
        <f t="shared" si="160"/>
        <v>0</v>
      </c>
      <c r="AN90" s="305">
        <f t="shared" si="161"/>
        <v>0</v>
      </c>
      <c r="AO90" s="358">
        <f t="shared" si="162"/>
        <v>0</v>
      </c>
    </row>
    <row r="91" spans="1:41">
      <c r="A91" s="344">
        <v>0</v>
      </c>
      <c r="B91" s="299" t="s">
        <v>535</v>
      </c>
      <c r="C91" s="300" t="s">
        <v>406</v>
      </c>
      <c r="D91" s="300" t="s">
        <v>536</v>
      </c>
      <c r="E91" s="301">
        <v>6000</v>
      </c>
      <c r="F91" s="302"/>
      <c r="G91" s="301">
        <f t="shared" si="163"/>
        <v>330</v>
      </c>
      <c r="H91" s="302">
        <v>4</v>
      </c>
      <c r="I91" s="302"/>
      <c r="J91" s="303">
        <f t="shared" si="142"/>
        <v>2026</v>
      </c>
      <c r="K91" s="303">
        <f t="shared" si="142"/>
        <v>2032</v>
      </c>
      <c r="L91" s="303">
        <f t="shared" si="142"/>
        <v>6</v>
      </c>
      <c r="M91" s="301">
        <v>35</v>
      </c>
      <c r="N91" s="301">
        <f t="shared" si="137"/>
        <v>0</v>
      </c>
      <c r="O91" s="301">
        <f t="shared" si="143"/>
        <v>0</v>
      </c>
      <c r="P91" s="301">
        <f t="shared" si="144"/>
        <v>0</v>
      </c>
      <c r="Q91" s="301">
        <f t="shared" si="145"/>
        <v>0</v>
      </c>
      <c r="R91" s="301">
        <f t="shared" si="146"/>
        <v>0</v>
      </c>
      <c r="S91" s="301">
        <f t="shared" si="147"/>
        <v>0</v>
      </c>
      <c r="T91" s="301">
        <f t="shared" si="148"/>
        <v>0</v>
      </c>
      <c r="U91" s="301">
        <f t="shared" si="149"/>
        <v>0</v>
      </c>
      <c r="V91" s="304">
        <f t="shared" si="150"/>
        <v>0</v>
      </c>
      <c r="W91" s="304">
        <f t="shared" si="151"/>
        <v>0</v>
      </c>
      <c r="X91" s="305">
        <f t="shared" si="152"/>
        <v>0</v>
      </c>
      <c r="Y91" s="306">
        <f>VLOOKUP(M91,'B.0.ConsumiblesMaquinaria'!C$7:D$16,2)</f>
        <v>3.9E-2</v>
      </c>
      <c r="Z91" s="301">
        <f t="shared" si="153"/>
        <v>0</v>
      </c>
      <c r="AA91" s="302">
        <f>+'B.0.ConsumiblesMaquinaria'!J$23</f>
        <v>9.879999999999999</v>
      </c>
      <c r="AB91" s="301">
        <f t="shared" si="154"/>
        <v>1.93</v>
      </c>
      <c r="AC91" s="301">
        <f>1*AC$102</f>
        <v>0</v>
      </c>
      <c r="AD91" s="301">
        <f t="shared" si="140"/>
        <v>0</v>
      </c>
      <c r="AE91" s="302">
        <f>+'B.0.ConsumiblesMaquinaria'!J$22</f>
        <v>1.9</v>
      </c>
      <c r="AF91" s="302">
        <f t="shared" si="141"/>
        <v>0</v>
      </c>
      <c r="AG91" s="302">
        <f t="shared" si="155"/>
        <v>1.93</v>
      </c>
      <c r="AH91" s="302">
        <f t="shared" si="156"/>
        <v>0</v>
      </c>
      <c r="AI91" s="306">
        <f t="shared" si="157"/>
        <v>0</v>
      </c>
      <c r="AJ91" s="306">
        <f t="shared" si="158"/>
        <v>0</v>
      </c>
      <c r="AK91" s="302">
        <f t="shared" si="159"/>
        <v>0</v>
      </c>
      <c r="AL91" s="303">
        <v>80</v>
      </c>
      <c r="AM91" s="301">
        <f t="shared" si="160"/>
        <v>0</v>
      </c>
      <c r="AN91" s="305">
        <f t="shared" si="161"/>
        <v>0</v>
      </c>
      <c r="AO91" s="358">
        <f t="shared" si="162"/>
        <v>0</v>
      </c>
    </row>
    <row r="92" spans="1:41">
      <c r="A92" s="344">
        <v>0</v>
      </c>
      <c r="B92" s="299" t="s">
        <v>537</v>
      </c>
      <c r="C92" s="300" t="s">
        <v>406</v>
      </c>
      <c r="D92" s="300" t="s">
        <v>370</v>
      </c>
      <c r="E92" s="301">
        <v>4375</v>
      </c>
      <c r="F92" s="302"/>
      <c r="G92" s="301">
        <f t="shared" si="163"/>
        <v>330</v>
      </c>
      <c r="H92" s="302">
        <v>2</v>
      </c>
      <c r="I92" s="302"/>
      <c r="J92" s="303">
        <f t="shared" si="142"/>
        <v>2026</v>
      </c>
      <c r="K92" s="303">
        <f t="shared" si="142"/>
        <v>2032</v>
      </c>
      <c r="L92" s="303">
        <f t="shared" si="142"/>
        <v>6</v>
      </c>
      <c r="M92" s="301">
        <v>11</v>
      </c>
      <c r="N92" s="301">
        <f t="shared" si="137"/>
        <v>0</v>
      </c>
      <c r="O92" s="301">
        <f t="shared" si="143"/>
        <v>0</v>
      </c>
      <c r="P92" s="301">
        <f t="shared" si="144"/>
        <v>0</v>
      </c>
      <c r="Q92" s="301">
        <f t="shared" si="145"/>
        <v>0</v>
      </c>
      <c r="R92" s="301">
        <f t="shared" si="146"/>
        <v>0</v>
      </c>
      <c r="S92" s="301">
        <f t="shared" si="147"/>
        <v>0</v>
      </c>
      <c r="T92" s="301">
        <f t="shared" si="148"/>
        <v>0</v>
      </c>
      <c r="U92" s="301">
        <f t="shared" si="149"/>
        <v>0</v>
      </c>
      <c r="V92" s="304">
        <f t="shared" si="150"/>
        <v>0</v>
      </c>
      <c r="W92" s="304">
        <f t="shared" si="151"/>
        <v>0</v>
      </c>
      <c r="X92" s="305">
        <f t="shared" si="152"/>
        <v>0</v>
      </c>
      <c r="Y92" s="306">
        <f>VLOOKUP(M92,'B.0.ConsumiblesMaquinaria'!C$7:D$16,2)</f>
        <v>3.5000000000000003E-2</v>
      </c>
      <c r="Z92" s="301">
        <f t="shared" si="153"/>
        <v>0</v>
      </c>
      <c r="AA92" s="302">
        <f>+'B.0.ConsumiblesMaquinaria'!J$23</f>
        <v>9.879999999999999</v>
      </c>
      <c r="AB92" s="301">
        <f t="shared" si="154"/>
        <v>1.73</v>
      </c>
      <c r="AC92" s="301">
        <f>1*AC$102</f>
        <v>0</v>
      </c>
      <c r="AD92" s="301">
        <f t="shared" si="140"/>
        <v>0</v>
      </c>
      <c r="AE92" s="302">
        <f>+'B.0.ConsumiblesMaquinaria'!J$22</f>
        <v>1.9</v>
      </c>
      <c r="AF92" s="302">
        <f t="shared" si="141"/>
        <v>0</v>
      </c>
      <c r="AG92" s="302">
        <f t="shared" si="155"/>
        <v>1.73</v>
      </c>
      <c r="AH92" s="302">
        <f t="shared" si="156"/>
        <v>0</v>
      </c>
      <c r="AI92" s="306">
        <f t="shared" si="157"/>
        <v>0</v>
      </c>
      <c r="AJ92" s="306">
        <f t="shared" si="158"/>
        <v>0</v>
      </c>
      <c r="AK92" s="302">
        <f t="shared" si="159"/>
        <v>0</v>
      </c>
      <c r="AL92" s="303">
        <v>80</v>
      </c>
      <c r="AM92" s="301">
        <f t="shared" si="160"/>
        <v>0</v>
      </c>
      <c r="AN92" s="305">
        <f t="shared" si="161"/>
        <v>0</v>
      </c>
      <c r="AO92" s="358">
        <f t="shared" si="162"/>
        <v>0</v>
      </c>
    </row>
    <row r="93" spans="1:41">
      <c r="A93" s="344">
        <v>0</v>
      </c>
      <c r="B93" s="299" t="s">
        <v>538</v>
      </c>
      <c r="C93" s="300" t="s">
        <v>406</v>
      </c>
      <c r="D93" s="300" t="s">
        <v>539</v>
      </c>
      <c r="E93" s="301">
        <v>6125</v>
      </c>
      <c r="F93" s="302">
        <f>8*22</f>
        <v>176</v>
      </c>
      <c r="G93" s="301">
        <f t="shared" si="163"/>
        <v>330</v>
      </c>
      <c r="H93" s="302">
        <v>4</v>
      </c>
      <c r="I93" s="302"/>
      <c r="J93" s="303">
        <f t="shared" si="142"/>
        <v>2026</v>
      </c>
      <c r="K93" s="303">
        <f t="shared" si="142"/>
        <v>2032</v>
      </c>
      <c r="L93" s="303">
        <f t="shared" si="142"/>
        <v>6</v>
      </c>
      <c r="M93" s="301">
        <v>6.5</v>
      </c>
      <c r="N93" s="301">
        <f t="shared" si="137"/>
        <v>0</v>
      </c>
      <c r="O93" s="301">
        <f t="shared" si="143"/>
        <v>0</v>
      </c>
      <c r="P93" s="301">
        <f t="shared" si="144"/>
        <v>0</v>
      </c>
      <c r="Q93" s="301">
        <f t="shared" si="145"/>
        <v>0</v>
      </c>
      <c r="R93" s="301">
        <f t="shared" si="146"/>
        <v>0</v>
      </c>
      <c r="S93" s="301">
        <f t="shared" si="147"/>
        <v>0</v>
      </c>
      <c r="T93" s="301">
        <f t="shared" si="148"/>
        <v>0</v>
      </c>
      <c r="U93" s="301">
        <f t="shared" si="149"/>
        <v>0</v>
      </c>
      <c r="V93" s="304">
        <f t="shared" si="150"/>
        <v>0</v>
      </c>
      <c r="W93" s="304">
        <f t="shared" si="151"/>
        <v>0</v>
      </c>
      <c r="X93" s="305">
        <f t="shared" si="152"/>
        <v>0</v>
      </c>
      <c r="Y93" s="306">
        <f>VLOOKUP(M93,'B.0.ConsumiblesMaquinaria'!C$7:D$16,2)</f>
        <v>3.5000000000000003E-2</v>
      </c>
      <c r="Z93" s="301">
        <f t="shared" si="153"/>
        <v>0</v>
      </c>
      <c r="AA93" s="302">
        <f>+'B.0.ConsumiblesMaquinaria'!J$23</f>
        <v>9.879999999999999</v>
      </c>
      <c r="AB93" s="301">
        <f t="shared" si="154"/>
        <v>1.73</v>
      </c>
      <c r="AC93" s="301">
        <f>1*AC$102</f>
        <v>0</v>
      </c>
      <c r="AD93" s="301">
        <f t="shared" si="140"/>
        <v>0</v>
      </c>
      <c r="AE93" s="302">
        <f>+'B.0.ConsumiblesMaquinaria'!J$22</f>
        <v>1.9</v>
      </c>
      <c r="AF93" s="302">
        <f t="shared" si="141"/>
        <v>0</v>
      </c>
      <c r="AG93" s="302">
        <f t="shared" si="155"/>
        <v>1.73</v>
      </c>
      <c r="AH93" s="302">
        <f t="shared" si="156"/>
        <v>0</v>
      </c>
      <c r="AI93" s="306">
        <f t="shared" si="157"/>
        <v>0</v>
      </c>
      <c r="AJ93" s="306">
        <f t="shared" si="158"/>
        <v>0</v>
      </c>
      <c r="AK93" s="302">
        <f t="shared" si="159"/>
        <v>0</v>
      </c>
      <c r="AL93" s="303">
        <v>80</v>
      </c>
      <c r="AM93" s="301">
        <f t="shared" si="160"/>
        <v>0</v>
      </c>
      <c r="AN93" s="305">
        <f t="shared" si="161"/>
        <v>0</v>
      </c>
      <c r="AO93" s="358">
        <f t="shared" si="162"/>
        <v>0</v>
      </c>
    </row>
    <row r="94" spans="1:41">
      <c r="A94" s="344">
        <v>0</v>
      </c>
      <c r="B94" s="299" t="s">
        <v>540</v>
      </c>
      <c r="C94" s="300" t="s">
        <v>406</v>
      </c>
      <c r="D94" s="300" t="s">
        <v>541</v>
      </c>
      <c r="E94" s="301">
        <v>1875</v>
      </c>
      <c r="F94" s="302"/>
      <c r="G94" s="301">
        <f t="shared" si="163"/>
        <v>330</v>
      </c>
      <c r="H94" s="302">
        <v>2</v>
      </c>
      <c r="I94" s="302"/>
      <c r="J94" s="303">
        <f t="shared" si="142"/>
        <v>2026</v>
      </c>
      <c r="K94" s="303">
        <f t="shared" si="142"/>
        <v>2032</v>
      </c>
      <c r="L94" s="303">
        <f t="shared" si="142"/>
        <v>6</v>
      </c>
      <c r="M94" s="301">
        <v>2.5</v>
      </c>
      <c r="N94" s="301">
        <f t="shared" si="137"/>
        <v>0</v>
      </c>
      <c r="O94" s="301">
        <f t="shared" si="143"/>
        <v>0</v>
      </c>
      <c r="P94" s="301">
        <f t="shared" si="144"/>
        <v>0</v>
      </c>
      <c r="Q94" s="301">
        <f t="shared" si="145"/>
        <v>0</v>
      </c>
      <c r="R94" s="301">
        <f t="shared" si="146"/>
        <v>0</v>
      </c>
      <c r="S94" s="301">
        <f t="shared" si="147"/>
        <v>0</v>
      </c>
      <c r="T94" s="301">
        <f t="shared" si="148"/>
        <v>0</v>
      </c>
      <c r="U94" s="301">
        <f t="shared" si="149"/>
        <v>0</v>
      </c>
      <c r="V94" s="304">
        <f t="shared" si="150"/>
        <v>0</v>
      </c>
      <c r="W94" s="304">
        <f t="shared" si="151"/>
        <v>0</v>
      </c>
      <c r="X94" s="305">
        <f t="shared" si="152"/>
        <v>0</v>
      </c>
      <c r="Y94" s="306">
        <f>VLOOKUP(M94,'B.0.ConsumiblesMaquinaria'!C$7:D$16,2)</f>
        <v>3.5000000000000003E-2</v>
      </c>
      <c r="Z94" s="301">
        <f t="shared" si="153"/>
        <v>0</v>
      </c>
      <c r="AA94" s="302">
        <f>+'B.0.ConsumiblesMaquinaria'!J$23</f>
        <v>9.879999999999999</v>
      </c>
      <c r="AB94" s="301">
        <f t="shared" si="154"/>
        <v>1.73</v>
      </c>
      <c r="AC94" s="301">
        <f>0*AC$102</f>
        <v>0</v>
      </c>
      <c r="AD94" s="301">
        <f t="shared" si="140"/>
        <v>0</v>
      </c>
      <c r="AE94" s="302">
        <f>+'B.0.ConsumiblesMaquinaria'!J$22</f>
        <v>1.9</v>
      </c>
      <c r="AF94" s="302">
        <f t="shared" si="141"/>
        <v>0</v>
      </c>
      <c r="AG94" s="302">
        <f t="shared" si="155"/>
        <v>1.73</v>
      </c>
      <c r="AH94" s="302">
        <f t="shared" si="156"/>
        <v>0</v>
      </c>
      <c r="AI94" s="306">
        <f t="shared" si="157"/>
        <v>0</v>
      </c>
      <c r="AJ94" s="306">
        <f t="shared" si="158"/>
        <v>0</v>
      </c>
      <c r="AK94" s="302">
        <f t="shared" si="159"/>
        <v>0</v>
      </c>
      <c r="AL94" s="303">
        <v>80</v>
      </c>
      <c r="AM94" s="301">
        <f t="shared" si="160"/>
        <v>0</v>
      </c>
      <c r="AN94" s="305">
        <f t="shared" si="161"/>
        <v>0</v>
      </c>
      <c r="AO94" s="358">
        <f t="shared" si="162"/>
        <v>0</v>
      </c>
    </row>
    <row r="95" spans="1:41">
      <c r="A95" s="344">
        <v>0</v>
      </c>
      <c r="B95" s="299" t="s">
        <v>542</v>
      </c>
      <c r="C95" s="300" t="s">
        <v>406</v>
      </c>
      <c r="D95" s="300" t="s">
        <v>541</v>
      </c>
      <c r="E95" s="301">
        <v>2125</v>
      </c>
      <c r="F95" s="302">
        <v>253</v>
      </c>
      <c r="G95" s="301">
        <f t="shared" si="163"/>
        <v>330</v>
      </c>
      <c r="H95" s="302">
        <v>4</v>
      </c>
      <c r="I95" s="302"/>
      <c r="J95" s="303">
        <f t="shared" si="142"/>
        <v>2026</v>
      </c>
      <c r="K95" s="303">
        <f t="shared" si="142"/>
        <v>2032</v>
      </c>
      <c r="L95" s="303">
        <f t="shared" si="142"/>
        <v>6</v>
      </c>
      <c r="M95" s="301">
        <v>2</v>
      </c>
      <c r="N95" s="301">
        <f t="shared" si="137"/>
        <v>0</v>
      </c>
      <c r="O95" s="301">
        <f t="shared" si="143"/>
        <v>0</v>
      </c>
      <c r="P95" s="301">
        <f t="shared" si="144"/>
        <v>0</v>
      </c>
      <c r="Q95" s="301">
        <f t="shared" si="145"/>
        <v>0</v>
      </c>
      <c r="R95" s="301">
        <f t="shared" si="146"/>
        <v>0</v>
      </c>
      <c r="S95" s="301">
        <f t="shared" si="147"/>
        <v>0</v>
      </c>
      <c r="T95" s="301">
        <f t="shared" si="148"/>
        <v>0</v>
      </c>
      <c r="U95" s="301">
        <f t="shared" si="149"/>
        <v>0</v>
      </c>
      <c r="V95" s="304">
        <f t="shared" si="150"/>
        <v>0</v>
      </c>
      <c r="W95" s="304">
        <f t="shared" si="151"/>
        <v>0</v>
      </c>
      <c r="X95" s="305">
        <f t="shared" si="152"/>
        <v>0</v>
      </c>
      <c r="Y95" s="306">
        <f>VLOOKUP(M95,'B.0.ConsumiblesMaquinaria'!C$7:D$16,2)</f>
        <v>3.5000000000000003E-2</v>
      </c>
      <c r="Z95" s="301">
        <f t="shared" si="153"/>
        <v>0</v>
      </c>
      <c r="AA95" s="302">
        <f>+'B.0.ConsumiblesMaquinaria'!J$23</f>
        <v>9.879999999999999</v>
      </c>
      <c r="AB95" s="301">
        <f t="shared" si="154"/>
        <v>1.73</v>
      </c>
      <c r="AC95" s="301">
        <f>1*AC$102</f>
        <v>0</v>
      </c>
      <c r="AD95" s="301">
        <f t="shared" si="140"/>
        <v>0</v>
      </c>
      <c r="AE95" s="302">
        <f>+'B.0.ConsumiblesMaquinaria'!J$22</f>
        <v>1.9</v>
      </c>
      <c r="AF95" s="302">
        <f t="shared" si="141"/>
        <v>0</v>
      </c>
      <c r="AG95" s="302">
        <f t="shared" si="155"/>
        <v>1.73</v>
      </c>
      <c r="AH95" s="302">
        <f t="shared" si="156"/>
        <v>0</v>
      </c>
      <c r="AI95" s="306">
        <f t="shared" si="157"/>
        <v>0</v>
      </c>
      <c r="AJ95" s="306">
        <f t="shared" si="158"/>
        <v>0</v>
      </c>
      <c r="AK95" s="302">
        <f t="shared" si="159"/>
        <v>0</v>
      </c>
      <c r="AL95" s="303">
        <v>80</v>
      </c>
      <c r="AM95" s="301">
        <f t="shared" si="160"/>
        <v>0</v>
      </c>
      <c r="AN95" s="305">
        <f t="shared" si="161"/>
        <v>0</v>
      </c>
      <c r="AO95" s="358">
        <f t="shared" si="162"/>
        <v>0</v>
      </c>
    </row>
    <row r="96" spans="1:41">
      <c r="A96" s="344">
        <v>0</v>
      </c>
      <c r="B96" s="299" t="s">
        <v>543</v>
      </c>
      <c r="C96" s="300" t="s">
        <v>406</v>
      </c>
      <c r="D96" s="300" t="s">
        <v>524</v>
      </c>
      <c r="E96" s="301">
        <v>2250</v>
      </c>
      <c r="F96" s="300"/>
      <c r="G96" s="301">
        <f t="shared" si="163"/>
        <v>330</v>
      </c>
      <c r="H96" s="302">
        <v>4</v>
      </c>
      <c r="I96" s="302"/>
      <c r="J96" s="303">
        <f t="shared" si="142"/>
        <v>2026</v>
      </c>
      <c r="K96" s="303">
        <f t="shared" si="142"/>
        <v>2032</v>
      </c>
      <c r="L96" s="303">
        <f t="shared" si="142"/>
        <v>6</v>
      </c>
      <c r="M96" s="301">
        <v>14</v>
      </c>
      <c r="N96" s="301">
        <f t="shared" si="137"/>
        <v>0</v>
      </c>
      <c r="O96" s="301">
        <f t="shared" si="143"/>
        <v>0</v>
      </c>
      <c r="P96" s="301">
        <f t="shared" si="144"/>
        <v>0</v>
      </c>
      <c r="Q96" s="301">
        <f t="shared" si="145"/>
        <v>0</v>
      </c>
      <c r="R96" s="301">
        <f t="shared" si="146"/>
        <v>0</v>
      </c>
      <c r="S96" s="301">
        <f t="shared" si="147"/>
        <v>0</v>
      </c>
      <c r="T96" s="301">
        <f t="shared" si="148"/>
        <v>0</v>
      </c>
      <c r="U96" s="301">
        <f t="shared" si="149"/>
        <v>0</v>
      </c>
      <c r="V96" s="304">
        <f t="shared" si="150"/>
        <v>0</v>
      </c>
      <c r="W96" s="304">
        <f t="shared" si="151"/>
        <v>0</v>
      </c>
      <c r="X96" s="305">
        <f t="shared" si="152"/>
        <v>0</v>
      </c>
      <c r="Y96" s="306">
        <f>VLOOKUP(M96,'B.0.ConsumiblesMaquinaria'!C$7:D$16,2)</f>
        <v>3.5000000000000003E-2</v>
      </c>
      <c r="Z96" s="301">
        <f t="shared" si="153"/>
        <v>0</v>
      </c>
      <c r="AA96" s="302">
        <f>+'B.0.ConsumiblesMaquinaria'!J$23</f>
        <v>9.879999999999999</v>
      </c>
      <c r="AB96" s="301">
        <f>+ROUND(Y96*AP$1*AA96,2)</f>
        <v>1.73</v>
      </c>
      <c r="AC96" s="301">
        <f>1*AC$102</f>
        <v>0</v>
      </c>
      <c r="AD96" s="301">
        <f t="shared" si="140"/>
        <v>0</v>
      </c>
      <c r="AE96" s="302">
        <f>+'B.0.ConsumiblesMaquinaria'!J$22</f>
        <v>1.9</v>
      </c>
      <c r="AF96" s="302">
        <f t="shared" si="141"/>
        <v>0</v>
      </c>
      <c r="AG96" s="302">
        <f t="shared" si="155"/>
        <v>1.73</v>
      </c>
      <c r="AH96" s="302">
        <f t="shared" si="156"/>
        <v>0</v>
      </c>
      <c r="AI96" s="306">
        <f t="shared" si="157"/>
        <v>0</v>
      </c>
      <c r="AJ96" s="306">
        <f t="shared" si="158"/>
        <v>0</v>
      </c>
      <c r="AK96" s="302">
        <f t="shared" si="159"/>
        <v>0</v>
      </c>
      <c r="AL96" s="303">
        <v>80</v>
      </c>
      <c r="AM96" s="301">
        <f t="shared" si="160"/>
        <v>0</v>
      </c>
      <c r="AN96" s="305">
        <f t="shared" si="161"/>
        <v>0</v>
      </c>
      <c r="AO96" s="358">
        <f t="shared" si="162"/>
        <v>0</v>
      </c>
    </row>
    <row r="97" spans="1:41">
      <c r="A97" s="344">
        <v>0</v>
      </c>
      <c r="B97" s="299" t="s">
        <v>544</v>
      </c>
      <c r="C97" s="300"/>
      <c r="D97" s="300" t="s">
        <v>545</v>
      </c>
      <c r="E97" s="301">
        <v>6000</v>
      </c>
      <c r="F97" s="302"/>
      <c r="G97" s="301">
        <f>22*8*AP$1</f>
        <v>880</v>
      </c>
      <c r="H97" s="302">
        <v>4</v>
      </c>
      <c r="I97" s="302"/>
      <c r="J97" s="303">
        <f t="shared" si="142"/>
        <v>2026</v>
      </c>
      <c r="K97" s="303">
        <f t="shared" si="142"/>
        <v>2032</v>
      </c>
      <c r="L97" s="303">
        <f t="shared" si="142"/>
        <v>6</v>
      </c>
      <c r="M97" s="301">
        <v>0</v>
      </c>
      <c r="N97" s="301">
        <f t="shared" si="137"/>
        <v>0</v>
      </c>
      <c r="O97" s="301">
        <f t="shared" si="143"/>
        <v>0</v>
      </c>
      <c r="P97" s="301">
        <f t="shared" si="144"/>
        <v>0</v>
      </c>
      <c r="Q97" s="301">
        <f t="shared" si="145"/>
        <v>0</v>
      </c>
      <c r="R97" s="301">
        <f t="shared" si="146"/>
        <v>0</v>
      </c>
      <c r="S97" s="301">
        <f t="shared" si="147"/>
        <v>0</v>
      </c>
      <c r="T97" s="301">
        <f t="shared" si="148"/>
        <v>0</v>
      </c>
      <c r="U97" s="301">
        <f t="shared" si="149"/>
        <v>0</v>
      </c>
      <c r="V97" s="304">
        <f t="shared" si="150"/>
        <v>0</v>
      </c>
      <c r="W97" s="304">
        <f t="shared" si="151"/>
        <v>0</v>
      </c>
      <c r="X97" s="305">
        <f t="shared" si="152"/>
        <v>0</v>
      </c>
      <c r="Y97" s="301">
        <v>0</v>
      </c>
      <c r="Z97" s="301">
        <f t="shared" si="153"/>
        <v>0</v>
      </c>
      <c r="AA97" s="301">
        <v>0</v>
      </c>
      <c r="AB97" s="301">
        <f t="shared" si="154"/>
        <v>0</v>
      </c>
      <c r="AC97" s="301">
        <f>0*AC$102</f>
        <v>0</v>
      </c>
      <c r="AD97" s="301">
        <f t="shared" si="140"/>
        <v>0</v>
      </c>
      <c r="AE97" s="302">
        <v>0</v>
      </c>
      <c r="AF97" s="302">
        <f t="shared" si="141"/>
        <v>0</v>
      </c>
      <c r="AG97" s="302">
        <f t="shared" si="155"/>
        <v>0</v>
      </c>
      <c r="AH97" s="302">
        <f t="shared" si="156"/>
        <v>0</v>
      </c>
      <c r="AI97" s="306">
        <f t="shared" si="157"/>
        <v>0</v>
      </c>
      <c r="AJ97" s="306">
        <f t="shared" si="158"/>
        <v>0</v>
      </c>
      <c r="AK97" s="302">
        <f t="shared" si="159"/>
        <v>0</v>
      </c>
      <c r="AL97" s="303">
        <v>80</v>
      </c>
      <c r="AM97" s="301">
        <f t="shared" si="160"/>
        <v>0</v>
      </c>
      <c r="AN97" s="305">
        <f t="shared" si="161"/>
        <v>0</v>
      </c>
      <c r="AO97" s="358">
        <f t="shared" si="162"/>
        <v>0</v>
      </c>
    </row>
    <row r="98" spans="1:41">
      <c r="A98" s="344">
        <v>0</v>
      </c>
      <c r="B98" s="346" t="s">
        <v>546</v>
      </c>
      <c r="C98" s="347"/>
      <c r="D98" s="347" t="s">
        <v>370</v>
      </c>
      <c r="E98" s="348">
        <v>3750</v>
      </c>
      <c r="F98" s="349"/>
      <c r="G98" s="348">
        <f>22*8*AP$1</f>
        <v>880</v>
      </c>
      <c r="H98" s="349">
        <v>4</v>
      </c>
      <c r="I98" s="349"/>
      <c r="J98" s="350">
        <f t="shared" si="142"/>
        <v>2026</v>
      </c>
      <c r="K98" s="350">
        <f t="shared" si="142"/>
        <v>2032</v>
      </c>
      <c r="L98" s="350">
        <f t="shared" si="142"/>
        <v>6</v>
      </c>
      <c r="M98" s="348">
        <v>0</v>
      </c>
      <c r="N98" s="348">
        <f t="shared" si="137"/>
        <v>0</v>
      </c>
      <c r="O98" s="348">
        <f t="shared" si="143"/>
        <v>0</v>
      </c>
      <c r="P98" s="348">
        <f t="shared" si="144"/>
        <v>0</v>
      </c>
      <c r="Q98" s="348">
        <f t="shared" si="145"/>
        <v>0</v>
      </c>
      <c r="R98" s="348">
        <f t="shared" si="146"/>
        <v>0</v>
      </c>
      <c r="S98" s="348">
        <f t="shared" si="147"/>
        <v>0</v>
      </c>
      <c r="T98" s="348">
        <f t="shared" si="148"/>
        <v>0</v>
      </c>
      <c r="U98" s="348">
        <f t="shared" si="149"/>
        <v>0</v>
      </c>
      <c r="V98" s="351">
        <f t="shared" si="150"/>
        <v>0</v>
      </c>
      <c r="W98" s="351">
        <f t="shared" si="151"/>
        <v>0</v>
      </c>
      <c r="X98" s="361">
        <f t="shared" si="152"/>
        <v>0</v>
      </c>
      <c r="Y98" s="348">
        <v>0</v>
      </c>
      <c r="Z98" s="348">
        <f t="shared" si="153"/>
        <v>0</v>
      </c>
      <c r="AA98" s="348">
        <v>0</v>
      </c>
      <c r="AB98" s="348">
        <f t="shared" si="154"/>
        <v>0</v>
      </c>
      <c r="AC98" s="348">
        <f>0*AC$102</f>
        <v>0</v>
      </c>
      <c r="AD98" s="348">
        <f t="shared" si="140"/>
        <v>0</v>
      </c>
      <c r="AE98" s="349">
        <v>0</v>
      </c>
      <c r="AF98" s="349">
        <f t="shared" si="141"/>
        <v>0</v>
      </c>
      <c r="AG98" s="349">
        <f t="shared" si="155"/>
        <v>0</v>
      </c>
      <c r="AH98" s="349">
        <f t="shared" si="156"/>
        <v>0</v>
      </c>
      <c r="AI98" s="360">
        <f t="shared" si="157"/>
        <v>0</v>
      </c>
      <c r="AJ98" s="360">
        <f t="shared" si="158"/>
        <v>0</v>
      </c>
      <c r="AK98" s="349">
        <f t="shared" si="159"/>
        <v>0</v>
      </c>
      <c r="AL98" s="350">
        <v>80</v>
      </c>
      <c r="AM98" s="348">
        <f t="shared" si="160"/>
        <v>0</v>
      </c>
      <c r="AN98" s="361">
        <f t="shared" si="161"/>
        <v>0</v>
      </c>
      <c r="AO98" s="362">
        <f t="shared" si="162"/>
        <v>0</v>
      </c>
    </row>
    <row r="100" spans="1:41">
      <c r="H100" s="460" t="s">
        <v>1054</v>
      </c>
      <c r="I100" s="461"/>
      <c r="J100" s="461"/>
      <c r="K100" s="461"/>
      <c r="L100" s="461"/>
      <c r="M100" s="461"/>
      <c r="N100" s="462">
        <f>SUM(N7:N98)</f>
        <v>0</v>
      </c>
    </row>
    <row r="101" spans="1:41">
      <c r="I101" s="460" t="s">
        <v>1047</v>
      </c>
      <c r="J101" s="461"/>
      <c r="K101" s="461"/>
      <c r="L101" s="461"/>
      <c r="M101" s="461"/>
      <c r="N101" s="463"/>
      <c r="O101" s="463"/>
      <c r="P101" s="462">
        <f>SUM(P7:P98)</f>
        <v>0</v>
      </c>
    </row>
    <row r="102" spans="1:41">
      <c r="K102" s="460" t="s">
        <v>1048</v>
      </c>
      <c r="L102" s="461"/>
      <c r="M102" s="461"/>
      <c r="N102" s="461"/>
      <c r="O102" s="461"/>
      <c r="P102" s="463"/>
      <c r="Q102" s="463"/>
      <c r="R102" s="462">
        <f>SUM(R7:R98)</f>
        <v>0</v>
      </c>
    </row>
    <row r="103" spans="1:41">
      <c r="L103" s="711" t="s">
        <v>1049</v>
      </c>
      <c r="M103" s="711"/>
      <c r="N103" s="711"/>
      <c r="O103" s="711"/>
      <c r="P103" s="461"/>
      <c r="Q103" s="463"/>
      <c r="R103" s="463"/>
      <c r="S103" s="462">
        <f>SUM(S7:S98)</f>
        <v>0</v>
      </c>
      <c r="AB103" s="105"/>
      <c r="AC103" s="105"/>
      <c r="AD103" s="711" t="s">
        <v>1035</v>
      </c>
      <c r="AE103" s="711"/>
      <c r="AF103" s="711"/>
      <c r="AG103" s="711"/>
      <c r="AH103" s="462">
        <f>SUM(AH7:AH98)</f>
        <v>0</v>
      </c>
    </row>
    <row r="104" spans="1:41">
      <c r="O104" s="711" t="s">
        <v>1050</v>
      </c>
      <c r="P104" s="711"/>
      <c r="Q104" s="711"/>
      <c r="R104" s="711"/>
      <c r="S104" s="711"/>
      <c r="T104" s="711"/>
      <c r="U104" s="462">
        <f>SUM(U7:U98)</f>
        <v>0</v>
      </c>
      <c r="AB104" s="105"/>
      <c r="AC104" s="105">
        <v>0.8</v>
      </c>
      <c r="AF104" s="711" t="s">
        <v>1051</v>
      </c>
      <c r="AG104" s="711"/>
      <c r="AH104" s="711"/>
      <c r="AI104" s="711"/>
      <c r="AJ104" s="462">
        <f>SUM(AJ7:AJ98)</f>
        <v>0</v>
      </c>
    </row>
  </sheetData>
  <mergeCells count="46">
    <mergeCell ref="L103:O103"/>
    <mergeCell ref="AD103:AG103"/>
    <mergeCell ref="O104:T104"/>
    <mergeCell ref="AF104:AI104"/>
    <mergeCell ref="P3:P4"/>
    <mergeCell ref="R3:R4"/>
    <mergeCell ref="S3:S4"/>
    <mergeCell ref="U3:U4"/>
    <mergeCell ref="AG3:AG4"/>
    <mergeCell ref="A61:C61"/>
    <mergeCell ref="A65:C65"/>
    <mergeCell ref="A79:C79"/>
    <mergeCell ref="A3:A4"/>
    <mergeCell ref="B3:B4"/>
    <mergeCell ref="C3:C4"/>
    <mergeCell ref="A6:F6"/>
    <mergeCell ref="A26:C26"/>
    <mergeCell ref="A31:C31"/>
    <mergeCell ref="A48:C48"/>
    <mergeCell ref="A55:C55"/>
    <mergeCell ref="A1:AO1"/>
    <mergeCell ref="A2:M2"/>
    <mergeCell ref="N2:X2"/>
    <mergeCell ref="Y2:AL2"/>
    <mergeCell ref="Y3:AB3"/>
    <mergeCell ref="AC3:AF3"/>
    <mergeCell ref="D3:D4"/>
    <mergeCell ref="E3:E4"/>
    <mergeCell ref="F3:F4"/>
    <mergeCell ref="G3:G4"/>
    <mergeCell ref="H3:H4"/>
    <mergeCell ref="M3:M4"/>
    <mergeCell ref="AO2:AO5"/>
    <mergeCell ref="N3:N4"/>
    <mergeCell ref="O3:O4"/>
    <mergeCell ref="Q3:Q4"/>
    <mergeCell ref="AN3:AN5"/>
    <mergeCell ref="X3:X4"/>
    <mergeCell ref="AM3:AM5"/>
    <mergeCell ref="T3:T4"/>
    <mergeCell ref="V3:V4"/>
    <mergeCell ref="W3:W4"/>
    <mergeCell ref="AK3:AK5"/>
    <mergeCell ref="AL3:AL5"/>
    <mergeCell ref="AH3:AH4"/>
    <mergeCell ref="AJ3:AJ4"/>
  </mergeCells>
  <conditionalFormatting sqref="N7:X98">
    <cfRule type="cellIs" dxfId="19" priority="2" operator="equal">
      <formula>0</formula>
    </cfRule>
  </conditionalFormatting>
  <conditionalFormatting sqref="V8:W25">
    <cfRule type="cellIs" dxfId="18" priority="27" operator="equal">
      <formula>0</formula>
    </cfRule>
  </conditionalFormatting>
  <conditionalFormatting sqref="V27:W30">
    <cfRule type="cellIs" dxfId="17" priority="26" operator="equal">
      <formula>0</formula>
    </cfRule>
  </conditionalFormatting>
  <conditionalFormatting sqref="V32:W47">
    <cfRule type="cellIs" dxfId="16" priority="25" operator="equal">
      <formula>0</formula>
    </cfRule>
  </conditionalFormatting>
  <conditionalFormatting sqref="V49:W54">
    <cfRule type="cellIs" dxfId="15" priority="24" operator="equal">
      <formula>0</formula>
    </cfRule>
  </conditionalFormatting>
  <conditionalFormatting sqref="V56:W60">
    <cfRule type="cellIs" dxfId="14" priority="23" operator="equal">
      <formula>0</formula>
    </cfRule>
  </conditionalFormatting>
  <conditionalFormatting sqref="V62:W64">
    <cfRule type="cellIs" dxfId="13" priority="22" operator="equal">
      <formula>0</formula>
    </cfRule>
  </conditionalFormatting>
  <conditionalFormatting sqref="V66:W78">
    <cfRule type="cellIs" dxfId="12" priority="21" operator="equal">
      <formula>0</formula>
    </cfRule>
  </conditionalFormatting>
  <conditionalFormatting sqref="V80:W98">
    <cfRule type="cellIs" dxfId="11" priority="20" operator="equal">
      <formula>0</formula>
    </cfRule>
  </conditionalFormatting>
  <conditionalFormatting sqref="Y7:AN98">
    <cfRule type="cellIs" dxfId="10" priority="1" operator="equal">
      <formula>0</formula>
    </cfRule>
  </conditionalFormatting>
  <conditionalFormatting sqref="AO7:AO25">
    <cfRule type="cellIs" dxfId="9" priority="15" operator="equal">
      <formula>0</formula>
    </cfRule>
  </conditionalFormatting>
  <conditionalFormatting sqref="AO27:AO47">
    <cfRule type="cellIs" dxfId="8" priority="8" operator="equal">
      <formula>0</formula>
    </cfRule>
  </conditionalFormatting>
  <conditionalFormatting sqref="AO49:AO54">
    <cfRule type="cellIs" dxfId="7" priority="7" operator="equal">
      <formula>0</formula>
    </cfRule>
  </conditionalFormatting>
  <conditionalFormatting sqref="AO56:AO60">
    <cfRule type="cellIs" dxfId="6" priority="6" operator="equal">
      <formula>0</formula>
    </cfRule>
  </conditionalFormatting>
  <conditionalFormatting sqref="AO62:AO64">
    <cfRule type="cellIs" dxfId="5" priority="5" operator="equal">
      <formula>0</formula>
    </cfRule>
  </conditionalFormatting>
  <conditionalFormatting sqref="AO66:AO78">
    <cfRule type="cellIs" dxfId="4" priority="4" operator="equal">
      <formula>0</formula>
    </cfRule>
  </conditionalFormatting>
  <conditionalFormatting sqref="AO80:AO98">
    <cfRule type="cellIs" dxfId="3" priority="3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8" scale="47" orientation="landscape" r:id="rId1"/>
  <colBreaks count="1" manualBreakCount="1">
    <brk id="41" max="1048575" man="1"/>
  </colBreaks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249977111117893"/>
    <pageSetUpPr fitToPage="1"/>
  </sheetPr>
  <dimension ref="A1:Q517"/>
  <sheetViews>
    <sheetView showGridLines="0" workbookViewId="0">
      <selection activeCell="D11" sqref="D11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597" t="s">
        <v>547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57" t="s">
        <v>98</v>
      </c>
      <c r="C3" s="658"/>
      <c r="D3" s="235"/>
      <c r="E3" s="236"/>
      <c r="F3" s="236"/>
      <c r="G3" s="237"/>
      <c r="H3" s="235"/>
      <c r="I3" s="236"/>
      <c r="J3" s="236"/>
      <c r="K3" s="236"/>
      <c r="L3" s="237"/>
      <c r="M3" s="235"/>
      <c r="N3" s="603" t="s">
        <v>548</v>
      </c>
      <c r="O3" s="603"/>
      <c r="P3" s="603"/>
      <c r="Q3" s="604"/>
    </row>
    <row r="4" spans="2:17" ht="15" customHeight="1">
      <c r="B4" s="51" t="s">
        <v>549</v>
      </c>
      <c r="C4" s="535" t="s">
        <v>550</v>
      </c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754">
        <f>N5+N6</f>
        <v>0</v>
      </c>
      <c r="O4" s="754"/>
      <c r="P4" s="754"/>
      <c r="Q4" s="754"/>
    </row>
    <row r="5" spans="2:17" ht="15" customHeight="1">
      <c r="B5" s="51"/>
      <c r="C5" s="89" t="s">
        <v>551</v>
      </c>
      <c r="D5" s="628"/>
      <c r="E5" s="629"/>
      <c r="F5" s="629"/>
      <c r="G5" s="629"/>
      <c r="H5" s="629"/>
      <c r="I5" s="629"/>
      <c r="J5" s="629"/>
      <c r="K5" s="629"/>
      <c r="L5" s="629"/>
      <c r="M5" s="630"/>
      <c r="N5" s="754">
        <f>'C.1.1.Vestuario_Equip'!G14</f>
        <v>0</v>
      </c>
      <c r="O5" s="754"/>
      <c r="P5" s="754"/>
      <c r="Q5" s="754"/>
    </row>
    <row r="6" spans="2:17" ht="15" customHeight="1">
      <c r="B6" s="51"/>
      <c r="C6" s="89" t="s">
        <v>552</v>
      </c>
      <c r="D6" s="90"/>
      <c r="E6" s="91"/>
      <c r="F6" s="91"/>
      <c r="G6" s="91"/>
      <c r="H6" s="91"/>
      <c r="I6" s="91"/>
      <c r="J6" s="91"/>
      <c r="K6" s="91"/>
      <c r="L6" s="91"/>
      <c r="M6" s="92"/>
      <c r="N6" s="754">
        <f>'C.1.2.PRL'!I34</f>
        <v>0</v>
      </c>
      <c r="O6" s="754"/>
      <c r="P6" s="754"/>
      <c r="Q6" s="754"/>
    </row>
    <row r="7" spans="2:17" ht="15" customHeight="1">
      <c r="B7" s="51" t="s">
        <v>553</v>
      </c>
      <c r="C7" s="535" t="s">
        <v>554</v>
      </c>
      <c r="D7" s="535"/>
      <c r="E7" s="535"/>
      <c r="F7" s="535"/>
      <c r="G7" s="535"/>
      <c r="H7" s="535"/>
      <c r="I7" s="535"/>
      <c r="J7" s="535"/>
      <c r="K7" s="535"/>
      <c r="L7" s="535"/>
      <c r="M7" s="535"/>
      <c r="N7" s="754">
        <f>'C.2. Herramientas'!I90</f>
        <v>0</v>
      </c>
      <c r="O7" s="754"/>
      <c r="P7" s="754"/>
      <c r="Q7" s="754"/>
    </row>
    <row r="8" spans="2:17" ht="15" customHeight="1">
      <c r="B8" s="71" t="s">
        <v>555</v>
      </c>
      <c r="C8" s="71"/>
      <c r="D8" s="53"/>
      <c r="E8" s="54"/>
      <c r="F8" s="54"/>
      <c r="G8" s="54"/>
      <c r="H8" s="55"/>
      <c r="I8" s="55"/>
      <c r="J8" s="55"/>
      <c r="K8" s="55"/>
      <c r="L8" s="55"/>
      <c r="M8" s="55"/>
      <c r="N8" s="648">
        <f>N7+N4</f>
        <v>0</v>
      </c>
      <c r="O8" s="648"/>
      <c r="P8" s="648"/>
      <c r="Q8" s="6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72" t="s">
        <v>256</v>
      </c>
      <c r="D11" s="509">
        <f>'Caracteristicas Contrato'!E16</f>
        <v>0.05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2:17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2:17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2:17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2:17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  <row r="516" spans="2:17" s="46" customFormat="1" ht="15" customHeight="1">
      <c r="B516" s="47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</row>
    <row r="517" spans="2:17" s="46" customFormat="1" ht="15" customHeight="1">
      <c r="B517" s="47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</row>
  </sheetData>
  <mergeCells count="11">
    <mergeCell ref="N8:Q8"/>
    <mergeCell ref="D5:M5"/>
    <mergeCell ref="N5:Q5"/>
    <mergeCell ref="N6:Q6"/>
    <mergeCell ref="C7:M7"/>
    <mergeCell ref="N7:Q7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0.249977111117893"/>
    <pageSetUpPr fitToPage="1"/>
  </sheetPr>
  <dimension ref="A1:K14"/>
  <sheetViews>
    <sheetView workbookViewId="0">
      <selection activeCell="A5" sqref="A5"/>
    </sheetView>
  </sheetViews>
  <sheetFormatPr baseColWidth="10" defaultColWidth="11.44140625" defaultRowHeight="13.8"/>
  <cols>
    <col min="1" max="1" width="12.5546875" style="85" customWidth="1"/>
    <col min="2" max="2" width="26.109375" style="86" customWidth="1"/>
    <col min="3" max="3" width="9.6640625" style="86" customWidth="1"/>
    <col min="4" max="4" width="15.33203125" style="85" customWidth="1"/>
    <col min="5" max="5" width="19.33203125" style="86" customWidth="1"/>
    <col min="6" max="6" width="23.88671875" style="86" customWidth="1"/>
    <col min="7" max="7" width="20.6640625" style="86" customWidth="1"/>
    <col min="8" max="16384" width="11.44140625" style="86"/>
  </cols>
  <sheetData>
    <row r="1" spans="1:11" ht="18.75" customHeight="1">
      <c r="A1" s="755" t="s">
        <v>556</v>
      </c>
      <c r="B1" s="756"/>
      <c r="C1" s="756"/>
      <c r="D1" s="756"/>
      <c r="E1" s="756"/>
      <c r="F1" s="756"/>
      <c r="G1" s="757"/>
    </row>
    <row r="2" spans="1:11" ht="20.100000000000001" customHeight="1">
      <c r="A2" s="24" t="s">
        <v>557</v>
      </c>
      <c r="B2" s="6" t="s">
        <v>297</v>
      </c>
      <c r="C2" s="6" t="s">
        <v>558</v>
      </c>
      <c r="D2" s="6" t="s">
        <v>559</v>
      </c>
      <c r="E2" s="6" t="s">
        <v>560</v>
      </c>
      <c r="F2" s="87" t="s">
        <v>561</v>
      </c>
      <c r="G2" s="25" t="s">
        <v>562</v>
      </c>
    </row>
    <row r="3" spans="1:11" ht="20.100000000000001" customHeight="1">
      <c r="A3" s="255"/>
      <c r="B3" s="256" t="s">
        <v>563</v>
      </c>
      <c r="C3" s="257"/>
      <c r="D3" s="258"/>
      <c r="E3" s="257"/>
      <c r="F3" s="257">
        <f>'C. Resumen Costes Vest_Util_Her'!$D$11</f>
        <v>0.05</v>
      </c>
      <c r="G3" s="259"/>
      <c r="H3" s="88"/>
    </row>
    <row r="4" spans="1:11" ht="15.75" customHeight="1">
      <c r="A4" s="510">
        <f>K4</f>
        <v>0</v>
      </c>
      <c r="B4" s="10" t="s">
        <v>564</v>
      </c>
      <c r="C4" s="63">
        <f>17</f>
        <v>17</v>
      </c>
      <c r="D4" s="9">
        <v>1</v>
      </c>
      <c r="E4" s="63">
        <f>C4/D4</f>
        <v>17</v>
      </c>
      <c r="F4" s="63">
        <f>IF(A4&gt;0,-PMT($F$3,D4,C4)-E4,0)</f>
        <v>0</v>
      </c>
      <c r="G4" s="35">
        <f>E4*A4+A4*F4</f>
        <v>0</v>
      </c>
      <c r="H4" s="88"/>
      <c r="I4" s="43"/>
      <c r="J4" s="44" t="s">
        <v>112</v>
      </c>
      <c r="K4" s="511">
        <f>'A. Resumen Costes Personal Año'!J15+'A. Resumen Costes Personal Año'!J16+'A. Resumen Costes Personal Año'!J17+'A. Resumen Costes Personal Año'!J18+'A. Resumen Costes Personal Año'!J19+'A. Resumen Costes Personal Año'!J22</f>
        <v>0</v>
      </c>
    </row>
    <row r="5" spans="1:11" ht="15.75" customHeight="1">
      <c r="A5" s="510">
        <f>K4</f>
        <v>0</v>
      </c>
      <c r="B5" s="10" t="s">
        <v>565</v>
      </c>
      <c r="C5" s="63">
        <f>20</f>
        <v>20</v>
      </c>
      <c r="D5" s="9">
        <v>1</v>
      </c>
      <c r="E5" s="63">
        <f>20</f>
        <v>20</v>
      </c>
      <c r="F5" s="63">
        <f t="shared" ref="F5:F7" si="0">IF(A5&gt;0,-PMT($F$3,D5,C5)-E5,0)</f>
        <v>0</v>
      </c>
      <c r="G5" s="35">
        <f t="shared" ref="G5:G7" si="1">E5*A5+A5*F5</f>
        <v>0</v>
      </c>
      <c r="H5" s="88"/>
      <c r="I5" s="43"/>
      <c r="J5" s="44" t="s">
        <v>566</v>
      </c>
      <c r="K5" s="511">
        <f>'A. Resumen Costes Personal Año'!J21</f>
        <v>0</v>
      </c>
    </row>
    <row r="6" spans="1:11" ht="15.75" customHeight="1">
      <c r="A6" s="510">
        <f>K4</f>
        <v>0</v>
      </c>
      <c r="B6" s="10" t="s">
        <v>567</v>
      </c>
      <c r="C6" s="63">
        <f>14</f>
        <v>14</v>
      </c>
      <c r="D6" s="9">
        <v>1</v>
      </c>
      <c r="E6" s="63">
        <f>14</f>
        <v>14</v>
      </c>
      <c r="F6" s="63">
        <f t="shared" si="0"/>
        <v>0</v>
      </c>
      <c r="G6" s="35">
        <f t="shared" si="1"/>
        <v>0</v>
      </c>
      <c r="H6" s="88"/>
      <c r="I6" s="43"/>
      <c r="J6" s="44" t="s">
        <v>568</v>
      </c>
      <c r="K6" s="511">
        <f>'A. Resumen Costes Personal Año'!J20</f>
        <v>0</v>
      </c>
    </row>
    <row r="7" spans="1:11" ht="15.75" customHeight="1">
      <c r="A7" s="510">
        <f>K4</f>
        <v>0</v>
      </c>
      <c r="B7" s="10" t="s">
        <v>569</v>
      </c>
      <c r="C7" s="63">
        <f>18</f>
        <v>18</v>
      </c>
      <c r="D7" s="9">
        <v>1</v>
      </c>
      <c r="E7" s="63">
        <f>18</f>
        <v>18</v>
      </c>
      <c r="F7" s="63">
        <f t="shared" si="0"/>
        <v>0</v>
      </c>
      <c r="G7" s="35">
        <f t="shared" si="1"/>
        <v>0</v>
      </c>
      <c r="H7" s="88"/>
    </row>
    <row r="8" spans="1:11" ht="20.100000000000001" customHeight="1">
      <c r="A8" s="255"/>
      <c r="B8" s="256" t="s">
        <v>570</v>
      </c>
      <c r="C8" s="257"/>
      <c r="D8" s="258"/>
      <c r="E8" s="257"/>
      <c r="F8" s="257"/>
      <c r="G8" s="260"/>
      <c r="H8" s="88"/>
    </row>
    <row r="9" spans="1:11" ht="15.75" customHeight="1">
      <c r="A9" s="510">
        <f>K4</f>
        <v>0</v>
      </c>
      <c r="B9" s="10" t="s">
        <v>571</v>
      </c>
      <c r="C9" s="63">
        <f>20</f>
        <v>20</v>
      </c>
      <c r="D9" s="9">
        <v>1</v>
      </c>
      <c r="E9" s="63">
        <f>20</f>
        <v>20</v>
      </c>
      <c r="F9" s="63">
        <f t="shared" ref="F9:F13" si="2">IF(A9&gt;0,-PMT($F$3,D9,C9)-E9,0)</f>
        <v>0</v>
      </c>
      <c r="G9" s="35">
        <f t="shared" ref="G9:G13" si="3">E9*A9+A9*F9</f>
        <v>0</v>
      </c>
      <c r="H9" s="88"/>
    </row>
    <row r="10" spans="1:11" ht="15.75" customHeight="1">
      <c r="A10" s="510">
        <f>K4</f>
        <v>0</v>
      </c>
      <c r="B10" s="10" t="s">
        <v>572</v>
      </c>
      <c r="C10" s="63">
        <f>23</f>
        <v>23</v>
      </c>
      <c r="D10" s="9">
        <v>1</v>
      </c>
      <c r="E10" s="63">
        <f>23</f>
        <v>23</v>
      </c>
      <c r="F10" s="63">
        <f t="shared" si="2"/>
        <v>0</v>
      </c>
      <c r="G10" s="35">
        <f t="shared" si="3"/>
        <v>0</v>
      </c>
      <c r="H10" s="88"/>
    </row>
    <row r="11" spans="1:11" ht="15.75" customHeight="1">
      <c r="A11" s="510">
        <f>K4</f>
        <v>0</v>
      </c>
      <c r="B11" s="10" t="s">
        <v>573</v>
      </c>
      <c r="C11" s="63">
        <f>28</f>
        <v>28</v>
      </c>
      <c r="D11" s="9">
        <v>1</v>
      </c>
      <c r="E11" s="63">
        <f>28</f>
        <v>28</v>
      </c>
      <c r="F11" s="63">
        <f t="shared" si="2"/>
        <v>0</v>
      </c>
      <c r="G11" s="35">
        <f t="shared" si="3"/>
        <v>0</v>
      </c>
      <c r="H11" s="88"/>
    </row>
    <row r="12" spans="1:11" ht="15.75" customHeight="1">
      <c r="A12" s="510">
        <f>K4+K6</f>
        <v>0</v>
      </c>
      <c r="B12" s="10" t="s">
        <v>574</v>
      </c>
      <c r="C12" s="63">
        <f>45</f>
        <v>45</v>
      </c>
      <c r="D12" s="9">
        <v>1</v>
      </c>
      <c r="E12" s="63">
        <f>45</f>
        <v>45</v>
      </c>
      <c r="F12" s="63">
        <f t="shared" si="2"/>
        <v>0</v>
      </c>
      <c r="G12" s="35">
        <f t="shared" si="3"/>
        <v>0</v>
      </c>
      <c r="H12" s="88"/>
    </row>
    <row r="13" spans="1:11" ht="15.75" customHeight="1">
      <c r="A13" s="510">
        <f>K4+K6</f>
        <v>0</v>
      </c>
      <c r="B13" s="10" t="s">
        <v>567</v>
      </c>
      <c r="C13" s="63">
        <f>17</f>
        <v>17</v>
      </c>
      <c r="D13" s="9">
        <v>1</v>
      </c>
      <c r="E13" s="63">
        <f>17</f>
        <v>17</v>
      </c>
      <c r="F13" s="63">
        <f t="shared" si="2"/>
        <v>0</v>
      </c>
      <c r="G13" s="35">
        <f t="shared" si="3"/>
        <v>0</v>
      </c>
      <c r="H13" s="88"/>
    </row>
    <row r="14" spans="1:11" ht="20.100000000000001" customHeight="1">
      <c r="A14" s="261"/>
      <c r="B14" s="262"/>
      <c r="C14" s="262"/>
      <c r="D14" s="263"/>
      <c r="E14" s="264" t="s">
        <v>51</v>
      </c>
      <c r="F14" s="265"/>
      <c r="G14" s="266">
        <f>SUM(G4:G13)</f>
        <v>0</v>
      </c>
    </row>
  </sheetData>
  <mergeCells count="1">
    <mergeCell ref="A1:G1"/>
  </mergeCells>
  <printOptions horizontalCentered="1"/>
  <pageMargins left="0.78740157480314998" right="0.59055118110236204" top="0.78740157480314998" bottom="0.59055118110236204" header="0" footer="0"/>
  <pageSetup paperSize="9" scale="70" orientation="portrait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249977111117893"/>
    <pageSetUpPr fitToPage="1"/>
  </sheetPr>
  <dimension ref="A1:M47"/>
  <sheetViews>
    <sheetView workbookViewId="0">
      <selection activeCell="H4" sqref="H4"/>
    </sheetView>
  </sheetViews>
  <sheetFormatPr baseColWidth="10" defaultColWidth="11.44140625" defaultRowHeight="11.4"/>
  <cols>
    <col min="1" max="1" width="11.44140625" style="39"/>
    <col min="2" max="2" width="1.109375" style="18" customWidth="1"/>
    <col min="3" max="3" width="11.44140625" style="18"/>
    <col min="4" max="4" width="26.6640625" style="18" customWidth="1"/>
    <col min="5" max="5" width="14.109375" style="39" customWidth="1"/>
    <col min="6" max="6" width="11.109375" style="39" customWidth="1"/>
    <col min="7" max="7" width="15.5546875" style="76" customWidth="1"/>
    <col min="8" max="8" width="8.88671875" style="77" customWidth="1"/>
    <col min="9" max="9" width="10.6640625" style="76" customWidth="1"/>
    <col min="10" max="16384" width="11.44140625" style="18"/>
  </cols>
  <sheetData>
    <row r="1" spans="1:13" ht="15.6">
      <c r="B1" s="22"/>
      <c r="C1" s="755" t="s">
        <v>575</v>
      </c>
      <c r="D1" s="756"/>
      <c r="E1" s="756"/>
      <c r="F1" s="756"/>
      <c r="G1" s="756"/>
      <c r="H1" s="756"/>
      <c r="I1" s="757"/>
    </row>
    <row r="2" spans="1:13" ht="43.2">
      <c r="A2" s="40" t="s">
        <v>576</v>
      </c>
      <c r="B2" s="23"/>
      <c r="C2" s="24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25" t="s">
        <v>562</v>
      </c>
      <c r="L2" s="82"/>
      <c r="M2" s="83"/>
    </row>
    <row r="3" spans="1:13" s="75" customFormat="1" ht="17.100000000000001" customHeight="1">
      <c r="A3" s="267"/>
      <c r="B3" s="78"/>
      <c r="C3" s="268"/>
      <c r="D3" s="256" t="s">
        <v>577</v>
      </c>
      <c r="E3" s="256"/>
      <c r="F3" s="267"/>
      <c r="G3" s="256"/>
      <c r="H3" s="269">
        <f>'C. Resumen Costes Vest_Util_Her'!$D$11</f>
        <v>0.05</v>
      </c>
      <c r="I3" s="270"/>
    </row>
    <row r="4" spans="1:13" s="75" customFormat="1" ht="20.100000000000001" customHeight="1">
      <c r="A4" s="41">
        <v>2</v>
      </c>
      <c r="B4" s="79"/>
      <c r="C4" s="512">
        <f>ROUNDUP(M$4*A4/10,0)</f>
        <v>0</v>
      </c>
      <c r="D4" s="7" t="s">
        <v>578</v>
      </c>
      <c r="E4" s="8">
        <v>31</v>
      </c>
      <c r="F4" s="9">
        <v>4</v>
      </c>
      <c r="G4" s="8">
        <f>E4/F4</f>
        <v>7.75</v>
      </c>
      <c r="H4" s="8">
        <f>IF(C4&gt;0,-PMT($H$3,F4,E4)-G4,0)</f>
        <v>0</v>
      </c>
      <c r="I4" s="35">
        <f>C4*(G4+H4)</f>
        <v>0</v>
      </c>
      <c r="K4" s="43"/>
      <c r="L4" s="44" t="s">
        <v>112</v>
      </c>
      <c r="M4" s="511">
        <f>'C.1.1.Vestuario_Equip'!K4</f>
        <v>0</v>
      </c>
    </row>
    <row r="5" spans="1:13" s="75" customFormat="1" ht="20.100000000000001" customHeight="1">
      <c r="A5" s="41">
        <v>5</v>
      </c>
      <c r="B5" s="79"/>
      <c r="C5" s="512">
        <f t="shared" ref="C5:C13" si="0">ROUNDUP(M$4*A5/10,0)</f>
        <v>0</v>
      </c>
      <c r="D5" s="10" t="s">
        <v>579</v>
      </c>
      <c r="E5" s="8">
        <v>6.5</v>
      </c>
      <c r="F5" s="9">
        <v>2</v>
      </c>
      <c r="G5" s="8">
        <f t="shared" ref="G5:G33" si="1">E5/F5</f>
        <v>3.25</v>
      </c>
      <c r="H5" s="8">
        <f t="shared" ref="H5:H13" si="2">IF(C5&gt;0,-PMT($H$3,F5,E5)-G5,0)</f>
        <v>0</v>
      </c>
      <c r="I5" s="35">
        <f>C5*(G5+H5)</f>
        <v>0</v>
      </c>
      <c r="K5" s="43"/>
      <c r="L5" s="44" t="s">
        <v>566</v>
      </c>
      <c r="M5" s="511">
        <f>'C.1.1.Vestuario_Equip'!K5</f>
        <v>0</v>
      </c>
    </row>
    <row r="6" spans="1:13" s="75" customFormat="1" ht="20.100000000000001" customHeight="1">
      <c r="A6" s="41">
        <v>1</v>
      </c>
      <c r="B6" s="79"/>
      <c r="C6" s="512">
        <f t="shared" si="0"/>
        <v>0</v>
      </c>
      <c r="D6" s="10" t="s">
        <v>580</v>
      </c>
      <c r="E6" s="8">
        <v>67.41</v>
      </c>
      <c r="F6" s="9">
        <v>4</v>
      </c>
      <c r="G6" s="8">
        <f t="shared" si="1"/>
        <v>16.852499999999999</v>
      </c>
      <c r="H6" s="8">
        <f t="shared" si="2"/>
        <v>0</v>
      </c>
      <c r="I6" s="35">
        <f t="shared" ref="I6:I33" si="3">C6*(G6+H6)</f>
        <v>0</v>
      </c>
      <c r="K6" s="43"/>
      <c r="L6" s="44" t="s">
        <v>568</v>
      </c>
      <c r="M6" s="511">
        <f>'C.1.1.Vestuario_Equip'!K6</f>
        <v>0</v>
      </c>
    </row>
    <row r="7" spans="1:13" s="75" customFormat="1" ht="20.100000000000001" customHeight="1">
      <c r="A7" s="41">
        <v>1</v>
      </c>
      <c r="B7" s="79"/>
      <c r="C7" s="512">
        <f t="shared" si="0"/>
        <v>0</v>
      </c>
      <c r="D7" s="10" t="s">
        <v>581</v>
      </c>
      <c r="E7" s="8">
        <v>112</v>
      </c>
      <c r="F7" s="9">
        <v>4</v>
      </c>
      <c r="G7" s="8">
        <f t="shared" si="1"/>
        <v>28</v>
      </c>
      <c r="H7" s="8">
        <f t="shared" si="2"/>
        <v>0</v>
      </c>
      <c r="I7" s="35">
        <f t="shared" si="3"/>
        <v>0</v>
      </c>
    </row>
    <row r="8" spans="1:13" s="75" customFormat="1" ht="20.100000000000001" customHeight="1">
      <c r="A8" s="41">
        <v>2</v>
      </c>
      <c r="B8" s="79"/>
      <c r="C8" s="512">
        <f t="shared" si="0"/>
        <v>0</v>
      </c>
      <c r="D8" s="10" t="s">
        <v>582</v>
      </c>
      <c r="E8" s="8">
        <v>112</v>
      </c>
      <c r="F8" s="9">
        <v>4</v>
      </c>
      <c r="G8" s="8">
        <f t="shared" si="1"/>
        <v>28</v>
      </c>
      <c r="H8" s="8">
        <f t="shared" si="2"/>
        <v>0</v>
      </c>
      <c r="I8" s="35">
        <f t="shared" si="3"/>
        <v>0</v>
      </c>
    </row>
    <row r="9" spans="1:13" s="75" customFormat="1" ht="20.100000000000001" customHeight="1">
      <c r="A9" s="41">
        <v>10</v>
      </c>
      <c r="B9" s="79"/>
      <c r="C9" s="512">
        <f t="shared" si="0"/>
        <v>0</v>
      </c>
      <c r="D9" s="10" t="s">
        <v>583</v>
      </c>
      <c r="E9" s="8">
        <v>2</v>
      </c>
      <c r="F9" s="9">
        <v>1</v>
      </c>
      <c r="G9" s="8">
        <f t="shared" si="1"/>
        <v>2</v>
      </c>
      <c r="H9" s="8">
        <f t="shared" si="2"/>
        <v>0</v>
      </c>
      <c r="I9" s="35">
        <f t="shared" si="3"/>
        <v>0</v>
      </c>
    </row>
    <row r="10" spans="1:13" s="75" customFormat="1" ht="20.100000000000001" customHeight="1">
      <c r="A10" s="41">
        <v>2</v>
      </c>
      <c r="B10" s="79"/>
      <c r="C10" s="512">
        <f t="shared" si="0"/>
        <v>0</v>
      </c>
      <c r="D10" s="10" t="s">
        <v>584</v>
      </c>
      <c r="E10" s="8">
        <v>20</v>
      </c>
      <c r="F10" s="9">
        <v>4</v>
      </c>
      <c r="G10" s="8">
        <f t="shared" si="1"/>
        <v>5</v>
      </c>
      <c r="H10" s="8">
        <f t="shared" si="2"/>
        <v>0</v>
      </c>
      <c r="I10" s="35">
        <f t="shared" si="3"/>
        <v>0</v>
      </c>
    </row>
    <row r="11" spans="1:13" s="75" customFormat="1" ht="20.100000000000001" customHeight="1">
      <c r="A11" s="41">
        <v>1</v>
      </c>
      <c r="B11" s="79"/>
      <c r="C11" s="512">
        <f t="shared" si="0"/>
        <v>0</v>
      </c>
      <c r="D11" s="10" t="s">
        <v>585</v>
      </c>
      <c r="E11" s="8">
        <v>31.85</v>
      </c>
      <c r="F11" s="9">
        <v>4</v>
      </c>
      <c r="G11" s="8">
        <f t="shared" si="1"/>
        <v>7.9625000000000004</v>
      </c>
      <c r="H11" s="8">
        <f t="shared" si="2"/>
        <v>0</v>
      </c>
      <c r="I11" s="35">
        <f t="shared" si="3"/>
        <v>0</v>
      </c>
    </row>
    <row r="12" spans="1:13" s="75" customFormat="1" ht="20.100000000000001" customHeight="1">
      <c r="A12" s="41">
        <v>2</v>
      </c>
      <c r="B12" s="79"/>
      <c r="C12" s="512">
        <f t="shared" si="0"/>
        <v>0</v>
      </c>
      <c r="D12" s="10" t="s">
        <v>586</v>
      </c>
      <c r="E12" s="8">
        <v>22</v>
      </c>
      <c r="F12" s="9">
        <v>4</v>
      </c>
      <c r="G12" s="8">
        <f t="shared" si="1"/>
        <v>5.5</v>
      </c>
      <c r="H12" s="8">
        <f t="shared" si="2"/>
        <v>0</v>
      </c>
      <c r="I12" s="35">
        <f t="shared" si="3"/>
        <v>0</v>
      </c>
    </row>
    <row r="13" spans="1:13" s="75" customFormat="1" ht="20.100000000000001" customHeight="1">
      <c r="A13" s="41">
        <v>10</v>
      </c>
      <c r="B13" s="79"/>
      <c r="C13" s="512">
        <f t="shared" si="0"/>
        <v>0</v>
      </c>
      <c r="D13" s="10" t="s">
        <v>587</v>
      </c>
      <c r="E13" s="8">
        <v>5</v>
      </c>
      <c r="F13" s="9">
        <v>2</v>
      </c>
      <c r="G13" s="8">
        <f t="shared" si="1"/>
        <v>2.5</v>
      </c>
      <c r="H13" s="8">
        <f t="shared" si="2"/>
        <v>0</v>
      </c>
      <c r="I13" s="35">
        <f t="shared" si="3"/>
        <v>0</v>
      </c>
    </row>
    <row r="14" spans="1:13" s="75" customFormat="1" ht="17.100000000000001" customHeight="1">
      <c r="A14" s="248"/>
      <c r="B14" s="78"/>
      <c r="C14" s="268"/>
      <c r="D14" s="256" t="s">
        <v>588</v>
      </c>
      <c r="E14" s="271"/>
      <c r="F14" s="267"/>
      <c r="G14" s="256"/>
      <c r="H14" s="271"/>
      <c r="I14" s="272"/>
    </row>
    <row r="15" spans="1:13" s="75" customFormat="1" ht="20.100000000000001" customHeight="1">
      <c r="A15" s="41">
        <v>1</v>
      </c>
      <c r="B15" s="79"/>
      <c r="C15" s="512">
        <f t="shared" ref="C15:C17" si="4">ROUNDUP(M$4*A15/10,0)</f>
        <v>0</v>
      </c>
      <c r="D15" s="10" t="s">
        <v>589</v>
      </c>
      <c r="E15" s="8">
        <v>15</v>
      </c>
      <c r="F15" s="9">
        <v>0.5</v>
      </c>
      <c r="G15" s="8">
        <f t="shared" si="1"/>
        <v>30</v>
      </c>
      <c r="H15" s="8">
        <f t="shared" ref="H15:H17" si="5">IF(C15&gt;0,-PMT($H$3,F15,E15)-G15,0)</f>
        <v>0</v>
      </c>
      <c r="I15" s="35">
        <f t="shared" si="3"/>
        <v>0</v>
      </c>
    </row>
    <row r="16" spans="1:13" s="75" customFormat="1" ht="20.100000000000001" customHeight="1">
      <c r="A16" s="41">
        <v>40</v>
      </c>
      <c r="B16" s="79"/>
      <c r="C16" s="512">
        <f t="shared" si="4"/>
        <v>0</v>
      </c>
      <c r="D16" s="10" t="s">
        <v>590</v>
      </c>
      <c r="E16" s="8">
        <v>15</v>
      </c>
      <c r="F16" s="9">
        <v>0.5</v>
      </c>
      <c r="G16" s="8">
        <f t="shared" si="1"/>
        <v>30</v>
      </c>
      <c r="H16" s="8">
        <f t="shared" si="5"/>
        <v>0</v>
      </c>
      <c r="I16" s="35">
        <f t="shared" si="3"/>
        <v>0</v>
      </c>
    </row>
    <row r="17" spans="1:9" s="75" customFormat="1" ht="20.100000000000001" customHeight="1">
      <c r="A17" s="41">
        <v>4</v>
      </c>
      <c r="B17" s="79"/>
      <c r="C17" s="512">
        <f t="shared" si="4"/>
        <v>0</v>
      </c>
      <c r="D17" s="10" t="s">
        <v>591</v>
      </c>
      <c r="E17" s="8">
        <v>4</v>
      </c>
      <c r="F17" s="9">
        <v>0.5</v>
      </c>
      <c r="G17" s="8">
        <f t="shared" si="1"/>
        <v>8</v>
      </c>
      <c r="H17" s="8">
        <f t="shared" si="5"/>
        <v>0</v>
      </c>
      <c r="I17" s="35">
        <f t="shared" si="3"/>
        <v>0</v>
      </c>
    </row>
    <row r="18" spans="1:9" s="75" customFormat="1" ht="17.100000000000001" customHeight="1">
      <c r="A18" s="248"/>
      <c r="B18" s="78"/>
      <c r="C18" s="268"/>
      <c r="D18" s="256" t="s">
        <v>592</v>
      </c>
      <c r="E18" s="271"/>
      <c r="F18" s="267"/>
      <c r="G18" s="256"/>
      <c r="H18" s="271"/>
      <c r="I18" s="272"/>
    </row>
    <row r="19" spans="1:9" s="75" customFormat="1" ht="20.100000000000001" customHeight="1">
      <c r="A19" s="41">
        <v>1</v>
      </c>
      <c r="B19" s="79"/>
      <c r="C19" s="512">
        <f t="shared" ref="C19:C22" si="6">ROUNDUP(M$4*A19/10,0)</f>
        <v>0</v>
      </c>
      <c r="D19" s="10" t="s">
        <v>593</v>
      </c>
      <c r="E19" s="8">
        <v>5</v>
      </c>
      <c r="F19" s="9">
        <v>4</v>
      </c>
      <c r="G19" s="8">
        <f t="shared" si="1"/>
        <v>1.25</v>
      </c>
      <c r="H19" s="8">
        <f t="shared" ref="H19:H22" si="7">IF(C19&gt;0,-PMT($H$3,F19,E19)-G19,0)</f>
        <v>0</v>
      </c>
      <c r="I19" s="35">
        <f t="shared" si="3"/>
        <v>0</v>
      </c>
    </row>
    <row r="20" spans="1:9" s="75" customFormat="1" ht="20.100000000000001" customHeight="1">
      <c r="A20" s="41">
        <v>10</v>
      </c>
      <c r="B20" s="79"/>
      <c r="C20" s="512">
        <f t="shared" si="6"/>
        <v>0</v>
      </c>
      <c r="D20" s="10" t="s">
        <v>594</v>
      </c>
      <c r="E20" s="8">
        <v>8.6</v>
      </c>
      <c r="F20" s="9">
        <v>4</v>
      </c>
      <c r="G20" s="8">
        <f t="shared" si="1"/>
        <v>2.15</v>
      </c>
      <c r="H20" s="8">
        <f t="shared" si="7"/>
        <v>0</v>
      </c>
      <c r="I20" s="35">
        <f t="shared" si="3"/>
        <v>0</v>
      </c>
    </row>
    <row r="21" spans="1:9" s="75" customFormat="1" ht="20.100000000000001" customHeight="1">
      <c r="A21" s="41">
        <v>5</v>
      </c>
      <c r="B21" s="79"/>
      <c r="C21" s="512">
        <f t="shared" si="6"/>
        <v>0</v>
      </c>
      <c r="D21" s="10" t="s">
        <v>595</v>
      </c>
      <c r="E21" s="8">
        <v>150</v>
      </c>
      <c r="F21" s="9">
        <v>4</v>
      </c>
      <c r="G21" s="8">
        <f t="shared" si="1"/>
        <v>37.5</v>
      </c>
      <c r="H21" s="8">
        <f t="shared" si="7"/>
        <v>0</v>
      </c>
      <c r="I21" s="35">
        <f t="shared" si="3"/>
        <v>0</v>
      </c>
    </row>
    <row r="22" spans="1:9" s="75" customFormat="1" ht="20.100000000000001" customHeight="1">
      <c r="A22" s="41">
        <v>3</v>
      </c>
      <c r="B22" s="79"/>
      <c r="C22" s="512">
        <f t="shared" si="6"/>
        <v>0</v>
      </c>
      <c r="D22" s="10" t="s">
        <v>596</v>
      </c>
      <c r="E22" s="8">
        <v>150</v>
      </c>
      <c r="F22" s="9">
        <v>4</v>
      </c>
      <c r="G22" s="8">
        <f t="shared" si="1"/>
        <v>37.5</v>
      </c>
      <c r="H22" s="8">
        <f t="shared" si="7"/>
        <v>0</v>
      </c>
      <c r="I22" s="35">
        <f t="shared" si="3"/>
        <v>0</v>
      </c>
    </row>
    <row r="23" spans="1:9" ht="17.100000000000001" customHeight="1">
      <c r="A23" s="248"/>
      <c r="B23" s="78"/>
      <c r="C23" s="268"/>
      <c r="D23" s="256" t="s">
        <v>597</v>
      </c>
      <c r="E23" s="271"/>
      <c r="F23" s="267"/>
      <c r="G23" s="256"/>
      <c r="H23" s="271"/>
      <c r="I23" s="272"/>
    </row>
    <row r="24" spans="1:9" s="75" customFormat="1" ht="20.100000000000001" customHeight="1">
      <c r="A24" s="41">
        <v>1</v>
      </c>
      <c r="B24" s="79"/>
      <c r="C24" s="512">
        <f t="shared" ref="C24:C31" si="8">ROUNDUP(M$4*A24/10,0)</f>
        <v>0</v>
      </c>
      <c r="D24" s="10" t="s">
        <v>598</v>
      </c>
      <c r="E24" s="8">
        <v>24</v>
      </c>
      <c r="F24" s="9">
        <v>4</v>
      </c>
      <c r="G24" s="8">
        <f t="shared" si="1"/>
        <v>6</v>
      </c>
      <c r="H24" s="8">
        <f t="shared" ref="H24:H33" si="9">IF(C24&gt;0,-PMT($H$3,F24,E24)-G24,0)</f>
        <v>0</v>
      </c>
      <c r="I24" s="35">
        <f t="shared" si="3"/>
        <v>0</v>
      </c>
    </row>
    <row r="25" spans="1:9" s="75" customFormat="1" ht="20.100000000000001" customHeight="1">
      <c r="A25" s="41">
        <v>1</v>
      </c>
      <c r="B25" s="79"/>
      <c r="C25" s="512">
        <f t="shared" si="8"/>
        <v>0</v>
      </c>
      <c r="D25" s="10" t="s">
        <v>599</v>
      </c>
      <c r="E25" s="8">
        <v>24</v>
      </c>
      <c r="F25" s="9">
        <v>4</v>
      </c>
      <c r="G25" s="8">
        <f t="shared" si="1"/>
        <v>6</v>
      </c>
      <c r="H25" s="8">
        <f t="shared" si="9"/>
        <v>0</v>
      </c>
      <c r="I25" s="35">
        <f t="shared" si="3"/>
        <v>0</v>
      </c>
    </row>
    <row r="26" spans="1:9" s="75" customFormat="1" ht="20.100000000000001" customHeight="1">
      <c r="A26" s="41">
        <v>1</v>
      </c>
      <c r="B26" s="79"/>
      <c r="C26" s="512">
        <f t="shared" si="8"/>
        <v>0</v>
      </c>
      <c r="D26" s="10" t="s">
        <v>600</v>
      </c>
      <c r="E26" s="8">
        <v>24</v>
      </c>
      <c r="F26" s="9">
        <v>4</v>
      </c>
      <c r="G26" s="8">
        <f t="shared" si="1"/>
        <v>6</v>
      </c>
      <c r="H26" s="8">
        <f t="shared" si="9"/>
        <v>0</v>
      </c>
      <c r="I26" s="35">
        <f t="shared" si="3"/>
        <v>0</v>
      </c>
    </row>
    <row r="27" spans="1:9" s="75" customFormat="1" ht="20.100000000000001" customHeight="1">
      <c r="A27" s="41">
        <v>1</v>
      </c>
      <c r="B27" s="79"/>
      <c r="C27" s="512">
        <f t="shared" si="8"/>
        <v>0</v>
      </c>
      <c r="D27" s="10" t="s">
        <v>601</v>
      </c>
      <c r="E27" s="8">
        <v>44</v>
      </c>
      <c r="F27" s="9">
        <v>4</v>
      </c>
      <c r="G27" s="8">
        <f t="shared" si="1"/>
        <v>11</v>
      </c>
      <c r="H27" s="8">
        <f t="shared" si="9"/>
        <v>0</v>
      </c>
      <c r="I27" s="35">
        <f t="shared" si="3"/>
        <v>0</v>
      </c>
    </row>
    <row r="28" spans="1:9" s="75" customFormat="1" ht="20.100000000000001" customHeight="1">
      <c r="A28" s="41">
        <v>1</v>
      </c>
      <c r="B28" s="79"/>
      <c r="C28" s="512">
        <f t="shared" si="8"/>
        <v>0</v>
      </c>
      <c r="D28" s="10" t="s">
        <v>602</v>
      </c>
      <c r="E28" s="8">
        <v>44</v>
      </c>
      <c r="F28" s="9">
        <v>4</v>
      </c>
      <c r="G28" s="8">
        <f t="shared" si="1"/>
        <v>11</v>
      </c>
      <c r="H28" s="8">
        <f t="shared" si="9"/>
        <v>0</v>
      </c>
      <c r="I28" s="35">
        <f t="shared" si="3"/>
        <v>0</v>
      </c>
    </row>
    <row r="29" spans="1:9" s="75" customFormat="1" ht="20.100000000000001" customHeight="1">
      <c r="A29" s="41">
        <v>2</v>
      </c>
      <c r="B29" s="79"/>
      <c r="C29" s="512">
        <f t="shared" si="8"/>
        <v>0</v>
      </c>
      <c r="D29" s="10" t="s">
        <v>603</v>
      </c>
      <c r="E29" s="8">
        <v>77</v>
      </c>
      <c r="F29" s="9">
        <v>4</v>
      </c>
      <c r="G29" s="8">
        <f t="shared" si="1"/>
        <v>19.25</v>
      </c>
      <c r="H29" s="8">
        <f t="shared" si="9"/>
        <v>0</v>
      </c>
      <c r="I29" s="35">
        <f t="shared" si="3"/>
        <v>0</v>
      </c>
    </row>
    <row r="30" spans="1:9" s="75" customFormat="1" ht="20.100000000000001" customHeight="1">
      <c r="A30" s="41">
        <v>2</v>
      </c>
      <c r="B30" s="79"/>
      <c r="C30" s="512">
        <f t="shared" si="8"/>
        <v>0</v>
      </c>
      <c r="D30" s="10" t="s">
        <v>604</v>
      </c>
      <c r="E30" s="8">
        <v>53</v>
      </c>
      <c r="F30" s="9">
        <v>1</v>
      </c>
      <c r="G30" s="8">
        <f t="shared" si="1"/>
        <v>53</v>
      </c>
      <c r="H30" s="8">
        <f t="shared" si="9"/>
        <v>0</v>
      </c>
      <c r="I30" s="35">
        <f t="shared" si="3"/>
        <v>0</v>
      </c>
    </row>
    <row r="31" spans="1:9" s="75" customFormat="1" ht="20.100000000000001" customHeight="1">
      <c r="A31" s="41">
        <v>1</v>
      </c>
      <c r="B31" s="79"/>
      <c r="C31" s="512">
        <f t="shared" si="8"/>
        <v>0</v>
      </c>
      <c r="D31" s="10" t="s">
        <v>605</v>
      </c>
      <c r="E31" s="8">
        <v>36</v>
      </c>
      <c r="F31" s="9">
        <v>4</v>
      </c>
      <c r="G31" s="8">
        <f t="shared" si="1"/>
        <v>9</v>
      </c>
      <c r="H31" s="8">
        <f t="shared" si="9"/>
        <v>0</v>
      </c>
      <c r="I31" s="35">
        <f t="shared" si="3"/>
        <v>0</v>
      </c>
    </row>
    <row r="32" spans="1:9" s="75" customFormat="1" ht="20.100000000000001" customHeight="1">
      <c r="A32" s="41" t="s">
        <v>606</v>
      </c>
      <c r="B32" s="79"/>
      <c r="C32" s="512">
        <f>(M4+M5+M6)</f>
        <v>0</v>
      </c>
      <c r="D32" s="10" t="s">
        <v>607</v>
      </c>
      <c r="E32" s="8">
        <f>59*60%</f>
        <v>35.4</v>
      </c>
      <c r="F32" s="9">
        <v>4</v>
      </c>
      <c r="G32" s="8">
        <f t="shared" si="1"/>
        <v>8.85</v>
      </c>
      <c r="H32" s="8">
        <f t="shared" si="9"/>
        <v>0</v>
      </c>
      <c r="I32" s="35">
        <f t="shared" si="3"/>
        <v>0</v>
      </c>
    </row>
    <row r="33" spans="1:9" s="75" customFormat="1" ht="20.100000000000001" customHeight="1">
      <c r="A33" s="41" t="s">
        <v>606</v>
      </c>
      <c r="B33" s="79"/>
      <c r="C33" s="512">
        <f>M4++M5+M6</f>
        <v>0</v>
      </c>
      <c r="D33" s="10" t="s">
        <v>608</v>
      </c>
      <c r="E33" s="8">
        <v>69</v>
      </c>
      <c r="F33" s="9">
        <v>1</v>
      </c>
      <c r="G33" s="8">
        <f t="shared" si="1"/>
        <v>69</v>
      </c>
      <c r="H33" s="8">
        <f t="shared" si="9"/>
        <v>0</v>
      </c>
      <c r="I33" s="35">
        <f t="shared" si="3"/>
        <v>0</v>
      </c>
    </row>
    <row r="34" spans="1:9" ht="17.100000000000001" customHeight="1">
      <c r="B34" s="22"/>
      <c r="C34" s="261"/>
      <c r="D34" s="262"/>
      <c r="E34" s="262"/>
      <c r="F34" s="263"/>
      <c r="G34" s="264" t="s">
        <v>51</v>
      </c>
      <c r="H34" s="264"/>
      <c r="I34" s="266">
        <f>SUM(I4:I33)</f>
        <v>0</v>
      </c>
    </row>
    <row r="35" spans="1:9" ht="12.75" customHeight="1">
      <c r="I35" s="84"/>
    </row>
    <row r="36" spans="1:9" ht="12.75" customHeight="1">
      <c r="I36" s="84"/>
    </row>
    <row r="37" spans="1:9" ht="12.75" customHeight="1">
      <c r="I37" s="84"/>
    </row>
    <row r="38" spans="1:9" ht="12.75" customHeight="1">
      <c r="D38" s="80"/>
      <c r="I38" s="84"/>
    </row>
    <row r="39" spans="1:9" ht="12.75" customHeight="1">
      <c r="D39" s="81"/>
      <c r="I39" s="84"/>
    </row>
    <row r="40" spans="1:9" ht="12.75" customHeight="1">
      <c r="D40" s="81"/>
      <c r="I40" s="84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</sheetData>
  <mergeCells count="1">
    <mergeCell ref="C1:I1"/>
  </mergeCells>
  <printOptions horizontalCentered="1"/>
  <pageMargins left="0.98425196850393704" right="0.78740157480314998" top="0.78740157480314998" bottom="0.39370078740157499" header="0.59055118110236204" footer="0.78740157480314998"/>
  <pageSetup paperSize="9" scale="85" orientation="portrait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0.249977111117893"/>
  </sheetPr>
  <dimension ref="A1:N90"/>
  <sheetViews>
    <sheetView workbookViewId="0">
      <selection activeCell="H4" sqref="H4"/>
    </sheetView>
  </sheetViews>
  <sheetFormatPr baseColWidth="10" defaultColWidth="11" defaultRowHeight="13.2"/>
  <cols>
    <col min="1" max="1" width="11.88671875" customWidth="1"/>
    <col min="2" max="2" width="1.5546875" style="73" customWidth="1"/>
    <col min="4" max="4" width="20.33203125" customWidth="1"/>
    <col min="8" max="8" width="13.88671875" customWidth="1"/>
  </cols>
  <sheetData>
    <row r="1" spans="1:14" s="18" customFormat="1" ht="15.6">
      <c r="A1" s="39"/>
      <c r="B1" s="22"/>
      <c r="C1" s="755" t="s">
        <v>609</v>
      </c>
      <c r="D1" s="756"/>
      <c r="E1" s="756"/>
      <c r="F1" s="756"/>
      <c r="G1" s="756"/>
      <c r="H1" s="756"/>
      <c r="I1" s="757"/>
    </row>
    <row r="2" spans="1:14" s="18" customFormat="1" ht="43.2">
      <c r="A2" s="40" t="s">
        <v>576</v>
      </c>
      <c r="B2" s="23"/>
      <c r="C2" s="24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25" t="s">
        <v>562</v>
      </c>
      <c r="J2" s="19"/>
      <c r="K2" s="19"/>
      <c r="L2" s="19"/>
      <c r="M2" s="42"/>
    </row>
    <row r="3" spans="1:14" s="20" customFormat="1" ht="15" customHeight="1">
      <c r="A3" s="256"/>
      <c r="B3" s="26"/>
      <c r="C3" s="268"/>
      <c r="D3" s="256" t="s">
        <v>610</v>
      </c>
      <c r="E3" s="256"/>
      <c r="F3" s="256"/>
      <c r="G3" s="256"/>
      <c r="H3" s="269">
        <f>'C. Resumen Costes Vest_Util_Her'!$D$11</f>
        <v>0.05</v>
      </c>
      <c r="I3" s="270"/>
      <c r="K3"/>
      <c r="L3"/>
      <c r="M3"/>
      <c r="N3"/>
    </row>
    <row r="4" spans="1:14" s="21" customFormat="1" ht="14.4">
      <c r="A4" s="41">
        <v>5</v>
      </c>
      <c r="B4" s="27"/>
      <c r="C4" s="512">
        <f t="shared" ref="C4:C68" si="0">ROUND(+M$4*A4/10,0)</f>
        <v>0</v>
      </c>
      <c r="D4" s="7" t="s">
        <v>611</v>
      </c>
      <c r="E4" s="8">
        <v>16</v>
      </c>
      <c r="F4" s="9">
        <v>4</v>
      </c>
      <c r="G4" s="8">
        <f>E4/F4</f>
        <v>4</v>
      </c>
      <c r="H4" s="8">
        <f>IF(C4&gt;0,-PMT($H$3,F4,E4)-G4,0)</f>
        <v>0</v>
      </c>
      <c r="I4" s="35">
        <f>C4*(G4+H4)</f>
        <v>0</v>
      </c>
      <c r="K4" s="43"/>
      <c r="L4" s="44" t="s">
        <v>112</v>
      </c>
      <c r="M4" s="45">
        <f>'C.1.1.Vestuario_Equip'!K4</f>
        <v>0</v>
      </c>
      <c r="N4" s="18"/>
    </row>
    <row r="5" spans="1:14" s="21" customFormat="1" ht="14.4">
      <c r="A5" s="41">
        <v>5</v>
      </c>
      <c r="B5" s="27"/>
      <c r="C5" s="512">
        <f t="shared" si="0"/>
        <v>0</v>
      </c>
      <c r="D5" s="7" t="s">
        <v>612</v>
      </c>
      <c r="E5" s="8">
        <v>13</v>
      </c>
      <c r="F5" s="9">
        <v>4</v>
      </c>
      <c r="G5" s="8">
        <f t="shared" ref="G5:G24" si="1">E5/F5</f>
        <v>3.25</v>
      </c>
      <c r="H5" s="8">
        <f t="shared" ref="H5:H24" si="2">IF(C5&gt;0,-PMT($H$3,F5,E5)-G5,0)</f>
        <v>0</v>
      </c>
      <c r="I5" s="35">
        <f t="shared" ref="I5:I24" si="3">C5*(G5+H5)</f>
        <v>0</v>
      </c>
      <c r="K5" s="43"/>
      <c r="L5" s="44" t="s">
        <v>566</v>
      </c>
      <c r="M5" s="45">
        <f>'C.1.1.Vestuario_Equip'!K5</f>
        <v>0</v>
      </c>
      <c r="N5" s="18"/>
    </row>
    <row r="6" spans="1:14" s="21" customFormat="1" ht="14.4">
      <c r="A6" s="41">
        <v>4</v>
      </c>
      <c r="B6" s="27"/>
      <c r="C6" s="512">
        <f t="shared" si="0"/>
        <v>0</v>
      </c>
      <c r="D6" s="7" t="s">
        <v>613</v>
      </c>
      <c r="E6" s="8">
        <v>12</v>
      </c>
      <c r="F6" s="9">
        <v>4</v>
      </c>
      <c r="G6" s="8">
        <f t="shared" si="1"/>
        <v>3</v>
      </c>
      <c r="H6" s="8">
        <f t="shared" si="2"/>
        <v>0</v>
      </c>
      <c r="I6" s="35">
        <f t="shared" si="3"/>
        <v>0</v>
      </c>
      <c r="K6" s="43"/>
      <c r="L6" s="44" t="s">
        <v>568</v>
      </c>
      <c r="M6" s="45">
        <f>'C.1.1.Vestuario_Equip'!K6</f>
        <v>0</v>
      </c>
      <c r="N6" s="18"/>
    </row>
    <row r="7" spans="1:14" s="21" customFormat="1" ht="14.4">
      <c r="A7" s="41">
        <v>4</v>
      </c>
      <c r="B7" s="27"/>
      <c r="C7" s="512">
        <f t="shared" si="0"/>
        <v>0</v>
      </c>
      <c r="D7" s="7" t="s">
        <v>614</v>
      </c>
      <c r="E7" s="8">
        <v>12</v>
      </c>
      <c r="F7" s="9">
        <v>4</v>
      </c>
      <c r="G7" s="8">
        <f t="shared" si="1"/>
        <v>3</v>
      </c>
      <c r="H7" s="8">
        <f t="shared" si="2"/>
        <v>0</v>
      </c>
      <c r="I7" s="35">
        <f t="shared" si="3"/>
        <v>0</v>
      </c>
      <c r="K7" s="18"/>
      <c r="L7" s="18"/>
      <c r="M7" s="18"/>
      <c r="N7" s="18"/>
    </row>
    <row r="8" spans="1:14" s="21" customFormat="1" ht="14.4">
      <c r="A8" s="41">
        <v>3</v>
      </c>
      <c r="B8" s="27"/>
      <c r="C8" s="512">
        <f t="shared" si="0"/>
        <v>0</v>
      </c>
      <c r="D8" s="7" t="s">
        <v>615</v>
      </c>
      <c r="E8" s="8">
        <v>29</v>
      </c>
      <c r="F8" s="9">
        <v>4</v>
      </c>
      <c r="G8" s="8">
        <f t="shared" si="1"/>
        <v>7.25</v>
      </c>
      <c r="H8" s="8">
        <f t="shared" si="2"/>
        <v>0</v>
      </c>
      <c r="I8" s="35">
        <f t="shared" si="3"/>
        <v>0</v>
      </c>
      <c r="K8" s="18"/>
      <c r="L8" s="18"/>
      <c r="M8" s="18"/>
      <c r="N8" s="18"/>
    </row>
    <row r="9" spans="1:14" s="21" customFormat="1" ht="14.4">
      <c r="A9" s="41">
        <v>6</v>
      </c>
      <c r="B9" s="27"/>
      <c r="C9" s="512">
        <f t="shared" si="0"/>
        <v>0</v>
      </c>
      <c r="D9" s="7" t="s">
        <v>616</v>
      </c>
      <c r="E9" s="8">
        <v>7.5</v>
      </c>
      <c r="F9" s="9">
        <v>4</v>
      </c>
      <c r="G9" s="8">
        <f t="shared" si="1"/>
        <v>1.875</v>
      </c>
      <c r="H9" s="8">
        <f t="shared" si="2"/>
        <v>0</v>
      </c>
      <c r="I9" s="35">
        <f t="shared" si="3"/>
        <v>0</v>
      </c>
      <c r="K9" s="18"/>
      <c r="L9" s="18"/>
      <c r="M9" s="18"/>
      <c r="N9" s="18"/>
    </row>
    <row r="10" spans="1:14" s="21" customFormat="1" ht="14.4">
      <c r="A10" s="41">
        <v>6</v>
      </c>
      <c r="B10" s="27"/>
      <c r="C10" s="512">
        <f t="shared" si="0"/>
        <v>0</v>
      </c>
      <c r="D10" s="7" t="s">
        <v>617</v>
      </c>
      <c r="E10" s="8">
        <v>9</v>
      </c>
      <c r="F10" s="9">
        <v>4</v>
      </c>
      <c r="G10" s="8">
        <f t="shared" si="1"/>
        <v>2.25</v>
      </c>
      <c r="H10" s="8">
        <f t="shared" si="2"/>
        <v>0</v>
      </c>
      <c r="I10" s="35">
        <f t="shared" si="3"/>
        <v>0</v>
      </c>
      <c r="K10" s="18"/>
      <c r="L10" s="18"/>
      <c r="M10" s="18"/>
      <c r="N10" s="18"/>
    </row>
    <row r="11" spans="1:14" s="21" customFormat="1" ht="14.4">
      <c r="A11" s="41">
        <v>3</v>
      </c>
      <c r="B11" s="27"/>
      <c r="C11" s="512">
        <f t="shared" si="0"/>
        <v>0</v>
      </c>
      <c r="D11" s="7" t="s">
        <v>618</v>
      </c>
      <c r="E11" s="8">
        <v>14</v>
      </c>
      <c r="F11" s="9">
        <v>2</v>
      </c>
      <c r="G11" s="8">
        <f t="shared" si="1"/>
        <v>7</v>
      </c>
      <c r="H11" s="8">
        <f t="shared" si="2"/>
        <v>0</v>
      </c>
      <c r="I11" s="35">
        <f t="shared" si="3"/>
        <v>0</v>
      </c>
      <c r="K11" s="18"/>
      <c r="L11" s="18"/>
      <c r="M11" s="18"/>
      <c r="N11" s="18"/>
    </row>
    <row r="12" spans="1:14" s="21" customFormat="1" ht="14.4">
      <c r="A12" s="41">
        <v>1</v>
      </c>
      <c r="B12" s="27"/>
      <c r="C12" s="512">
        <f t="shared" si="0"/>
        <v>0</v>
      </c>
      <c r="D12" s="7" t="s">
        <v>619</v>
      </c>
      <c r="E12" s="8">
        <v>24</v>
      </c>
      <c r="F12" s="9">
        <v>2</v>
      </c>
      <c r="G12" s="8">
        <f t="shared" si="1"/>
        <v>12</v>
      </c>
      <c r="H12" s="8">
        <f t="shared" si="2"/>
        <v>0</v>
      </c>
      <c r="I12" s="35">
        <f t="shared" si="3"/>
        <v>0</v>
      </c>
      <c r="K12" s="18"/>
      <c r="L12" s="18"/>
      <c r="M12" s="18"/>
      <c r="N12" s="18"/>
    </row>
    <row r="13" spans="1:14" s="21" customFormat="1" ht="14.4">
      <c r="A13" s="41">
        <v>1</v>
      </c>
      <c r="B13" s="27"/>
      <c r="C13" s="512">
        <f t="shared" si="0"/>
        <v>0</v>
      </c>
      <c r="D13" s="7" t="s">
        <v>620</v>
      </c>
      <c r="E13" s="8">
        <v>20</v>
      </c>
      <c r="F13" s="9">
        <v>2</v>
      </c>
      <c r="G13" s="8">
        <f t="shared" si="1"/>
        <v>10</v>
      </c>
      <c r="H13" s="8">
        <f t="shared" si="2"/>
        <v>0</v>
      </c>
      <c r="I13" s="35">
        <f t="shared" si="3"/>
        <v>0</v>
      </c>
      <c r="K13" s="18"/>
      <c r="L13" s="18"/>
      <c r="M13" s="18"/>
      <c r="N13" s="18"/>
    </row>
    <row r="14" spans="1:14" s="21" customFormat="1" ht="14.4">
      <c r="A14" s="41">
        <v>1</v>
      </c>
      <c r="B14" s="27"/>
      <c r="C14" s="512">
        <f t="shared" si="0"/>
        <v>0</v>
      </c>
      <c r="D14" s="7" t="s">
        <v>621</v>
      </c>
      <c r="E14" s="8">
        <v>16</v>
      </c>
      <c r="F14" s="9">
        <v>4</v>
      </c>
      <c r="G14" s="8">
        <f t="shared" si="1"/>
        <v>4</v>
      </c>
      <c r="H14" s="8">
        <f t="shared" si="2"/>
        <v>0</v>
      </c>
      <c r="I14" s="35">
        <f t="shared" si="3"/>
        <v>0</v>
      </c>
      <c r="K14" s="18"/>
      <c r="L14" s="18"/>
      <c r="M14" s="18"/>
      <c r="N14" s="18"/>
    </row>
    <row r="15" spans="1:14" s="21" customFormat="1" ht="14.4">
      <c r="A15" s="41">
        <v>1</v>
      </c>
      <c r="B15" s="27"/>
      <c r="C15" s="512">
        <f t="shared" si="0"/>
        <v>0</v>
      </c>
      <c r="D15" s="7" t="s">
        <v>622</v>
      </c>
      <c r="E15" s="8">
        <v>12</v>
      </c>
      <c r="F15" s="9">
        <v>4</v>
      </c>
      <c r="G15" s="8">
        <f t="shared" si="1"/>
        <v>3</v>
      </c>
      <c r="H15" s="8">
        <f t="shared" si="2"/>
        <v>0</v>
      </c>
      <c r="I15" s="35">
        <f t="shared" si="3"/>
        <v>0</v>
      </c>
      <c r="K15" s="18"/>
      <c r="L15" s="18"/>
      <c r="M15" s="18"/>
      <c r="N15" s="18"/>
    </row>
    <row r="16" spans="1:14" s="21" customFormat="1" ht="14.4">
      <c r="A16" s="41">
        <v>1</v>
      </c>
      <c r="B16" s="27"/>
      <c r="C16" s="512">
        <f t="shared" si="0"/>
        <v>0</v>
      </c>
      <c r="D16" s="7" t="s">
        <v>623</v>
      </c>
      <c r="E16" s="8">
        <v>6</v>
      </c>
      <c r="F16" s="9">
        <v>4</v>
      </c>
      <c r="G16" s="8">
        <f t="shared" si="1"/>
        <v>1.5</v>
      </c>
      <c r="H16" s="8">
        <f t="shared" si="2"/>
        <v>0</v>
      </c>
      <c r="I16" s="35">
        <f t="shared" si="3"/>
        <v>0</v>
      </c>
      <c r="K16" s="18"/>
      <c r="L16" s="18"/>
      <c r="M16" s="18"/>
      <c r="N16" s="18"/>
    </row>
    <row r="17" spans="1:14" s="21" customFormat="1" ht="14.4">
      <c r="A17" s="41">
        <f>+A4+A5</f>
        <v>10</v>
      </c>
      <c r="B17" s="27"/>
      <c r="C17" s="512">
        <f t="shared" si="0"/>
        <v>0</v>
      </c>
      <c r="D17" s="7" t="s">
        <v>624</v>
      </c>
      <c r="E17" s="8">
        <v>5</v>
      </c>
      <c r="F17" s="9">
        <v>4</v>
      </c>
      <c r="G17" s="8">
        <f t="shared" si="1"/>
        <v>1.25</v>
      </c>
      <c r="H17" s="8">
        <f t="shared" si="2"/>
        <v>0</v>
      </c>
      <c r="I17" s="35">
        <f t="shared" si="3"/>
        <v>0</v>
      </c>
      <c r="K17" s="18"/>
      <c r="L17" s="18"/>
      <c r="M17" s="18"/>
      <c r="N17" s="18"/>
    </row>
    <row r="18" spans="1:14" s="21" customFormat="1" ht="14.4">
      <c r="A18" s="41">
        <v>2</v>
      </c>
      <c r="B18" s="27"/>
      <c r="C18" s="512">
        <f t="shared" si="0"/>
        <v>0</v>
      </c>
      <c r="D18" s="7" t="s">
        <v>625</v>
      </c>
      <c r="E18" s="8">
        <v>10</v>
      </c>
      <c r="F18" s="9">
        <v>4</v>
      </c>
      <c r="G18" s="8">
        <f t="shared" si="1"/>
        <v>2.5</v>
      </c>
      <c r="H18" s="8">
        <f t="shared" si="2"/>
        <v>0</v>
      </c>
      <c r="I18" s="35">
        <f t="shared" si="3"/>
        <v>0</v>
      </c>
      <c r="K18" s="18"/>
      <c r="L18" s="18"/>
      <c r="M18" s="18"/>
      <c r="N18" s="18"/>
    </row>
    <row r="19" spans="1:14" s="21" customFormat="1" ht="14.4">
      <c r="A19" s="41">
        <v>2</v>
      </c>
      <c r="B19" s="27"/>
      <c r="C19" s="512">
        <f t="shared" si="0"/>
        <v>0</v>
      </c>
      <c r="D19" s="7" t="s">
        <v>626</v>
      </c>
      <c r="E19" s="8">
        <v>6</v>
      </c>
      <c r="F19" s="9">
        <v>2</v>
      </c>
      <c r="G19" s="8">
        <f t="shared" si="1"/>
        <v>3</v>
      </c>
      <c r="H19" s="8">
        <f t="shared" si="2"/>
        <v>0</v>
      </c>
      <c r="I19" s="35">
        <f t="shared" si="3"/>
        <v>0</v>
      </c>
      <c r="K19" s="18"/>
      <c r="L19" s="18"/>
      <c r="M19" s="18"/>
      <c r="N19" s="18"/>
    </row>
    <row r="20" spans="1:14" s="21" customFormat="1" ht="14.4">
      <c r="A20" s="41">
        <v>4</v>
      </c>
      <c r="B20" s="27"/>
      <c r="C20" s="512">
        <f t="shared" si="0"/>
        <v>0</v>
      </c>
      <c r="D20" s="7" t="s">
        <v>627</v>
      </c>
      <c r="E20" s="8">
        <v>6</v>
      </c>
      <c r="F20" s="9">
        <v>2</v>
      </c>
      <c r="G20" s="8">
        <f t="shared" si="1"/>
        <v>3</v>
      </c>
      <c r="H20" s="8">
        <f t="shared" si="2"/>
        <v>0</v>
      </c>
      <c r="I20" s="35">
        <f t="shared" si="3"/>
        <v>0</v>
      </c>
      <c r="K20" s="18"/>
      <c r="L20" s="18"/>
      <c r="M20" s="18"/>
      <c r="N20" s="18"/>
    </row>
    <row r="21" spans="1:14" s="21" customFormat="1" ht="14.4">
      <c r="A21" s="41">
        <v>1</v>
      </c>
      <c r="B21" s="27"/>
      <c r="C21" s="512">
        <f t="shared" si="0"/>
        <v>0</v>
      </c>
      <c r="D21" s="7" t="s">
        <v>628</v>
      </c>
      <c r="E21" s="8">
        <v>12</v>
      </c>
      <c r="F21" s="9">
        <v>2</v>
      </c>
      <c r="G21" s="8">
        <f t="shared" si="1"/>
        <v>6</v>
      </c>
      <c r="H21" s="8">
        <f t="shared" si="2"/>
        <v>0</v>
      </c>
      <c r="I21" s="35">
        <f t="shared" si="3"/>
        <v>0</v>
      </c>
      <c r="K21" s="18"/>
      <c r="L21" s="18"/>
      <c r="M21" s="18"/>
      <c r="N21" s="18"/>
    </row>
    <row r="22" spans="1:14" s="21" customFormat="1" ht="14.4">
      <c r="A22" s="41">
        <v>1</v>
      </c>
      <c r="B22" s="27"/>
      <c r="C22" s="512">
        <f t="shared" si="0"/>
        <v>0</v>
      </c>
      <c r="D22" s="7" t="s">
        <v>629</v>
      </c>
      <c r="E22" s="8">
        <v>24</v>
      </c>
      <c r="F22" s="9">
        <v>4</v>
      </c>
      <c r="G22" s="8">
        <f t="shared" si="1"/>
        <v>6</v>
      </c>
      <c r="H22" s="8">
        <f t="shared" si="2"/>
        <v>0</v>
      </c>
      <c r="I22" s="35">
        <f t="shared" si="3"/>
        <v>0</v>
      </c>
      <c r="K22" s="18"/>
      <c r="L22" s="18"/>
      <c r="M22" s="18"/>
      <c r="N22" s="18"/>
    </row>
    <row r="23" spans="1:14" s="21" customFormat="1" ht="14.4">
      <c r="A23" s="41">
        <v>1</v>
      </c>
      <c r="B23" s="27"/>
      <c r="C23" s="512">
        <f t="shared" si="0"/>
        <v>0</v>
      </c>
      <c r="D23" s="7" t="s">
        <v>630</v>
      </c>
      <c r="E23" s="8">
        <v>18</v>
      </c>
      <c r="F23" s="9">
        <v>4</v>
      </c>
      <c r="G23" s="8">
        <f t="shared" si="1"/>
        <v>4.5</v>
      </c>
      <c r="H23" s="8">
        <f t="shared" si="2"/>
        <v>0</v>
      </c>
      <c r="I23" s="35">
        <f t="shared" si="3"/>
        <v>0</v>
      </c>
      <c r="K23" s="18"/>
      <c r="L23" s="18"/>
      <c r="M23" s="18"/>
      <c r="N23" s="18"/>
    </row>
    <row r="24" spans="1:14" s="21" customFormat="1" ht="14.4">
      <c r="A24" s="41">
        <v>1</v>
      </c>
      <c r="B24" s="27"/>
      <c r="C24" s="512">
        <f t="shared" si="0"/>
        <v>0</v>
      </c>
      <c r="D24" s="7" t="s">
        <v>631</v>
      </c>
      <c r="E24" s="8">
        <v>45</v>
      </c>
      <c r="F24" s="9">
        <v>4</v>
      </c>
      <c r="G24" s="8">
        <f t="shared" si="1"/>
        <v>11.25</v>
      </c>
      <c r="H24" s="8">
        <f t="shared" si="2"/>
        <v>0</v>
      </c>
      <c r="I24" s="35">
        <f t="shared" si="3"/>
        <v>0</v>
      </c>
      <c r="K24" s="18"/>
      <c r="L24" s="18"/>
      <c r="M24" s="18"/>
      <c r="N24" s="18"/>
    </row>
    <row r="25" spans="1:14" s="20" customFormat="1" ht="15" customHeight="1">
      <c r="A25" s="256"/>
      <c r="B25" s="26"/>
      <c r="C25" s="268"/>
      <c r="D25" s="256" t="s">
        <v>632</v>
      </c>
      <c r="E25" s="256"/>
      <c r="F25" s="256"/>
      <c r="G25" s="256"/>
      <c r="H25" s="271"/>
      <c r="I25" s="270"/>
      <c r="K25"/>
      <c r="L25"/>
      <c r="M25"/>
      <c r="N25"/>
    </row>
    <row r="26" spans="1:14" s="21" customFormat="1" ht="12.75" customHeight="1">
      <c r="A26" s="41">
        <v>3</v>
      </c>
      <c r="B26" s="27"/>
      <c r="C26" s="512">
        <f t="shared" si="0"/>
        <v>0</v>
      </c>
      <c r="D26" s="7" t="s">
        <v>633</v>
      </c>
      <c r="E26" s="8">
        <v>6</v>
      </c>
      <c r="F26" s="9">
        <v>2</v>
      </c>
      <c r="G26" s="8">
        <f t="shared" ref="G26:G29" si="4">E26/F26</f>
        <v>3</v>
      </c>
      <c r="H26" s="8">
        <f t="shared" ref="H26:H29" si="5">IF(C26&gt;0,-PMT($H$3,F26,E26)-G26,0)</f>
        <v>0</v>
      </c>
      <c r="I26" s="35">
        <f t="shared" ref="I26:I29" si="6">C26*(G26+H26)</f>
        <v>0</v>
      </c>
      <c r="K26" s="18"/>
      <c r="L26" s="18"/>
      <c r="M26" s="18"/>
      <c r="N26" s="18"/>
    </row>
    <row r="27" spans="1:14" s="21" customFormat="1" ht="12.75" customHeight="1">
      <c r="A27" s="41">
        <v>4</v>
      </c>
      <c r="B27" s="27"/>
      <c r="C27" s="512">
        <f t="shared" si="0"/>
        <v>0</v>
      </c>
      <c r="D27" s="7" t="s">
        <v>634</v>
      </c>
      <c r="E27" s="8">
        <v>7</v>
      </c>
      <c r="F27" s="9">
        <v>2</v>
      </c>
      <c r="G27" s="8">
        <f t="shared" si="4"/>
        <v>3.5</v>
      </c>
      <c r="H27" s="8">
        <f t="shared" si="5"/>
        <v>0</v>
      </c>
      <c r="I27" s="35">
        <f t="shared" si="6"/>
        <v>0</v>
      </c>
      <c r="K27" s="18"/>
      <c r="L27" s="18"/>
      <c r="M27" s="18"/>
      <c r="N27" s="18"/>
    </row>
    <row r="28" spans="1:14" s="21" customFormat="1" ht="12.75" customHeight="1">
      <c r="A28" s="41">
        <v>2</v>
      </c>
      <c r="B28" s="27"/>
      <c r="C28" s="512">
        <f t="shared" si="0"/>
        <v>0</v>
      </c>
      <c r="D28" s="7" t="s">
        <v>635</v>
      </c>
      <c r="E28" s="8">
        <v>15</v>
      </c>
      <c r="F28" s="9">
        <v>2</v>
      </c>
      <c r="G28" s="8">
        <f t="shared" si="4"/>
        <v>7.5</v>
      </c>
      <c r="H28" s="8">
        <f t="shared" si="5"/>
        <v>0</v>
      </c>
      <c r="I28" s="35">
        <f t="shared" si="6"/>
        <v>0</v>
      </c>
      <c r="K28" s="18"/>
      <c r="L28" s="18"/>
      <c r="M28" s="18"/>
      <c r="N28" s="18"/>
    </row>
    <row r="29" spans="1:14" s="21" customFormat="1" ht="14.4">
      <c r="A29" s="41">
        <v>2</v>
      </c>
      <c r="B29" s="27"/>
      <c r="C29" s="512">
        <f t="shared" si="0"/>
        <v>0</v>
      </c>
      <c r="D29" s="7" t="s">
        <v>636</v>
      </c>
      <c r="E29" s="8">
        <v>12</v>
      </c>
      <c r="F29" s="9">
        <v>2</v>
      </c>
      <c r="G29" s="8">
        <f t="shared" si="4"/>
        <v>6</v>
      </c>
      <c r="H29" s="8">
        <f t="shared" si="5"/>
        <v>0</v>
      </c>
      <c r="I29" s="35">
        <f t="shared" si="6"/>
        <v>0</v>
      </c>
      <c r="K29" s="18"/>
      <c r="L29" s="18"/>
      <c r="M29" s="18"/>
      <c r="N29" s="18"/>
    </row>
    <row r="30" spans="1:14" s="20" customFormat="1" ht="15" customHeight="1">
      <c r="A30" s="256"/>
      <c r="B30" s="26"/>
      <c r="C30" s="268"/>
      <c r="D30" s="256" t="s">
        <v>637</v>
      </c>
      <c r="E30" s="256"/>
      <c r="F30" s="256"/>
      <c r="G30" s="256"/>
      <c r="H30" s="271"/>
      <c r="I30" s="270"/>
      <c r="K30"/>
      <c r="L30"/>
      <c r="M30"/>
      <c r="N30"/>
    </row>
    <row r="31" spans="1:14" s="21" customFormat="1" ht="14.4">
      <c r="A31" s="41">
        <v>5</v>
      </c>
      <c r="B31" s="27"/>
      <c r="C31" s="512">
        <f t="shared" si="0"/>
        <v>0</v>
      </c>
      <c r="D31" s="7" t="s">
        <v>638</v>
      </c>
      <c r="E31" s="8">
        <v>35</v>
      </c>
      <c r="F31" s="9">
        <v>2</v>
      </c>
      <c r="G31" s="8">
        <f t="shared" ref="G31:G40" si="7">E31/F31</f>
        <v>17.5</v>
      </c>
      <c r="H31" s="8">
        <f t="shared" ref="H31:H40" si="8">IF(C31&gt;0,-PMT($H$3,F31,E31)-G31,0)</f>
        <v>0</v>
      </c>
      <c r="I31" s="35">
        <f t="shared" ref="I31:I40" si="9">C31*(G31+H31)</f>
        <v>0</v>
      </c>
      <c r="K31" s="18"/>
      <c r="L31" s="18"/>
      <c r="M31" s="18"/>
      <c r="N31" s="18"/>
    </row>
    <row r="32" spans="1:14" s="21" customFormat="1" ht="14.4">
      <c r="A32" s="41">
        <v>5</v>
      </c>
      <c r="B32" s="27"/>
      <c r="C32" s="512">
        <f t="shared" si="0"/>
        <v>0</v>
      </c>
      <c r="D32" s="7" t="s">
        <v>639</v>
      </c>
      <c r="E32" s="8">
        <v>30</v>
      </c>
      <c r="F32" s="9">
        <v>2</v>
      </c>
      <c r="G32" s="8">
        <f t="shared" si="7"/>
        <v>15</v>
      </c>
      <c r="H32" s="8">
        <f t="shared" si="8"/>
        <v>0</v>
      </c>
      <c r="I32" s="35">
        <f t="shared" si="9"/>
        <v>0</v>
      </c>
      <c r="K32" s="18"/>
      <c r="L32" s="18"/>
      <c r="M32" s="18"/>
      <c r="N32" s="18"/>
    </row>
    <row r="33" spans="1:14" s="21" customFormat="1" ht="14.4">
      <c r="A33" s="41">
        <v>6</v>
      </c>
      <c r="B33" s="27"/>
      <c r="C33" s="512">
        <f t="shared" si="0"/>
        <v>0</v>
      </c>
      <c r="D33" s="7" t="s">
        <v>640</v>
      </c>
      <c r="E33" s="8">
        <v>9</v>
      </c>
      <c r="F33" s="9">
        <v>2</v>
      </c>
      <c r="G33" s="8">
        <f t="shared" si="7"/>
        <v>4.5</v>
      </c>
      <c r="H33" s="8">
        <f t="shared" si="8"/>
        <v>0</v>
      </c>
      <c r="I33" s="35">
        <f t="shared" si="9"/>
        <v>0</v>
      </c>
      <c r="K33" s="18"/>
      <c r="L33" s="18"/>
      <c r="M33" s="18"/>
      <c r="N33" s="18"/>
    </row>
    <row r="34" spans="1:14" s="21" customFormat="1" ht="14.4">
      <c r="A34" s="41">
        <v>1</v>
      </c>
      <c r="B34" s="27"/>
      <c r="C34" s="512">
        <f t="shared" si="0"/>
        <v>0</v>
      </c>
      <c r="D34" s="7" t="s">
        <v>641</v>
      </c>
      <c r="E34" s="8">
        <v>12</v>
      </c>
      <c r="F34" s="9">
        <v>2</v>
      </c>
      <c r="G34" s="8">
        <f t="shared" si="7"/>
        <v>6</v>
      </c>
      <c r="H34" s="8">
        <f t="shared" si="8"/>
        <v>0</v>
      </c>
      <c r="I34" s="35">
        <f t="shared" si="9"/>
        <v>0</v>
      </c>
      <c r="K34" s="18"/>
      <c r="L34" s="18"/>
      <c r="M34" s="18"/>
      <c r="N34" s="18"/>
    </row>
    <row r="35" spans="1:14" s="21" customFormat="1" ht="14.4">
      <c r="A35" s="41">
        <v>2</v>
      </c>
      <c r="B35" s="27"/>
      <c r="C35" s="512">
        <f t="shared" si="0"/>
        <v>0</v>
      </c>
      <c r="D35" s="7" t="s">
        <v>642</v>
      </c>
      <c r="E35" s="8">
        <v>15</v>
      </c>
      <c r="F35" s="9">
        <v>2</v>
      </c>
      <c r="G35" s="8">
        <f t="shared" si="7"/>
        <v>7.5</v>
      </c>
      <c r="H35" s="8">
        <f t="shared" si="8"/>
        <v>0</v>
      </c>
      <c r="I35" s="35">
        <f t="shared" si="9"/>
        <v>0</v>
      </c>
      <c r="K35" s="18"/>
      <c r="L35" s="18"/>
      <c r="M35" s="18"/>
      <c r="N35" s="18"/>
    </row>
    <row r="36" spans="1:14" s="21" customFormat="1" ht="14.4">
      <c r="A36" s="41">
        <v>2</v>
      </c>
      <c r="B36" s="27"/>
      <c r="C36" s="512">
        <f t="shared" si="0"/>
        <v>0</v>
      </c>
      <c r="D36" s="7" t="s">
        <v>643</v>
      </c>
      <c r="E36" s="8">
        <v>2</v>
      </c>
      <c r="F36" s="9">
        <v>2</v>
      </c>
      <c r="G36" s="8">
        <f t="shared" si="7"/>
        <v>1</v>
      </c>
      <c r="H36" s="8">
        <f t="shared" si="8"/>
        <v>0</v>
      </c>
      <c r="I36" s="35">
        <f t="shared" si="9"/>
        <v>0</v>
      </c>
      <c r="K36" s="18"/>
      <c r="L36" s="18"/>
      <c r="M36" s="18"/>
      <c r="N36" s="18"/>
    </row>
    <row r="37" spans="1:14" s="21" customFormat="1" ht="14.4">
      <c r="A37" s="41">
        <v>1</v>
      </c>
      <c r="B37" s="27"/>
      <c r="C37" s="512">
        <f t="shared" si="0"/>
        <v>0</v>
      </c>
      <c r="D37" s="7" t="s">
        <v>644</v>
      </c>
      <c r="E37" s="8">
        <v>25</v>
      </c>
      <c r="F37" s="9">
        <v>2</v>
      </c>
      <c r="G37" s="8">
        <f t="shared" si="7"/>
        <v>12.5</v>
      </c>
      <c r="H37" s="8">
        <f t="shared" si="8"/>
        <v>0</v>
      </c>
      <c r="I37" s="35">
        <f t="shared" si="9"/>
        <v>0</v>
      </c>
      <c r="K37" s="18"/>
      <c r="L37" s="18"/>
      <c r="M37" s="18"/>
      <c r="N37" s="18"/>
    </row>
    <row r="38" spans="1:14" s="21" customFormat="1" ht="14.4">
      <c r="A38" s="41">
        <v>2</v>
      </c>
      <c r="B38" s="27"/>
      <c r="C38" s="512">
        <f t="shared" si="0"/>
        <v>0</v>
      </c>
      <c r="D38" s="7" t="s">
        <v>645</v>
      </c>
      <c r="E38" s="8">
        <v>12</v>
      </c>
      <c r="F38" s="9">
        <v>2</v>
      </c>
      <c r="G38" s="8">
        <f t="shared" si="7"/>
        <v>6</v>
      </c>
      <c r="H38" s="8">
        <f t="shared" si="8"/>
        <v>0</v>
      </c>
      <c r="I38" s="35">
        <f t="shared" si="9"/>
        <v>0</v>
      </c>
      <c r="K38" s="18"/>
      <c r="L38" s="18"/>
      <c r="M38" s="18"/>
      <c r="N38" s="18"/>
    </row>
    <row r="39" spans="1:14" s="21" customFormat="1" ht="14.4">
      <c r="A39" s="41">
        <v>0.5</v>
      </c>
      <c r="B39" s="27"/>
      <c r="C39" s="512">
        <f t="shared" si="0"/>
        <v>0</v>
      </c>
      <c r="D39" s="7" t="s">
        <v>646</v>
      </c>
      <c r="E39" s="8">
        <v>12</v>
      </c>
      <c r="F39" s="9">
        <v>2</v>
      </c>
      <c r="G39" s="8">
        <f t="shared" si="7"/>
        <v>6</v>
      </c>
      <c r="H39" s="8">
        <f t="shared" si="8"/>
        <v>0</v>
      </c>
      <c r="I39" s="35">
        <f t="shared" si="9"/>
        <v>0</v>
      </c>
      <c r="K39" s="18"/>
      <c r="L39" s="18"/>
      <c r="M39" s="18"/>
      <c r="N39" s="18"/>
    </row>
    <row r="40" spans="1:14" s="21" customFormat="1" ht="14.4">
      <c r="A40" s="41">
        <v>1</v>
      </c>
      <c r="B40" s="27"/>
      <c r="C40" s="512">
        <f t="shared" si="0"/>
        <v>0</v>
      </c>
      <c r="D40" s="7" t="s">
        <v>647</v>
      </c>
      <c r="E40" s="8">
        <v>18</v>
      </c>
      <c r="F40" s="9">
        <v>2</v>
      </c>
      <c r="G40" s="8">
        <f t="shared" si="7"/>
        <v>9</v>
      </c>
      <c r="H40" s="8">
        <f t="shared" si="8"/>
        <v>0</v>
      </c>
      <c r="I40" s="35">
        <f t="shared" si="9"/>
        <v>0</v>
      </c>
      <c r="K40" s="18"/>
      <c r="L40" s="18"/>
      <c r="M40" s="18"/>
      <c r="N40" s="18"/>
    </row>
    <row r="41" spans="1:14" s="20" customFormat="1" ht="15" customHeight="1">
      <c r="A41" s="256"/>
      <c r="B41" s="26"/>
      <c r="C41" s="268"/>
      <c r="D41" s="256" t="s">
        <v>648</v>
      </c>
      <c r="E41" s="256"/>
      <c r="F41" s="256"/>
      <c r="G41" s="256"/>
      <c r="H41" s="271"/>
      <c r="I41" s="270"/>
      <c r="K41"/>
      <c r="L41"/>
      <c r="M41"/>
      <c r="N41"/>
    </row>
    <row r="42" spans="1:14" s="21" customFormat="1" ht="12.75" customHeight="1">
      <c r="A42" s="41">
        <v>1</v>
      </c>
      <c r="B42" s="27"/>
      <c r="C42" s="512">
        <f t="shared" si="0"/>
        <v>0</v>
      </c>
      <c r="D42" s="7" t="s">
        <v>649</v>
      </c>
      <c r="E42" s="8">
        <v>48</v>
      </c>
      <c r="F42" s="9">
        <v>4</v>
      </c>
      <c r="G42" s="8">
        <f t="shared" ref="G42:G49" si="10">E42/F42</f>
        <v>12</v>
      </c>
      <c r="H42" s="8">
        <f t="shared" ref="H42:H49" si="11">IF(C42&gt;0,-PMT($H$3,F42,E42)-G42,0)</f>
        <v>0</v>
      </c>
      <c r="I42" s="35">
        <f t="shared" ref="I42:I49" si="12">C42*(G42+H42)</f>
        <v>0</v>
      </c>
    </row>
    <row r="43" spans="1:14" s="21" customFormat="1" ht="14.4">
      <c r="A43" s="41">
        <v>1</v>
      </c>
      <c r="B43" s="27"/>
      <c r="C43" s="512">
        <f t="shared" si="0"/>
        <v>0</v>
      </c>
      <c r="D43" s="7" t="s">
        <v>650</v>
      </c>
      <c r="E43" s="8">
        <v>25</v>
      </c>
      <c r="F43" s="9">
        <v>4</v>
      </c>
      <c r="G43" s="8">
        <f t="shared" si="10"/>
        <v>6.25</v>
      </c>
      <c r="H43" s="8">
        <f t="shared" si="11"/>
        <v>0</v>
      </c>
      <c r="I43" s="35">
        <f t="shared" si="12"/>
        <v>0</v>
      </c>
    </row>
    <row r="44" spans="1:14" s="21" customFormat="1" ht="14.4">
      <c r="A44" s="41">
        <v>4</v>
      </c>
      <c r="B44" s="27"/>
      <c r="C44" s="512">
        <f t="shared" si="0"/>
        <v>0</v>
      </c>
      <c r="D44" s="7" t="s">
        <v>651</v>
      </c>
      <c r="E44" s="8">
        <v>36</v>
      </c>
      <c r="F44" s="9">
        <v>4</v>
      </c>
      <c r="G44" s="8">
        <f t="shared" si="10"/>
        <v>9</v>
      </c>
      <c r="H44" s="8">
        <f t="shared" si="11"/>
        <v>0</v>
      </c>
      <c r="I44" s="35">
        <f t="shared" si="12"/>
        <v>0</v>
      </c>
      <c r="K44" s="18"/>
      <c r="L44" s="18"/>
      <c r="M44" s="18"/>
      <c r="N44" s="18"/>
    </row>
    <row r="45" spans="1:14" s="21" customFormat="1" ht="14.4">
      <c r="A45" s="41">
        <v>1</v>
      </c>
      <c r="B45" s="27"/>
      <c r="C45" s="512">
        <f t="shared" si="0"/>
        <v>0</v>
      </c>
      <c r="D45" s="7" t="s">
        <v>652</v>
      </c>
      <c r="E45" s="8">
        <v>380</v>
      </c>
      <c r="F45" s="9">
        <v>4</v>
      </c>
      <c r="G45" s="8">
        <f t="shared" si="10"/>
        <v>95</v>
      </c>
      <c r="H45" s="8">
        <f t="shared" si="11"/>
        <v>0</v>
      </c>
      <c r="I45" s="35">
        <f t="shared" si="12"/>
        <v>0</v>
      </c>
      <c r="K45" s="18"/>
      <c r="L45" s="18"/>
      <c r="M45" s="18"/>
      <c r="N45" s="18"/>
    </row>
    <row r="46" spans="1:14" s="21" customFormat="1" ht="14.4">
      <c r="A46" s="41">
        <v>1</v>
      </c>
      <c r="B46" s="27"/>
      <c r="C46" s="512">
        <f t="shared" si="0"/>
        <v>0</v>
      </c>
      <c r="D46" s="7" t="s">
        <v>653</v>
      </c>
      <c r="E46" s="8">
        <v>120</v>
      </c>
      <c r="F46" s="9">
        <v>4</v>
      </c>
      <c r="G46" s="8">
        <f t="shared" si="10"/>
        <v>30</v>
      </c>
      <c r="H46" s="8">
        <f t="shared" si="11"/>
        <v>0</v>
      </c>
      <c r="I46" s="35">
        <f t="shared" si="12"/>
        <v>0</v>
      </c>
      <c r="K46" s="18"/>
      <c r="L46" s="18"/>
      <c r="M46" s="18"/>
      <c r="N46" s="18"/>
    </row>
    <row r="47" spans="1:14" s="21" customFormat="1" ht="14.4">
      <c r="A47" s="41">
        <v>60</v>
      </c>
      <c r="B47" s="27"/>
      <c r="C47" s="512">
        <f t="shared" si="0"/>
        <v>0</v>
      </c>
      <c r="D47" s="7" t="s">
        <v>654</v>
      </c>
      <c r="E47" s="8">
        <v>3.5</v>
      </c>
      <c r="F47" s="9">
        <v>1</v>
      </c>
      <c r="G47" s="8">
        <f t="shared" si="10"/>
        <v>3.5</v>
      </c>
      <c r="H47" s="8">
        <f t="shared" si="11"/>
        <v>0</v>
      </c>
      <c r="I47" s="35">
        <f t="shared" si="12"/>
        <v>0</v>
      </c>
      <c r="K47" s="18"/>
      <c r="L47" s="18"/>
      <c r="M47" s="18"/>
      <c r="N47" s="18"/>
    </row>
    <row r="48" spans="1:14" s="21" customFormat="1" ht="14.4">
      <c r="A48" s="41">
        <v>5</v>
      </c>
      <c r="B48" s="27"/>
      <c r="C48" s="512">
        <f t="shared" si="0"/>
        <v>0</v>
      </c>
      <c r="D48" s="7" t="s">
        <v>655</v>
      </c>
      <c r="E48" s="8">
        <v>22</v>
      </c>
      <c r="F48" s="9">
        <v>4</v>
      </c>
      <c r="G48" s="8">
        <f t="shared" si="10"/>
        <v>5.5</v>
      </c>
      <c r="H48" s="8">
        <f t="shared" si="11"/>
        <v>0</v>
      </c>
      <c r="I48" s="35">
        <f t="shared" si="12"/>
        <v>0</v>
      </c>
      <c r="K48" s="18"/>
      <c r="L48" s="18"/>
      <c r="M48" s="18"/>
      <c r="N48" s="18"/>
    </row>
    <row r="49" spans="1:14" s="21" customFormat="1" ht="14.4">
      <c r="A49" s="74">
        <v>20000</v>
      </c>
      <c r="B49" s="27"/>
      <c r="C49" s="513">
        <f t="shared" si="0"/>
        <v>0</v>
      </c>
      <c r="D49" s="7" t="s">
        <v>656</v>
      </c>
      <c r="E49" s="8">
        <v>0.02</v>
      </c>
      <c r="F49" s="9">
        <v>1</v>
      </c>
      <c r="G49" s="8">
        <f t="shared" si="10"/>
        <v>0.02</v>
      </c>
      <c r="H49" s="8">
        <f t="shared" si="11"/>
        <v>0</v>
      </c>
      <c r="I49" s="35">
        <f t="shared" si="12"/>
        <v>0</v>
      </c>
      <c r="K49" s="18"/>
      <c r="L49" s="18"/>
      <c r="M49" s="18"/>
      <c r="N49" s="18"/>
    </row>
    <row r="50" spans="1:14" s="20" customFormat="1" ht="15" customHeight="1">
      <c r="A50" s="256"/>
      <c r="B50" s="26"/>
      <c r="C50" s="268"/>
      <c r="D50" s="256" t="s">
        <v>657</v>
      </c>
      <c r="E50" s="256"/>
      <c r="F50" s="256"/>
      <c r="G50" s="256"/>
      <c r="H50" s="271"/>
      <c r="I50" s="270"/>
      <c r="K50"/>
      <c r="L50"/>
      <c r="M50"/>
      <c r="N50"/>
    </row>
    <row r="51" spans="1:14" s="21" customFormat="1" ht="14.4">
      <c r="A51" s="41">
        <v>0.5</v>
      </c>
      <c r="B51" s="27"/>
      <c r="C51" s="512">
        <f t="shared" si="0"/>
        <v>0</v>
      </c>
      <c r="D51" s="7" t="s">
        <v>658</v>
      </c>
      <c r="E51" s="8">
        <v>9</v>
      </c>
      <c r="F51" s="9">
        <v>4</v>
      </c>
      <c r="G51" s="8">
        <f t="shared" ref="G51:G60" si="13">E51/F51</f>
        <v>2.25</v>
      </c>
      <c r="H51" s="8">
        <f t="shared" ref="H51:H60" si="14">IF(C51&gt;0,-PMT($H$3,F51,E51)-G51,0)</f>
        <v>0</v>
      </c>
      <c r="I51" s="35">
        <f t="shared" ref="I51:I60" si="15">C51*(G51+H51)</f>
        <v>0</v>
      </c>
      <c r="K51" s="18"/>
      <c r="L51" s="18"/>
      <c r="M51" s="18"/>
      <c r="N51" s="18"/>
    </row>
    <row r="52" spans="1:14" s="21" customFormat="1" ht="14.4">
      <c r="A52" s="41">
        <v>0.5</v>
      </c>
      <c r="B52" s="27"/>
      <c r="C52" s="512">
        <f t="shared" si="0"/>
        <v>0</v>
      </c>
      <c r="D52" s="7" t="s">
        <v>659</v>
      </c>
      <c r="E52" s="8">
        <v>12</v>
      </c>
      <c r="F52" s="9">
        <v>4</v>
      </c>
      <c r="G52" s="8">
        <f t="shared" si="13"/>
        <v>3</v>
      </c>
      <c r="H52" s="8">
        <f t="shared" si="14"/>
        <v>0</v>
      </c>
      <c r="I52" s="35">
        <f t="shared" si="15"/>
        <v>0</v>
      </c>
      <c r="K52" s="18"/>
      <c r="L52" s="18"/>
      <c r="M52" s="18"/>
      <c r="N52" s="18"/>
    </row>
    <row r="53" spans="1:14" s="21" customFormat="1" ht="14.4">
      <c r="A53" s="41">
        <v>0.5</v>
      </c>
      <c r="B53" s="27"/>
      <c r="C53" s="512">
        <f t="shared" si="0"/>
        <v>0</v>
      </c>
      <c r="D53" s="7" t="s">
        <v>660</v>
      </c>
      <c r="E53" s="8">
        <v>12</v>
      </c>
      <c r="F53" s="9">
        <v>4</v>
      </c>
      <c r="G53" s="8">
        <f t="shared" si="13"/>
        <v>3</v>
      </c>
      <c r="H53" s="8">
        <f t="shared" si="14"/>
        <v>0</v>
      </c>
      <c r="I53" s="35">
        <f t="shared" si="15"/>
        <v>0</v>
      </c>
      <c r="K53" s="18"/>
      <c r="L53" s="18"/>
      <c r="M53" s="18"/>
      <c r="N53" s="18"/>
    </row>
    <row r="54" spans="1:14" s="21" customFormat="1" ht="14.4">
      <c r="A54" s="41">
        <v>1</v>
      </c>
      <c r="B54" s="27"/>
      <c r="C54" s="512">
        <f t="shared" si="0"/>
        <v>0</v>
      </c>
      <c r="D54" s="7" t="s">
        <v>661</v>
      </c>
      <c r="E54" s="8">
        <v>18</v>
      </c>
      <c r="F54" s="9">
        <v>4</v>
      </c>
      <c r="G54" s="8">
        <f t="shared" si="13"/>
        <v>4.5</v>
      </c>
      <c r="H54" s="8">
        <f t="shared" si="14"/>
        <v>0</v>
      </c>
      <c r="I54" s="35">
        <f t="shared" si="15"/>
        <v>0</v>
      </c>
      <c r="K54" s="18"/>
      <c r="L54" s="18"/>
      <c r="M54" s="18"/>
      <c r="N54" s="18"/>
    </row>
    <row r="55" spans="1:14" s="21" customFormat="1" ht="14.4">
      <c r="A55" s="41">
        <v>1</v>
      </c>
      <c r="B55" s="27"/>
      <c r="C55" s="512">
        <f t="shared" si="0"/>
        <v>0</v>
      </c>
      <c r="D55" s="7" t="s">
        <v>662</v>
      </c>
      <c r="E55" s="8">
        <v>4</v>
      </c>
      <c r="F55" s="9">
        <v>4</v>
      </c>
      <c r="G55" s="8">
        <f t="shared" si="13"/>
        <v>1</v>
      </c>
      <c r="H55" s="8">
        <f t="shared" si="14"/>
        <v>0</v>
      </c>
      <c r="I55" s="35">
        <f t="shared" si="15"/>
        <v>0</v>
      </c>
      <c r="K55" s="18"/>
      <c r="L55" s="18"/>
      <c r="M55" s="18"/>
      <c r="N55" s="18"/>
    </row>
    <row r="56" spans="1:14" s="21" customFormat="1" ht="14.4">
      <c r="A56" s="41">
        <v>1</v>
      </c>
      <c r="B56" s="27"/>
      <c r="C56" s="512">
        <f t="shared" si="0"/>
        <v>0</v>
      </c>
      <c r="D56" s="7" t="s">
        <v>663</v>
      </c>
      <c r="E56" s="8">
        <v>4</v>
      </c>
      <c r="F56" s="9">
        <v>4</v>
      </c>
      <c r="G56" s="8">
        <f t="shared" si="13"/>
        <v>1</v>
      </c>
      <c r="H56" s="8">
        <f t="shared" si="14"/>
        <v>0</v>
      </c>
      <c r="I56" s="35">
        <f t="shared" si="15"/>
        <v>0</v>
      </c>
      <c r="K56" s="18"/>
      <c r="L56" s="18"/>
      <c r="M56" s="18"/>
      <c r="N56" s="18"/>
    </row>
    <row r="57" spans="1:14" s="21" customFormat="1" ht="14.4">
      <c r="A57" s="41">
        <v>1</v>
      </c>
      <c r="B57" s="27"/>
      <c r="C57" s="512">
        <f t="shared" si="0"/>
        <v>0</v>
      </c>
      <c r="D57" s="7" t="s">
        <v>664</v>
      </c>
      <c r="E57" s="8">
        <v>6</v>
      </c>
      <c r="F57" s="9">
        <v>4</v>
      </c>
      <c r="G57" s="8">
        <f t="shared" si="13"/>
        <v>1.5</v>
      </c>
      <c r="H57" s="8">
        <f t="shared" si="14"/>
        <v>0</v>
      </c>
      <c r="I57" s="35">
        <f t="shared" si="15"/>
        <v>0</v>
      </c>
      <c r="K57" s="18"/>
      <c r="L57" s="18"/>
      <c r="M57" s="18"/>
      <c r="N57" s="18"/>
    </row>
    <row r="58" spans="1:14" s="21" customFormat="1" ht="14.4">
      <c r="A58" s="41">
        <v>1</v>
      </c>
      <c r="B58" s="27"/>
      <c r="C58" s="512">
        <f t="shared" si="0"/>
        <v>0</v>
      </c>
      <c r="D58" s="7" t="s">
        <v>665</v>
      </c>
      <c r="E58" s="8">
        <v>10</v>
      </c>
      <c r="F58" s="9">
        <v>4</v>
      </c>
      <c r="G58" s="8">
        <f t="shared" si="13"/>
        <v>2.5</v>
      </c>
      <c r="H58" s="8">
        <f t="shared" si="14"/>
        <v>0</v>
      </c>
      <c r="I58" s="35">
        <f t="shared" si="15"/>
        <v>0</v>
      </c>
      <c r="K58" s="18"/>
      <c r="L58" s="18"/>
      <c r="M58" s="18"/>
      <c r="N58" s="18"/>
    </row>
    <row r="59" spans="1:14" s="21" customFormat="1" ht="14.4">
      <c r="A59" s="41">
        <v>0.5</v>
      </c>
      <c r="B59" s="27"/>
      <c r="C59" s="512">
        <f t="shared" si="0"/>
        <v>0</v>
      </c>
      <c r="D59" s="7" t="s">
        <v>666</v>
      </c>
      <c r="E59" s="8">
        <v>4</v>
      </c>
      <c r="F59" s="9">
        <v>4</v>
      </c>
      <c r="G59" s="8">
        <f t="shared" si="13"/>
        <v>1</v>
      </c>
      <c r="H59" s="8">
        <f t="shared" si="14"/>
        <v>0</v>
      </c>
      <c r="I59" s="35">
        <f t="shared" si="15"/>
        <v>0</v>
      </c>
      <c r="K59" s="18"/>
      <c r="L59" s="18"/>
      <c r="M59" s="18"/>
      <c r="N59" s="18"/>
    </row>
    <row r="60" spans="1:14" s="21" customFormat="1" ht="14.4">
      <c r="A60" s="41">
        <v>1</v>
      </c>
      <c r="B60" s="27"/>
      <c r="C60" s="512">
        <f t="shared" si="0"/>
        <v>0</v>
      </c>
      <c r="D60" s="7" t="s">
        <v>667</v>
      </c>
      <c r="E60" s="8">
        <v>185</v>
      </c>
      <c r="F60" s="9">
        <v>4</v>
      </c>
      <c r="G60" s="8">
        <f t="shared" si="13"/>
        <v>46.25</v>
      </c>
      <c r="H60" s="8">
        <f t="shared" si="14"/>
        <v>0</v>
      </c>
      <c r="I60" s="35">
        <f t="shared" si="15"/>
        <v>0</v>
      </c>
      <c r="K60" s="18"/>
      <c r="L60" s="18"/>
      <c r="M60" s="18"/>
      <c r="N60" s="18"/>
    </row>
    <row r="61" spans="1:14" s="20" customFormat="1" ht="16.2" customHeight="1">
      <c r="A61" s="256"/>
      <c r="B61" s="26"/>
      <c r="C61" s="268"/>
      <c r="D61" s="256" t="s">
        <v>668</v>
      </c>
      <c r="E61" s="256"/>
      <c r="F61" s="256"/>
      <c r="G61" s="256"/>
      <c r="H61" s="271"/>
      <c r="I61" s="270"/>
      <c r="K61"/>
      <c r="L61"/>
      <c r="M61"/>
      <c r="N61"/>
    </row>
    <row r="62" spans="1:14" s="21" customFormat="1" ht="12.75" customHeight="1">
      <c r="A62" s="41">
        <v>0.5</v>
      </c>
      <c r="B62" s="27"/>
      <c r="C62" s="512">
        <f t="shared" si="0"/>
        <v>0</v>
      </c>
      <c r="D62" s="7" t="s">
        <v>669</v>
      </c>
      <c r="E62" s="8">
        <v>18</v>
      </c>
      <c r="F62" s="9">
        <v>4</v>
      </c>
      <c r="G62" s="8">
        <f t="shared" ref="G62:G89" si="16">E62/F62</f>
        <v>4.5</v>
      </c>
      <c r="H62" s="8">
        <f t="shared" ref="H62:H89" si="17">IF(C62&gt;0,-PMT($H$3,F62,E62)-G62,0)</f>
        <v>0</v>
      </c>
      <c r="I62" s="35">
        <f t="shared" ref="I62:I89" si="18">C62*(G62+H62)</f>
        <v>0</v>
      </c>
      <c r="K62" s="18"/>
      <c r="L62" s="18"/>
      <c r="M62" s="18"/>
      <c r="N62" s="18"/>
    </row>
    <row r="63" spans="1:14" s="21" customFormat="1" ht="13.95" customHeight="1">
      <c r="A63" s="41">
        <v>0.5</v>
      </c>
      <c r="B63" s="27"/>
      <c r="C63" s="512">
        <f t="shared" si="0"/>
        <v>0</v>
      </c>
      <c r="D63" s="7" t="s">
        <v>670</v>
      </c>
      <c r="E63" s="8">
        <v>249</v>
      </c>
      <c r="F63" s="9">
        <v>4</v>
      </c>
      <c r="G63" s="8">
        <f t="shared" si="16"/>
        <v>62.25</v>
      </c>
      <c r="H63" s="8">
        <f t="shared" si="17"/>
        <v>0</v>
      </c>
      <c r="I63" s="35">
        <f t="shared" si="18"/>
        <v>0</v>
      </c>
      <c r="K63" s="18"/>
      <c r="L63" s="18"/>
      <c r="M63" s="18"/>
      <c r="N63" s="18"/>
    </row>
    <row r="64" spans="1:14" s="21" customFormat="1" ht="14.4">
      <c r="A64" s="41">
        <v>4</v>
      </c>
      <c r="B64" s="27"/>
      <c r="C64" s="512">
        <f t="shared" si="0"/>
        <v>0</v>
      </c>
      <c r="D64" s="7" t="s">
        <v>671</v>
      </c>
      <c r="E64" s="8">
        <v>6</v>
      </c>
      <c r="F64" s="9">
        <v>4</v>
      </c>
      <c r="G64" s="8">
        <f t="shared" si="16"/>
        <v>1.5</v>
      </c>
      <c r="H64" s="8">
        <f t="shared" si="17"/>
        <v>0</v>
      </c>
      <c r="I64" s="35">
        <f t="shared" si="18"/>
        <v>0</v>
      </c>
      <c r="K64" s="18"/>
      <c r="L64" s="18"/>
      <c r="M64" s="18"/>
      <c r="N64" s="18"/>
    </row>
    <row r="65" spans="1:14" s="21" customFormat="1" ht="14.4">
      <c r="A65" s="41">
        <v>2</v>
      </c>
      <c r="B65" s="27"/>
      <c r="C65" s="512">
        <f t="shared" si="0"/>
        <v>0</v>
      </c>
      <c r="D65" s="7" t="s">
        <v>672</v>
      </c>
      <c r="E65" s="8">
        <v>6</v>
      </c>
      <c r="F65" s="9">
        <v>4</v>
      </c>
      <c r="G65" s="8">
        <f t="shared" si="16"/>
        <v>1.5</v>
      </c>
      <c r="H65" s="8">
        <f t="shared" si="17"/>
        <v>0</v>
      </c>
      <c r="I65" s="35">
        <f t="shared" si="18"/>
        <v>0</v>
      </c>
      <c r="K65" s="18"/>
      <c r="L65" s="18"/>
      <c r="M65" s="18"/>
      <c r="N65" s="18"/>
    </row>
    <row r="66" spans="1:14" s="21" customFormat="1" ht="12.6" customHeight="1">
      <c r="A66" s="41">
        <v>1</v>
      </c>
      <c r="B66" s="27"/>
      <c r="C66" s="512">
        <f t="shared" si="0"/>
        <v>0</v>
      </c>
      <c r="D66" s="7" t="s">
        <v>673</v>
      </c>
      <c r="E66" s="8">
        <v>8</v>
      </c>
      <c r="F66" s="9">
        <v>4</v>
      </c>
      <c r="G66" s="8">
        <f t="shared" si="16"/>
        <v>2</v>
      </c>
      <c r="H66" s="8">
        <f t="shared" si="17"/>
        <v>0</v>
      </c>
      <c r="I66" s="35">
        <f t="shared" si="18"/>
        <v>0</v>
      </c>
      <c r="K66" s="18"/>
      <c r="L66" s="18"/>
      <c r="M66" s="18"/>
      <c r="N66" s="18"/>
    </row>
    <row r="67" spans="1:14" s="21" customFormat="1" ht="14.4">
      <c r="A67" s="41">
        <v>3</v>
      </c>
      <c r="B67" s="27"/>
      <c r="C67" s="512">
        <f t="shared" si="0"/>
        <v>0</v>
      </c>
      <c r="D67" s="7" t="s">
        <v>674</v>
      </c>
      <c r="E67" s="8">
        <v>6</v>
      </c>
      <c r="F67" s="9">
        <v>4</v>
      </c>
      <c r="G67" s="8">
        <f t="shared" si="16"/>
        <v>1.5</v>
      </c>
      <c r="H67" s="8">
        <f t="shared" si="17"/>
        <v>0</v>
      </c>
      <c r="I67" s="35">
        <f t="shared" si="18"/>
        <v>0</v>
      </c>
      <c r="K67" s="18"/>
      <c r="L67" s="18"/>
      <c r="M67" s="18"/>
      <c r="N67" s="18"/>
    </row>
    <row r="68" spans="1:14" s="21" customFormat="1" ht="14.4">
      <c r="A68" s="41">
        <v>2</v>
      </c>
      <c r="B68" s="27"/>
      <c r="C68" s="512">
        <f t="shared" si="0"/>
        <v>0</v>
      </c>
      <c r="D68" s="7" t="s">
        <v>675</v>
      </c>
      <c r="E68" s="8">
        <v>12</v>
      </c>
      <c r="F68" s="9">
        <v>4</v>
      </c>
      <c r="G68" s="8">
        <f t="shared" si="16"/>
        <v>3</v>
      </c>
      <c r="H68" s="8">
        <f t="shared" si="17"/>
        <v>0</v>
      </c>
      <c r="I68" s="35">
        <f t="shared" si="18"/>
        <v>0</v>
      </c>
      <c r="K68" s="18"/>
      <c r="L68" s="18"/>
      <c r="M68" s="18"/>
      <c r="N68" s="18"/>
    </row>
    <row r="69" spans="1:14" s="21" customFormat="1" ht="14.4">
      <c r="A69" s="41">
        <v>2</v>
      </c>
      <c r="B69" s="27"/>
      <c r="C69" s="512">
        <f t="shared" ref="C69:C89" si="19">ROUND(+M$4*A69/10,0)</f>
        <v>0</v>
      </c>
      <c r="D69" s="7" t="s">
        <v>676</v>
      </c>
      <c r="E69" s="8">
        <v>23</v>
      </c>
      <c r="F69" s="9">
        <v>4</v>
      </c>
      <c r="G69" s="8">
        <f t="shared" si="16"/>
        <v>5.75</v>
      </c>
      <c r="H69" s="8">
        <f t="shared" si="17"/>
        <v>0</v>
      </c>
      <c r="I69" s="35">
        <f t="shared" si="18"/>
        <v>0</v>
      </c>
      <c r="K69" s="18"/>
      <c r="L69" s="18"/>
      <c r="M69" s="18"/>
      <c r="N69" s="18"/>
    </row>
    <row r="70" spans="1:14" s="21" customFormat="1" ht="14.4">
      <c r="A70" s="41">
        <v>0.5</v>
      </c>
      <c r="B70" s="27"/>
      <c r="C70" s="512">
        <f t="shared" si="19"/>
        <v>0</v>
      </c>
      <c r="D70" s="7" t="s">
        <v>677</v>
      </c>
      <c r="E70" s="8">
        <v>8</v>
      </c>
      <c r="F70" s="9">
        <v>4</v>
      </c>
      <c r="G70" s="8">
        <f t="shared" si="16"/>
        <v>2</v>
      </c>
      <c r="H70" s="8">
        <f t="shared" si="17"/>
        <v>0</v>
      </c>
      <c r="I70" s="35">
        <f t="shared" si="18"/>
        <v>0</v>
      </c>
      <c r="K70" s="18"/>
      <c r="L70" s="18"/>
      <c r="M70" s="18"/>
      <c r="N70" s="18"/>
    </row>
    <row r="71" spans="1:14" s="21" customFormat="1" ht="14.4">
      <c r="A71" s="41">
        <v>2</v>
      </c>
      <c r="B71" s="27"/>
      <c r="C71" s="512">
        <f t="shared" si="19"/>
        <v>0</v>
      </c>
      <c r="D71" s="7" t="s">
        <v>678</v>
      </c>
      <c r="E71" s="8">
        <v>12</v>
      </c>
      <c r="F71" s="9">
        <v>4</v>
      </c>
      <c r="G71" s="8">
        <f t="shared" si="16"/>
        <v>3</v>
      </c>
      <c r="H71" s="8">
        <f t="shared" si="17"/>
        <v>0</v>
      </c>
      <c r="I71" s="35">
        <f t="shared" si="18"/>
        <v>0</v>
      </c>
      <c r="K71" s="18"/>
      <c r="L71" s="18"/>
      <c r="M71" s="18"/>
      <c r="N71" s="18"/>
    </row>
    <row r="72" spans="1:14" s="21" customFormat="1" ht="14.4">
      <c r="A72" s="41">
        <v>1</v>
      </c>
      <c r="B72" s="27"/>
      <c r="C72" s="512">
        <f t="shared" si="19"/>
        <v>0</v>
      </c>
      <c r="D72" s="7" t="s">
        <v>679</v>
      </c>
      <c r="E72" s="8">
        <v>15</v>
      </c>
      <c r="F72" s="9">
        <v>4</v>
      </c>
      <c r="G72" s="8">
        <f t="shared" si="16"/>
        <v>3.75</v>
      </c>
      <c r="H72" s="8">
        <f t="shared" si="17"/>
        <v>0</v>
      </c>
      <c r="I72" s="35">
        <f t="shared" si="18"/>
        <v>0</v>
      </c>
      <c r="K72" s="18"/>
      <c r="L72" s="18"/>
      <c r="M72" s="18"/>
      <c r="N72" s="18"/>
    </row>
    <row r="73" spans="1:14" s="21" customFormat="1" ht="14.4">
      <c r="A73" s="41">
        <v>1</v>
      </c>
      <c r="B73" s="27"/>
      <c r="C73" s="512">
        <f t="shared" si="19"/>
        <v>0</v>
      </c>
      <c r="D73" s="7" t="s">
        <v>680</v>
      </c>
      <c r="E73" s="8">
        <v>28</v>
      </c>
      <c r="F73" s="9">
        <v>4</v>
      </c>
      <c r="G73" s="8">
        <f t="shared" si="16"/>
        <v>7</v>
      </c>
      <c r="H73" s="8">
        <f t="shared" si="17"/>
        <v>0</v>
      </c>
      <c r="I73" s="35">
        <f t="shared" si="18"/>
        <v>0</v>
      </c>
      <c r="K73" s="18"/>
      <c r="L73" s="18"/>
      <c r="M73" s="18"/>
      <c r="N73" s="18"/>
    </row>
    <row r="74" spans="1:14" s="21" customFormat="1" ht="14.4">
      <c r="A74" s="41">
        <v>2</v>
      </c>
      <c r="B74" s="27"/>
      <c r="C74" s="512">
        <f t="shared" si="19"/>
        <v>0</v>
      </c>
      <c r="D74" s="7" t="s">
        <v>681</v>
      </c>
      <c r="E74" s="8">
        <v>17</v>
      </c>
      <c r="F74" s="9">
        <v>4</v>
      </c>
      <c r="G74" s="8">
        <f t="shared" si="16"/>
        <v>4.25</v>
      </c>
      <c r="H74" s="8">
        <f t="shared" si="17"/>
        <v>0</v>
      </c>
      <c r="I74" s="35">
        <f t="shared" si="18"/>
        <v>0</v>
      </c>
      <c r="K74" s="18"/>
      <c r="L74" s="18"/>
      <c r="M74" s="18"/>
      <c r="N74" s="18"/>
    </row>
    <row r="75" spans="1:14" s="21" customFormat="1" ht="14.4">
      <c r="A75" s="41">
        <v>1</v>
      </c>
      <c r="B75" s="27"/>
      <c r="C75" s="512">
        <f t="shared" si="19"/>
        <v>0</v>
      </c>
      <c r="D75" s="7" t="s">
        <v>682</v>
      </c>
      <c r="E75" s="8">
        <v>9</v>
      </c>
      <c r="F75" s="9">
        <v>4</v>
      </c>
      <c r="G75" s="8">
        <f t="shared" si="16"/>
        <v>2.25</v>
      </c>
      <c r="H75" s="8">
        <f t="shared" si="17"/>
        <v>0</v>
      </c>
      <c r="I75" s="35">
        <f t="shared" si="18"/>
        <v>0</v>
      </c>
      <c r="K75" s="18"/>
      <c r="L75" s="18"/>
      <c r="M75" s="18"/>
      <c r="N75" s="18"/>
    </row>
    <row r="76" spans="1:14" s="21" customFormat="1" ht="14.4">
      <c r="A76" s="41">
        <v>2</v>
      </c>
      <c r="B76" s="27"/>
      <c r="C76" s="512">
        <f t="shared" si="19"/>
        <v>0</v>
      </c>
      <c r="D76" s="7" t="s">
        <v>683</v>
      </c>
      <c r="E76" s="8">
        <v>1</v>
      </c>
      <c r="F76" s="9">
        <v>4</v>
      </c>
      <c r="G76" s="8">
        <f t="shared" si="16"/>
        <v>0.25</v>
      </c>
      <c r="H76" s="8">
        <f t="shared" si="17"/>
        <v>0</v>
      </c>
      <c r="I76" s="35">
        <f t="shared" si="18"/>
        <v>0</v>
      </c>
      <c r="K76" s="18"/>
      <c r="L76" s="18"/>
      <c r="M76" s="18"/>
      <c r="N76" s="18"/>
    </row>
    <row r="77" spans="1:14" s="21" customFormat="1" ht="14.4">
      <c r="A77" s="41">
        <v>2</v>
      </c>
      <c r="B77" s="27"/>
      <c r="C77" s="512">
        <f t="shared" si="19"/>
        <v>0</v>
      </c>
      <c r="D77" s="7" t="s">
        <v>684</v>
      </c>
      <c r="E77" s="8">
        <v>4</v>
      </c>
      <c r="F77" s="9">
        <v>4</v>
      </c>
      <c r="G77" s="8">
        <f t="shared" si="16"/>
        <v>1</v>
      </c>
      <c r="H77" s="8">
        <f t="shared" si="17"/>
        <v>0</v>
      </c>
      <c r="I77" s="35">
        <f t="shared" si="18"/>
        <v>0</v>
      </c>
      <c r="K77" s="18"/>
      <c r="L77" s="18"/>
      <c r="M77" s="18"/>
      <c r="N77" s="18"/>
    </row>
    <row r="78" spans="1:14" s="21" customFormat="1" ht="14.4">
      <c r="A78" s="41">
        <v>1</v>
      </c>
      <c r="B78" s="27"/>
      <c r="C78" s="512">
        <f t="shared" si="19"/>
        <v>0</v>
      </c>
      <c r="D78" s="7" t="s">
        <v>685</v>
      </c>
      <c r="E78" s="8">
        <v>45</v>
      </c>
      <c r="F78" s="9">
        <v>4</v>
      </c>
      <c r="G78" s="8">
        <f t="shared" si="16"/>
        <v>11.25</v>
      </c>
      <c r="H78" s="8">
        <f t="shared" si="17"/>
        <v>0</v>
      </c>
      <c r="I78" s="35">
        <f t="shared" si="18"/>
        <v>0</v>
      </c>
      <c r="K78" s="18"/>
      <c r="L78" s="18"/>
      <c r="M78" s="18"/>
      <c r="N78" s="18"/>
    </row>
    <row r="79" spans="1:14" s="21" customFormat="1" ht="14.4">
      <c r="A79" s="41">
        <v>1</v>
      </c>
      <c r="B79" s="27"/>
      <c r="C79" s="512">
        <f t="shared" si="19"/>
        <v>0</v>
      </c>
      <c r="D79" s="7" t="s">
        <v>686</v>
      </c>
      <c r="E79" s="8">
        <v>35</v>
      </c>
      <c r="F79" s="9">
        <v>4</v>
      </c>
      <c r="G79" s="8">
        <f t="shared" si="16"/>
        <v>8.75</v>
      </c>
      <c r="H79" s="8">
        <f t="shared" si="17"/>
        <v>0</v>
      </c>
      <c r="I79" s="35">
        <f t="shared" si="18"/>
        <v>0</v>
      </c>
      <c r="K79" s="18"/>
      <c r="L79" s="18"/>
      <c r="M79" s="18"/>
      <c r="N79" s="18"/>
    </row>
    <row r="80" spans="1:14" s="21" customFormat="1" ht="14.4">
      <c r="A80" s="41">
        <v>1</v>
      </c>
      <c r="B80" s="27"/>
      <c r="C80" s="512">
        <f t="shared" si="19"/>
        <v>0</v>
      </c>
      <c r="D80" s="7" t="s">
        <v>687</v>
      </c>
      <c r="E80" s="8">
        <v>40</v>
      </c>
      <c r="F80" s="9">
        <v>4</v>
      </c>
      <c r="G80" s="8">
        <f t="shared" si="16"/>
        <v>10</v>
      </c>
      <c r="H80" s="8">
        <f t="shared" si="17"/>
        <v>0</v>
      </c>
      <c r="I80" s="35">
        <f t="shared" si="18"/>
        <v>0</v>
      </c>
      <c r="K80" s="18"/>
      <c r="L80" s="18"/>
      <c r="M80" s="18"/>
      <c r="N80" s="18"/>
    </row>
    <row r="81" spans="1:14" s="21" customFormat="1" ht="12" customHeight="1">
      <c r="A81" s="41">
        <v>1</v>
      </c>
      <c r="B81" s="27"/>
      <c r="C81" s="512">
        <f t="shared" si="19"/>
        <v>0</v>
      </c>
      <c r="D81" s="7" t="s">
        <v>688</v>
      </c>
      <c r="E81" s="8">
        <v>30</v>
      </c>
      <c r="F81" s="9">
        <v>4</v>
      </c>
      <c r="G81" s="8">
        <f t="shared" si="16"/>
        <v>7.5</v>
      </c>
      <c r="H81" s="8">
        <f t="shared" si="17"/>
        <v>0</v>
      </c>
      <c r="I81" s="35">
        <f t="shared" si="18"/>
        <v>0</v>
      </c>
      <c r="K81" s="18"/>
      <c r="L81" s="18"/>
      <c r="M81" s="18"/>
      <c r="N81" s="18"/>
    </row>
    <row r="82" spans="1:14" s="21" customFormat="1" ht="14.4">
      <c r="A82" s="41">
        <v>1</v>
      </c>
      <c r="B82" s="27"/>
      <c r="C82" s="512">
        <f t="shared" si="19"/>
        <v>0</v>
      </c>
      <c r="D82" s="7" t="s">
        <v>689</v>
      </c>
      <c r="E82" s="8">
        <v>5.7</v>
      </c>
      <c r="F82" s="9">
        <v>4</v>
      </c>
      <c r="G82" s="8">
        <f t="shared" si="16"/>
        <v>1.425</v>
      </c>
      <c r="H82" s="8">
        <f t="shared" si="17"/>
        <v>0</v>
      </c>
      <c r="I82" s="35">
        <f t="shared" si="18"/>
        <v>0</v>
      </c>
      <c r="K82" s="18"/>
      <c r="L82" s="18"/>
      <c r="M82" s="18"/>
      <c r="N82" s="18"/>
    </row>
    <row r="83" spans="1:14" s="21" customFormat="1" ht="14.4">
      <c r="A83" s="41">
        <v>1</v>
      </c>
      <c r="B83" s="27"/>
      <c r="C83" s="512">
        <f t="shared" si="19"/>
        <v>0</v>
      </c>
      <c r="D83" s="7" t="s">
        <v>690</v>
      </c>
      <c r="E83" s="8">
        <v>17.489999999999998</v>
      </c>
      <c r="F83" s="9">
        <v>4</v>
      </c>
      <c r="G83" s="8">
        <f t="shared" si="16"/>
        <v>4.3724999999999996</v>
      </c>
      <c r="H83" s="8">
        <f t="shared" si="17"/>
        <v>0</v>
      </c>
      <c r="I83" s="35">
        <f t="shared" si="18"/>
        <v>0</v>
      </c>
      <c r="K83" s="18"/>
      <c r="L83" s="18"/>
      <c r="M83" s="18"/>
      <c r="N83" s="18"/>
    </row>
    <row r="84" spans="1:14" s="21" customFormat="1" ht="14.4">
      <c r="A84" s="41">
        <v>1</v>
      </c>
      <c r="B84" s="27"/>
      <c r="C84" s="512">
        <f t="shared" si="19"/>
        <v>0</v>
      </c>
      <c r="D84" s="7" t="s">
        <v>691</v>
      </c>
      <c r="E84" s="8">
        <v>1.95</v>
      </c>
      <c r="F84" s="9">
        <v>4</v>
      </c>
      <c r="G84" s="8">
        <f t="shared" si="16"/>
        <v>0.48749999999999999</v>
      </c>
      <c r="H84" s="8">
        <f t="shared" si="17"/>
        <v>0</v>
      </c>
      <c r="I84" s="35">
        <f t="shared" si="18"/>
        <v>0</v>
      </c>
      <c r="K84" s="18"/>
      <c r="L84" s="18"/>
      <c r="M84" s="18"/>
      <c r="N84" s="18"/>
    </row>
    <row r="85" spans="1:14" s="21" customFormat="1" ht="14.4">
      <c r="A85" s="41">
        <v>1</v>
      </c>
      <c r="B85" s="27"/>
      <c r="C85" s="512">
        <f t="shared" si="19"/>
        <v>0</v>
      </c>
      <c r="D85" s="7" t="s">
        <v>692</v>
      </c>
      <c r="E85" s="8">
        <v>10.220000000000001</v>
      </c>
      <c r="F85" s="9">
        <v>4</v>
      </c>
      <c r="G85" s="8">
        <f t="shared" si="16"/>
        <v>2.5550000000000002</v>
      </c>
      <c r="H85" s="8">
        <f t="shared" si="17"/>
        <v>0</v>
      </c>
      <c r="I85" s="35">
        <f t="shared" si="18"/>
        <v>0</v>
      </c>
      <c r="K85" s="18"/>
      <c r="L85" s="18"/>
      <c r="M85" s="18"/>
      <c r="N85" s="18"/>
    </row>
    <row r="86" spans="1:14" s="21" customFormat="1" ht="14.4">
      <c r="A86" s="41">
        <v>1</v>
      </c>
      <c r="B86" s="27"/>
      <c r="C86" s="512">
        <f t="shared" si="19"/>
        <v>0</v>
      </c>
      <c r="D86" s="7" t="s">
        <v>693</v>
      </c>
      <c r="E86" s="8">
        <v>18</v>
      </c>
      <c r="F86" s="9">
        <v>4</v>
      </c>
      <c r="G86" s="8">
        <f t="shared" si="16"/>
        <v>4.5</v>
      </c>
      <c r="H86" s="8">
        <f t="shared" si="17"/>
        <v>0</v>
      </c>
      <c r="I86" s="35">
        <f t="shared" si="18"/>
        <v>0</v>
      </c>
      <c r="K86" s="18"/>
      <c r="L86" s="18"/>
      <c r="M86" s="18"/>
      <c r="N86" s="18"/>
    </row>
    <row r="87" spans="1:14" s="21" customFormat="1" ht="14.4">
      <c r="A87" s="41">
        <v>1</v>
      </c>
      <c r="B87" s="27"/>
      <c r="C87" s="512">
        <f t="shared" si="19"/>
        <v>0</v>
      </c>
      <c r="D87" s="7" t="s">
        <v>694</v>
      </c>
      <c r="E87" s="8">
        <v>95</v>
      </c>
      <c r="F87" s="9">
        <v>4</v>
      </c>
      <c r="G87" s="8">
        <f t="shared" si="16"/>
        <v>23.75</v>
      </c>
      <c r="H87" s="8">
        <f t="shared" si="17"/>
        <v>0</v>
      </c>
      <c r="I87" s="35">
        <f t="shared" si="18"/>
        <v>0</v>
      </c>
      <c r="K87" s="18"/>
      <c r="L87" s="18"/>
      <c r="M87" s="18"/>
      <c r="N87" s="18"/>
    </row>
    <row r="88" spans="1:14" s="21" customFormat="1" ht="14.4">
      <c r="A88" s="41">
        <v>2</v>
      </c>
      <c r="B88" s="27"/>
      <c r="C88" s="512">
        <f t="shared" si="19"/>
        <v>0</v>
      </c>
      <c r="D88" s="7" t="s">
        <v>695</v>
      </c>
      <c r="E88" s="8">
        <v>8.7100000000000009</v>
      </c>
      <c r="F88" s="9">
        <v>4</v>
      </c>
      <c r="G88" s="8">
        <f t="shared" si="16"/>
        <v>2.1775000000000002</v>
      </c>
      <c r="H88" s="8">
        <f t="shared" si="17"/>
        <v>0</v>
      </c>
      <c r="I88" s="35">
        <f t="shared" si="18"/>
        <v>0</v>
      </c>
      <c r="K88" s="18"/>
      <c r="L88" s="18"/>
      <c r="M88" s="18"/>
      <c r="N88" s="18"/>
    </row>
    <row r="89" spans="1:14" s="21" customFormat="1" ht="14.4">
      <c r="A89" s="41">
        <v>1</v>
      </c>
      <c r="B89" s="27"/>
      <c r="C89" s="512">
        <f t="shared" si="19"/>
        <v>0</v>
      </c>
      <c r="D89" s="7" t="s">
        <v>696</v>
      </c>
      <c r="E89" s="8">
        <v>9</v>
      </c>
      <c r="F89" s="9">
        <v>4</v>
      </c>
      <c r="G89" s="8">
        <f t="shared" si="16"/>
        <v>2.25</v>
      </c>
      <c r="H89" s="8">
        <f t="shared" si="17"/>
        <v>0</v>
      </c>
      <c r="I89" s="35">
        <f t="shared" si="18"/>
        <v>0</v>
      </c>
      <c r="K89" s="18"/>
      <c r="L89" s="18"/>
      <c r="M89" s="18"/>
      <c r="N89" s="18"/>
    </row>
    <row r="90" spans="1:14" s="20" customFormat="1" ht="15" customHeight="1">
      <c r="B90" s="26"/>
      <c r="C90" s="261"/>
      <c r="D90" s="262"/>
      <c r="E90" s="262"/>
      <c r="F90" s="263"/>
      <c r="G90" s="264" t="s">
        <v>51</v>
      </c>
      <c r="H90" s="264"/>
      <c r="I90" s="266">
        <f>SUM(I4:I89)</f>
        <v>0</v>
      </c>
      <c r="K90"/>
      <c r="L90"/>
      <c r="M90"/>
      <c r="N90"/>
    </row>
  </sheetData>
  <mergeCells count="1">
    <mergeCell ref="C1:I1"/>
  </mergeCells>
  <pageMargins left="0.70866141732283505" right="0.70866141732283505" top="0.74803149606299202" bottom="0.74803149606299202" header="0.31496062992126" footer="0.31496062992126"/>
  <pageSetup paperSize="9" scale="85" orientation="portrait"/>
  <rowBreaks count="1" manualBreakCount="1">
    <brk id="49" max="8" man="1"/>
  </rowBreaks>
  <colBreaks count="1" manualBreakCount="1">
    <brk id="9" max="1048575" man="1"/>
  </colBreak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499984740745262"/>
    <pageSetUpPr fitToPage="1"/>
  </sheetPr>
  <dimension ref="A1:Q515"/>
  <sheetViews>
    <sheetView showGridLines="0" workbookViewId="0">
      <selection activeCell="D10" sqref="D10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597" t="s">
        <v>697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57" t="s">
        <v>98</v>
      </c>
      <c r="C3" s="658"/>
      <c r="D3" s="235"/>
      <c r="E3" s="236"/>
      <c r="F3" s="236"/>
      <c r="G3" s="237"/>
      <c r="H3" s="235"/>
      <c r="I3" s="236"/>
      <c r="J3" s="236"/>
      <c r="K3" s="236"/>
      <c r="L3" s="237"/>
      <c r="M3" s="235"/>
      <c r="N3" s="603" t="s">
        <v>548</v>
      </c>
      <c r="O3" s="603"/>
      <c r="P3" s="603"/>
      <c r="Q3" s="604"/>
    </row>
    <row r="4" spans="2:17" ht="15" customHeight="1">
      <c r="B4" s="52" t="s">
        <v>698</v>
      </c>
      <c r="C4" s="535" t="s">
        <v>699</v>
      </c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754">
        <f>D.1_2_Locales_Inst!G11</f>
        <v>0</v>
      </c>
      <c r="O4" s="754"/>
      <c r="P4" s="754"/>
      <c r="Q4" s="754"/>
    </row>
    <row r="5" spans="2:17" ht="15" customHeight="1">
      <c r="B5" s="52" t="s">
        <v>700</v>
      </c>
      <c r="C5" s="535" t="s">
        <v>701</v>
      </c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754">
        <f>D.1_2_Locales_Inst!$G$25</f>
        <v>0</v>
      </c>
      <c r="O5" s="754"/>
      <c r="P5" s="754"/>
      <c r="Q5" s="754"/>
    </row>
    <row r="6" spans="2:17" ht="15" customHeight="1">
      <c r="B6" s="71" t="s">
        <v>702</v>
      </c>
      <c r="C6" s="71"/>
      <c r="D6" s="53"/>
      <c r="E6" s="54"/>
      <c r="F6" s="54"/>
      <c r="G6" s="54"/>
      <c r="H6" s="55"/>
      <c r="I6" s="55"/>
      <c r="J6" s="55"/>
      <c r="K6" s="55"/>
      <c r="L6" s="55"/>
      <c r="M6" s="55"/>
      <c r="N6" s="648">
        <f>N5+N4</f>
        <v>0</v>
      </c>
      <c r="O6" s="648"/>
      <c r="P6" s="648"/>
      <c r="Q6" s="648"/>
    </row>
    <row r="7" spans="2:17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72" t="s">
        <v>256</v>
      </c>
      <c r="D10" s="509">
        <f>'Caracteristicas Contrato'!E16</f>
        <v>0.05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2:17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2:17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2:17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2:17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</sheetData>
  <mergeCells count="8">
    <mergeCell ref="C5:M5"/>
    <mergeCell ref="N5:Q5"/>
    <mergeCell ref="N6:Q6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499984740745262"/>
    <pageSetUpPr fitToPage="1"/>
  </sheetPr>
  <dimension ref="A1:M516"/>
  <sheetViews>
    <sheetView showGridLines="0" zoomScale="80" zoomScaleNormal="80" workbookViewId="0">
      <selection activeCell="G20" sqref="G20"/>
    </sheetView>
  </sheetViews>
  <sheetFormatPr baseColWidth="10" defaultColWidth="11.44140625" defaultRowHeight="14.4"/>
  <cols>
    <col min="1" max="1" width="11.44140625" style="48"/>
    <col min="2" max="2" width="40.88671875" style="48" customWidth="1"/>
    <col min="3" max="6" width="11.44140625" style="48"/>
    <col min="7" max="7" width="12.5546875" style="48" customWidth="1"/>
    <col min="8" max="12" width="11.44140625" style="48"/>
    <col min="13" max="13" width="3.109375" style="46" customWidth="1"/>
    <col min="14" max="16" width="3.33203125" style="48" customWidth="1"/>
    <col min="17" max="16384" width="11.44140625" style="48"/>
  </cols>
  <sheetData>
    <row r="1" spans="1:7" ht="15" customHeight="1">
      <c r="A1" s="755" t="s">
        <v>703</v>
      </c>
      <c r="B1" s="756"/>
      <c r="C1" s="756"/>
      <c r="D1" s="756"/>
      <c r="E1" s="756"/>
      <c r="F1" s="756"/>
      <c r="G1" s="757"/>
    </row>
    <row r="2" spans="1:7" ht="43.2">
      <c r="A2" s="24" t="s">
        <v>557</v>
      </c>
      <c r="B2" s="6" t="s">
        <v>297</v>
      </c>
      <c r="C2" s="6" t="s">
        <v>704</v>
      </c>
      <c r="D2" s="6" t="s">
        <v>705</v>
      </c>
      <c r="E2" s="6" t="s">
        <v>706</v>
      </c>
      <c r="F2" s="6" t="s">
        <v>707</v>
      </c>
      <c r="G2" s="25" t="s">
        <v>562</v>
      </c>
    </row>
    <row r="3" spans="1:7" ht="15" customHeight="1">
      <c r="A3" s="268"/>
      <c r="B3" s="256"/>
      <c r="C3" s="256"/>
      <c r="D3" s="256"/>
      <c r="E3" s="256"/>
      <c r="F3" s="256"/>
      <c r="G3" s="270"/>
    </row>
    <row r="4" spans="1:7" ht="15" customHeight="1">
      <c r="A4" s="68">
        <v>0</v>
      </c>
      <c r="B4" s="7" t="s">
        <v>708</v>
      </c>
      <c r="C4" s="59">
        <v>1400</v>
      </c>
      <c r="D4" s="69">
        <v>5.35</v>
      </c>
      <c r="E4" s="8">
        <f>D4*C4</f>
        <v>7489.9999999999991</v>
      </c>
      <c r="F4" s="10">
        <v>12</v>
      </c>
      <c r="G4" s="35">
        <f>(F4*E4)*A4</f>
        <v>0</v>
      </c>
    </row>
    <row r="5" spans="1:7" ht="15" customHeight="1">
      <c r="A5" s="68">
        <v>0</v>
      </c>
      <c r="B5" s="7" t="s">
        <v>709</v>
      </c>
      <c r="C5" s="59">
        <v>80</v>
      </c>
      <c r="D5" s="69">
        <v>20</v>
      </c>
      <c r="E5" s="8">
        <f>D5*C5</f>
        <v>1600</v>
      </c>
      <c r="F5" s="10">
        <v>12</v>
      </c>
      <c r="G5" s="35">
        <f t="shared" ref="G5:G6" si="0">(F5*E5)*A5</f>
        <v>0</v>
      </c>
    </row>
    <row r="6" spans="1:7" s="46" customFormat="1" ht="15" customHeight="1">
      <c r="A6" s="68">
        <v>0</v>
      </c>
      <c r="B6" s="7" t="s">
        <v>710</v>
      </c>
      <c r="C6" s="59">
        <v>500</v>
      </c>
      <c r="D6" s="69">
        <v>4.8899999999999997</v>
      </c>
      <c r="E6" s="8">
        <f>D6*C6</f>
        <v>2445</v>
      </c>
      <c r="F6" s="10">
        <v>12</v>
      </c>
      <c r="G6" s="35">
        <f t="shared" si="0"/>
        <v>0</v>
      </c>
    </row>
    <row r="7" spans="1:7" s="46" customFormat="1" ht="15" customHeight="1">
      <c r="A7" s="57"/>
      <c r="B7" s="7"/>
      <c r="C7" s="8"/>
      <c r="D7" s="9"/>
      <c r="E7" s="8"/>
      <c r="F7" s="10"/>
      <c r="G7" s="35"/>
    </row>
    <row r="8" spans="1:7" s="46" customFormat="1" ht="15" customHeight="1">
      <c r="A8" s="57"/>
      <c r="B8" s="7"/>
      <c r="C8" s="8"/>
      <c r="D8" s="9"/>
      <c r="E8" s="8"/>
      <c r="F8" s="10"/>
      <c r="G8" s="35"/>
    </row>
    <row r="9" spans="1:7" s="46" customFormat="1" ht="15" customHeight="1">
      <c r="A9" s="57"/>
      <c r="B9" s="7"/>
      <c r="C9" s="8"/>
      <c r="D9" s="9"/>
      <c r="E9" s="8"/>
      <c r="F9" s="10"/>
      <c r="G9" s="35"/>
    </row>
    <row r="10" spans="1:7" s="46" customFormat="1" ht="15" customHeight="1">
      <c r="A10" s="57"/>
      <c r="B10" s="7"/>
      <c r="C10" s="8"/>
      <c r="D10" s="9"/>
      <c r="E10" s="8"/>
      <c r="F10" s="10"/>
      <c r="G10" s="35"/>
    </row>
    <row r="11" spans="1:7" s="46" customFormat="1" ht="15" customHeight="1">
      <c r="A11" s="261"/>
      <c r="B11" s="262"/>
      <c r="C11" s="262"/>
      <c r="D11" s="263"/>
      <c r="E11" s="264" t="s">
        <v>51</v>
      </c>
      <c r="F11" s="264"/>
      <c r="G11" s="266">
        <f>SUM(G4:G10)</f>
        <v>0</v>
      </c>
    </row>
    <row r="12" spans="1:7" s="46" customFormat="1" ht="15" customHeight="1"/>
    <row r="13" spans="1:7" s="46" customFormat="1" ht="15" customHeight="1"/>
    <row r="14" spans="1:7" s="46" customFormat="1" ht="15" customHeight="1"/>
    <row r="15" spans="1:7" s="46" customFormat="1" ht="15" customHeight="1"/>
    <row r="16" spans="1:7" s="46" customFormat="1" ht="15" customHeight="1">
      <c r="A16" s="755" t="s">
        <v>711</v>
      </c>
      <c r="B16" s="756"/>
      <c r="C16" s="756"/>
      <c r="D16" s="756"/>
      <c r="E16" s="756"/>
      <c r="F16" s="756"/>
      <c r="G16" s="757"/>
    </row>
    <row r="17" spans="1:7" s="46" customFormat="1" ht="43.2">
      <c r="A17" s="24" t="s">
        <v>557</v>
      </c>
      <c r="B17" s="6" t="s">
        <v>297</v>
      </c>
      <c r="C17" s="6" t="s">
        <v>558</v>
      </c>
      <c r="D17" s="6" t="s">
        <v>559</v>
      </c>
      <c r="E17" s="6" t="s">
        <v>560</v>
      </c>
      <c r="F17" s="6" t="s">
        <v>561</v>
      </c>
      <c r="G17" s="25" t="s">
        <v>562</v>
      </c>
    </row>
    <row r="18" spans="1:7" s="46" customFormat="1" ht="15" customHeight="1">
      <c r="A18" s="268"/>
      <c r="B18" s="256"/>
      <c r="C18" s="256"/>
      <c r="D18" s="256"/>
      <c r="E18" s="256"/>
      <c r="F18" s="267">
        <f>'D. Resumen Costes Locales e ins'!D10</f>
        <v>0.05</v>
      </c>
      <c r="G18" s="270"/>
    </row>
    <row r="19" spans="1:7" s="46" customFormat="1">
      <c r="A19" s="68">
        <v>0</v>
      </c>
      <c r="B19" s="70" t="s">
        <v>712</v>
      </c>
      <c r="C19" s="12">
        <v>35000</v>
      </c>
      <c r="D19" s="9">
        <v>4</v>
      </c>
      <c r="E19" s="8">
        <f>C19/D19</f>
        <v>8750</v>
      </c>
      <c r="F19" s="8">
        <f>IF(A19&gt;0,-PMT($F$18,D19,C19)-E19,0)</f>
        <v>0</v>
      </c>
      <c r="G19" s="35">
        <f>(E19+F19)*A19</f>
        <v>0</v>
      </c>
    </row>
    <row r="20" spans="1:7" s="46" customFormat="1">
      <c r="A20" s="68">
        <f t="shared" ref="A20:A21" si="1">A5</f>
        <v>0</v>
      </c>
      <c r="B20" s="70" t="s">
        <v>713</v>
      </c>
      <c r="C20" s="12">
        <v>12000</v>
      </c>
      <c r="D20" s="9">
        <v>4</v>
      </c>
      <c r="E20" s="8">
        <f t="shared" ref="E20:E21" si="2">C20/D20</f>
        <v>3000</v>
      </c>
      <c r="F20" s="8">
        <f t="shared" ref="F20:F21" si="3">IF(A20&gt;0,-PMT($F$18,D20,C20)-E20,0)</f>
        <v>0</v>
      </c>
      <c r="G20" s="35">
        <f t="shared" ref="G20:G21" si="4">(E20+F20)*A20</f>
        <v>0</v>
      </c>
    </row>
    <row r="21" spans="1:7" s="46" customFormat="1">
      <c r="A21" s="68">
        <f t="shared" si="1"/>
        <v>0</v>
      </c>
      <c r="B21" s="70" t="s">
        <v>714</v>
      </c>
      <c r="C21" s="12">
        <v>6500</v>
      </c>
      <c r="D21" s="9">
        <v>4</v>
      </c>
      <c r="E21" s="8">
        <f t="shared" si="2"/>
        <v>1625</v>
      </c>
      <c r="F21" s="8">
        <f t="shared" si="3"/>
        <v>0</v>
      </c>
      <c r="G21" s="35">
        <f t="shared" si="4"/>
        <v>0</v>
      </c>
    </row>
    <row r="22" spans="1:7" s="46" customFormat="1" ht="15" customHeight="1">
      <c r="A22" s="68">
        <v>0</v>
      </c>
      <c r="B22" s="70" t="s">
        <v>715</v>
      </c>
      <c r="C22" s="8"/>
      <c r="D22" s="9"/>
      <c r="E22" s="8"/>
      <c r="F22" s="10"/>
      <c r="G22" s="36">
        <v>0</v>
      </c>
    </row>
    <row r="23" spans="1:7" s="46" customFormat="1" ht="15" customHeight="1">
      <c r="A23" s="68">
        <v>0</v>
      </c>
      <c r="B23" s="70" t="s">
        <v>716</v>
      </c>
      <c r="C23" s="8"/>
      <c r="D23" s="9"/>
      <c r="E23" s="8"/>
      <c r="F23" s="10"/>
      <c r="G23" s="36">
        <v>0</v>
      </c>
    </row>
    <row r="24" spans="1:7" s="46" customFormat="1" ht="15" customHeight="1">
      <c r="A24" s="57"/>
      <c r="B24" s="70"/>
      <c r="C24" s="8"/>
      <c r="D24" s="9"/>
      <c r="E24" s="8"/>
      <c r="F24" s="10"/>
      <c r="G24" s="35"/>
    </row>
    <row r="25" spans="1:7" s="46" customFormat="1" ht="15" customHeight="1">
      <c r="A25" s="261"/>
      <c r="B25" s="262"/>
      <c r="C25" s="262"/>
      <c r="D25" s="263"/>
      <c r="E25" s="264" t="s">
        <v>51</v>
      </c>
      <c r="F25" s="264"/>
      <c r="G25" s="266">
        <f>SUM(G16:G24)</f>
        <v>0</v>
      </c>
    </row>
    <row r="26" spans="1:7" s="46" customFormat="1" ht="15" customHeight="1"/>
    <row r="27" spans="1:7" s="46" customFormat="1" ht="15" customHeight="1"/>
    <row r="28" spans="1:7" s="46" customFormat="1" ht="15" customHeight="1"/>
    <row r="29" spans="1:7" s="46" customFormat="1" ht="15" customHeight="1"/>
    <row r="30" spans="1:7" s="46" customFormat="1" ht="15" customHeight="1"/>
    <row r="31" spans="1:7" s="46" customFormat="1" ht="15" customHeight="1"/>
    <row r="32" spans="1:7" s="46" customFormat="1" ht="15" customHeight="1"/>
    <row r="33" s="46" customFormat="1" ht="15" customHeight="1"/>
    <row r="34" s="46" customFormat="1" ht="15" customHeight="1"/>
    <row r="35" s="46" customFormat="1" ht="15" customHeight="1"/>
    <row r="36" s="46" customFormat="1" ht="15" customHeight="1"/>
    <row r="37" s="46" customFormat="1" ht="15" customHeight="1"/>
    <row r="38" s="46" customFormat="1" ht="15" customHeight="1"/>
    <row r="39" s="46" customFormat="1" ht="15" customHeight="1"/>
    <row r="40" s="46" customFormat="1" ht="15" customHeight="1"/>
    <row r="41" s="46" customFormat="1" ht="15" customHeight="1"/>
    <row r="42" s="46" customFormat="1" ht="15" customHeight="1"/>
    <row r="43" s="46" customFormat="1" ht="15" customHeight="1"/>
    <row r="44" s="46" customFormat="1" ht="15" customHeight="1"/>
    <row r="45" s="46" customFormat="1" ht="15" customHeight="1"/>
    <row r="46" s="46" customFormat="1" ht="15" customHeight="1"/>
    <row r="47" s="46" customFormat="1" ht="15" customHeight="1"/>
    <row r="48" s="46" customFormat="1" ht="15" customHeight="1"/>
    <row r="49" s="46" customFormat="1" ht="15" customHeight="1"/>
    <row r="50" s="46" customFormat="1" ht="15" customHeight="1"/>
    <row r="51" s="46" customFormat="1" ht="15" customHeight="1"/>
    <row r="52" s="46" customFormat="1" ht="15" customHeight="1"/>
    <row r="53" s="46" customFormat="1" ht="15" customHeight="1"/>
    <row r="54" s="46" customFormat="1" ht="15" customHeight="1"/>
    <row r="55" s="46" customFormat="1" ht="15" customHeight="1"/>
    <row r="56" s="46" customFormat="1" ht="15" customHeight="1"/>
    <row r="57" s="46" customFormat="1" ht="15" customHeight="1"/>
    <row r="58" s="46" customFormat="1" ht="15" customHeight="1"/>
    <row r="59" s="46" customFormat="1" ht="15" customHeight="1"/>
    <row r="60" s="46" customFormat="1" ht="15" customHeight="1"/>
    <row r="61" s="46" customFormat="1" ht="15" customHeight="1"/>
    <row r="62" s="46" customFormat="1" ht="15" customHeight="1"/>
    <row r="63" s="46" customFormat="1" ht="15" customHeight="1"/>
    <row r="64" s="46" customFormat="1" ht="15" customHeight="1"/>
    <row r="65" s="46" customFormat="1" ht="15" customHeight="1"/>
    <row r="66" s="46" customFormat="1" ht="15" customHeight="1"/>
    <row r="67" s="46" customFormat="1" ht="15" customHeight="1"/>
    <row r="68" s="46" customFormat="1" ht="15" customHeight="1"/>
    <row r="69" s="46" customFormat="1" ht="15" customHeight="1"/>
    <row r="70" s="46" customFormat="1" ht="15" customHeight="1"/>
    <row r="71" s="46" customFormat="1" ht="15" customHeight="1"/>
    <row r="72" s="46" customFormat="1" ht="15" customHeight="1"/>
    <row r="73" s="46" customFormat="1" ht="15" customHeight="1"/>
    <row r="74" s="46" customFormat="1" ht="15" customHeight="1"/>
    <row r="75" s="46" customFormat="1" ht="15" customHeight="1"/>
    <row r="76" s="46" customFormat="1" ht="15" customHeight="1"/>
    <row r="77" s="46" customFormat="1" ht="15" customHeight="1"/>
    <row r="78" s="46" customFormat="1" ht="15" customHeight="1"/>
    <row r="79" s="46" customFormat="1" ht="15" customHeight="1"/>
    <row r="80" s="46" customFormat="1" ht="15" customHeight="1"/>
    <row r="81" s="46" customFormat="1" ht="15" customHeight="1"/>
    <row r="82" s="46" customFormat="1" ht="15" customHeight="1"/>
    <row r="83" s="46" customFormat="1" ht="15" customHeight="1"/>
    <row r="84" s="46" customFormat="1" ht="15" customHeight="1"/>
    <row r="85" s="46" customFormat="1" ht="15" customHeight="1"/>
    <row r="86" s="46" customFormat="1" ht="15" customHeight="1"/>
    <row r="87" s="46" customFormat="1" ht="15" customHeight="1"/>
    <row r="88" s="46" customFormat="1" ht="15" customHeight="1"/>
    <row r="89" s="46" customFormat="1" ht="15" customHeight="1"/>
    <row r="90" s="46" customFormat="1" ht="15" customHeight="1"/>
    <row r="91" s="46" customFormat="1" ht="15" customHeight="1"/>
    <row r="92" s="46" customFormat="1" ht="15" customHeight="1"/>
    <row r="93" s="46" customFormat="1" ht="15" customHeight="1"/>
    <row r="94" s="46" customFormat="1" ht="15" customHeight="1"/>
    <row r="95" s="46" customFormat="1" ht="15" customHeight="1"/>
    <row r="96" s="46" customFormat="1" ht="15" customHeight="1"/>
    <row r="97" s="46" customFormat="1" ht="15" customHeight="1"/>
    <row r="98" s="46" customFormat="1" ht="15" customHeight="1"/>
    <row r="99" s="46" customFormat="1" ht="15" customHeight="1"/>
    <row r="100" s="46" customFormat="1" ht="15" customHeight="1"/>
    <row r="101" s="46" customFormat="1" ht="15" customHeight="1"/>
    <row r="102" s="46" customFormat="1" ht="15" customHeight="1"/>
    <row r="103" s="46" customFormat="1" ht="15" customHeight="1"/>
    <row r="104" s="46" customFormat="1" ht="15" customHeight="1"/>
    <row r="105" s="46" customFormat="1" ht="15" customHeight="1"/>
    <row r="106" s="46" customFormat="1" ht="15" customHeight="1"/>
    <row r="107" s="46" customFormat="1" ht="15" customHeight="1"/>
    <row r="108" s="46" customFormat="1" ht="15" customHeight="1"/>
    <row r="109" s="46" customFormat="1" ht="15" customHeight="1"/>
    <row r="110" s="46" customFormat="1" ht="15" customHeight="1"/>
    <row r="111" s="46" customFormat="1" ht="15" customHeight="1"/>
    <row r="112" s="46" customFormat="1" ht="15" customHeight="1"/>
    <row r="113" s="46" customFormat="1" ht="15" customHeight="1"/>
    <row r="114" s="46" customFormat="1" ht="15" customHeight="1"/>
    <row r="115" s="46" customFormat="1" ht="15" customHeight="1"/>
    <row r="116" s="46" customFormat="1" ht="15" customHeight="1"/>
    <row r="117" s="46" customFormat="1" ht="15" customHeight="1"/>
    <row r="118" s="46" customFormat="1" ht="15" customHeight="1"/>
    <row r="119" s="46" customFormat="1" ht="15" customHeight="1"/>
    <row r="120" s="46" customFormat="1" ht="15" customHeight="1"/>
    <row r="121" s="46" customFormat="1" ht="15" customHeight="1"/>
    <row r="122" s="46" customFormat="1" ht="15" customHeight="1"/>
    <row r="123" s="46" customFormat="1" ht="15" customHeight="1"/>
    <row r="124" s="46" customFormat="1" ht="15" customHeight="1"/>
    <row r="125" s="46" customFormat="1" ht="15" customHeight="1"/>
    <row r="126" s="46" customFormat="1" ht="15" customHeight="1"/>
    <row r="127" s="46" customFormat="1" ht="15" customHeight="1"/>
    <row r="128" s="46" customFormat="1" ht="15" customHeight="1"/>
    <row r="129" s="46" customFormat="1" ht="15" customHeight="1"/>
    <row r="130" s="46" customFormat="1" ht="15" customHeight="1"/>
    <row r="131" s="46" customFormat="1" ht="15" customHeight="1"/>
    <row r="132" s="46" customFormat="1" ht="15" customHeight="1"/>
    <row r="133" s="46" customFormat="1" ht="15" customHeight="1"/>
    <row r="134" s="46" customFormat="1" ht="15" customHeight="1"/>
    <row r="135" s="46" customFormat="1" ht="15" customHeight="1"/>
    <row r="136" s="46" customFormat="1" ht="15" customHeight="1"/>
    <row r="137" s="46" customFormat="1" ht="15" customHeight="1"/>
    <row r="138" s="46" customFormat="1" ht="15" customHeight="1"/>
    <row r="139" s="46" customFormat="1" ht="15" customHeight="1"/>
    <row r="140" s="46" customFormat="1" ht="15" customHeight="1"/>
    <row r="141" s="46" customFormat="1" ht="15" customHeight="1"/>
    <row r="142" s="46" customFormat="1" ht="15" customHeight="1"/>
    <row r="143" s="46" customFormat="1" ht="15" customHeight="1"/>
    <row r="144" s="46" customFormat="1" ht="15" customHeight="1"/>
    <row r="145" s="46" customFormat="1" ht="15" customHeight="1"/>
    <row r="146" s="46" customFormat="1" ht="15" customHeight="1"/>
    <row r="147" s="46" customFormat="1" ht="15" customHeight="1"/>
    <row r="148" s="46" customFormat="1" ht="15" customHeight="1"/>
    <row r="149" s="46" customFormat="1" ht="15" customHeight="1"/>
    <row r="150" s="46" customFormat="1" ht="15" customHeight="1"/>
    <row r="151" s="46" customFormat="1" ht="15" customHeight="1"/>
    <row r="152" s="46" customFormat="1" ht="15" customHeight="1"/>
    <row r="153" s="46" customFormat="1" ht="15" customHeight="1"/>
    <row r="154" s="46" customFormat="1" ht="15" customHeight="1"/>
    <row r="155" s="46" customFormat="1" ht="15" customHeight="1"/>
    <row r="156" s="46" customFormat="1" ht="15" customHeight="1"/>
    <row r="157" s="46" customFormat="1" ht="15" customHeight="1"/>
    <row r="158" s="46" customFormat="1" ht="15" customHeight="1"/>
    <row r="159" s="46" customFormat="1" ht="15" customHeight="1"/>
    <row r="160" s="46" customFormat="1" ht="15" customHeight="1"/>
    <row r="161" s="46" customFormat="1" ht="15" customHeight="1"/>
    <row r="162" s="46" customFormat="1" ht="15" customHeight="1"/>
    <row r="163" s="46" customFormat="1" ht="15" customHeight="1"/>
    <row r="164" s="46" customFormat="1" ht="15" customHeight="1"/>
    <row r="165" s="46" customFormat="1" ht="15" customHeight="1"/>
    <row r="166" s="46" customFormat="1" ht="15" customHeight="1"/>
    <row r="167" s="46" customFormat="1" ht="15" customHeight="1"/>
    <row r="168" s="46" customFormat="1" ht="15" customHeight="1"/>
    <row r="169" s="46" customFormat="1" ht="15" customHeight="1"/>
    <row r="170" s="46" customFormat="1" ht="15" customHeight="1"/>
    <row r="171" s="46" customFormat="1" ht="15" customHeight="1"/>
    <row r="172" s="46" customFormat="1" ht="15" customHeight="1"/>
    <row r="173" s="46" customFormat="1" ht="15" customHeight="1"/>
    <row r="174" s="46" customFormat="1" ht="15" customHeight="1"/>
    <row r="175" s="46" customFormat="1" ht="15" customHeight="1"/>
    <row r="176" s="46" customFormat="1" ht="15" customHeight="1"/>
    <row r="177" s="46" customFormat="1" ht="15" customHeight="1"/>
    <row r="178" s="46" customFormat="1" ht="15" customHeight="1"/>
    <row r="179" s="46" customFormat="1" ht="15" customHeight="1"/>
    <row r="180" s="46" customFormat="1" ht="15" customHeight="1"/>
    <row r="181" s="46" customFormat="1" ht="15" customHeight="1"/>
    <row r="182" s="46" customFormat="1" ht="15" customHeight="1"/>
    <row r="183" s="46" customFormat="1" ht="15" customHeight="1"/>
    <row r="184" s="46" customFormat="1" ht="15" customHeight="1"/>
    <row r="185" s="46" customFormat="1" ht="15" customHeight="1"/>
    <row r="186" s="46" customFormat="1" ht="15" customHeight="1"/>
    <row r="187" s="46" customFormat="1" ht="15" customHeight="1"/>
    <row r="188" s="46" customFormat="1" ht="15" customHeight="1"/>
    <row r="189" s="46" customFormat="1" ht="15" customHeight="1"/>
    <row r="190" s="46" customFormat="1" ht="15" customHeight="1"/>
    <row r="191" s="46" customFormat="1" ht="15" customHeight="1"/>
    <row r="192" s="46" customFormat="1" ht="15" customHeight="1"/>
    <row r="193" s="46" customFormat="1" ht="15" customHeight="1"/>
    <row r="194" s="46" customFormat="1" ht="15" customHeight="1"/>
    <row r="195" s="46" customFormat="1" ht="15" customHeight="1"/>
    <row r="196" s="46" customFormat="1" ht="15" customHeight="1"/>
    <row r="197" s="46" customFormat="1" ht="15" customHeight="1"/>
    <row r="198" s="46" customFormat="1" ht="15" customHeight="1"/>
    <row r="199" s="46" customFormat="1" ht="15" customHeight="1"/>
    <row r="200" s="46" customFormat="1" ht="15" customHeight="1"/>
    <row r="201" s="46" customFormat="1" ht="15" customHeight="1"/>
    <row r="202" s="46" customFormat="1" ht="15" customHeight="1"/>
    <row r="203" s="46" customFormat="1" ht="15" customHeight="1"/>
    <row r="204" s="46" customFormat="1" ht="15" customHeight="1"/>
    <row r="205" s="46" customFormat="1" ht="15" customHeight="1"/>
    <row r="206" s="46" customFormat="1" ht="15" customHeight="1"/>
    <row r="207" s="46" customFormat="1" ht="15" customHeight="1"/>
    <row r="208" s="46" customFormat="1" ht="15" customHeight="1"/>
    <row r="209" s="46" customFormat="1" ht="15" customHeight="1"/>
    <row r="210" s="46" customFormat="1" ht="15" customHeight="1"/>
    <row r="211" s="46" customFormat="1" ht="15" customHeight="1"/>
    <row r="212" s="46" customFormat="1" ht="15" customHeight="1"/>
    <row r="213" s="46" customFormat="1" ht="15" customHeight="1"/>
    <row r="214" s="46" customFormat="1" ht="15" customHeight="1"/>
    <row r="215" s="46" customFormat="1" ht="15" customHeight="1"/>
    <row r="216" s="46" customFormat="1" ht="15" customHeight="1"/>
    <row r="217" s="46" customFormat="1" ht="15" customHeight="1"/>
    <row r="218" s="46" customFormat="1" ht="15" customHeight="1"/>
    <row r="219" s="46" customFormat="1" ht="15" customHeight="1"/>
    <row r="220" s="46" customFormat="1" ht="15" customHeight="1"/>
    <row r="221" s="46" customFormat="1" ht="15" customHeight="1"/>
    <row r="222" s="46" customFormat="1" ht="15" customHeight="1"/>
    <row r="223" s="46" customFormat="1" ht="15" customHeight="1"/>
    <row r="224" s="46" customFormat="1" ht="15" customHeight="1"/>
    <row r="225" s="46" customFormat="1" ht="15" customHeight="1"/>
    <row r="226" s="46" customFormat="1" ht="15" customHeight="1"/>
    <row r="227" s="46" customFormat="1" ht="15" customHeight="1"/>
    <row r="228" s="46" customFormat="1" ht="15" customHeight="1"/>
    <row r="229" s="46" customFormat="1" ht="15" customHeight="1"/>
    <row r="230" s="46" customFormat="1" ht="15" customHeight="1"/>
    <row r="231" s="46" customFormat="1" ht="15" customHeight="1"/>
    <row r="232" s="46" customFormat="1" ht="15" customHeight="1"/>
    <row r="233" s="46" customFormat="1" ht="15" customHeight="1"/>
    <row r="234" s="46" customFormat="1" ht="15" customHeight="1"/>
    <row r="235" s="46" customFormat="1" ht="15" customHeight="1"/>
    <row r="236" s="46" customFormat="1" ht="15" customHeight="1"/>
    <row r="237" s="46" customFormat="1" ht="15" customHeight="1"/>
    <row r="238" s="46" customFormat="1" ht="15" customHeight="1"/>
    <row r="239" s="46" customFormat="1" ht="15" customHeight="1"/>
    <row r="240" s="46" customFormat="1" ht="15" customHeight="1"/>
    <row r="241" s="46" customFormat="1" ht="15" customHeight="1"/>
    <row r="242" s="46" customFormat="1" ht="15" customHeight="1"/>
    <row r="243" s="46" customFormat="1" ht="15" customHeight="1"/>
    <row r="244" s="46" customFormat="1" ht="15" customHeight="1"/>
    <row r="245" s="46" customFormat="1" ht="15" customHeight="1"/>
    <row r="246" s="46" customFormat="1" ht="15" customHeight="1"/>
    <row r="247" s="46" customFormat="1" ht="15" customHeight="1"/>
    <row r="248" s="46" customFormat="1" ht="15" customHeight="1"/>
    <row r="249" s="46" customFormat="1" ht="15" customHeight="1"/>
    <row r="250" s="46" customFormat="1" ht="15" customHeight="1"/>
    <row r="251" s="46" customFormat="1" ht="15" customHeight="1"/>
    <row r="252" s="46" customFormat="1" ht="15" customHeight="1"/>
    <row r="253" s="46" customFormat="1" ht="15" customHeight="1"/>
    <row r="254" s="46" customFormat="1" ht="15" customHeight="1"/>
    <row r="255" s="46" customFormat="1" ht="15" customHeight="1"/>
    <row r="256" s="46" customFormat="1" ht="15" customHeight="1"/>
    <row r="257" s="46" customFormat="1" ht="15" customHeight="1"/>
    <row r="258" s="46" customFormat="1" ht="15" customHeight="1"/>
    <row r="259" s="46" customFormat="1" ht="15" customHeight="1"/>
    <row r="260" s="46" customFormat="1" ht="15" customHeight="1"/>
    <row r="261" s="46" customFormat="1" ht="15" customHeight="1"/>
    <row r="262" s="46" customFormat="1" ht="15" customHeight="1"/>
    <row r="263" s="46" customFormat="1" ht="15" customHeight="1"/>
    <row r="264" s="46" customFormat="1" ht="15" customHeight="1"/>
    <row r="265" s="46" customFormat="1" ht="15" customHeight="1"/>
    <row r="266" s="46" customFormat="1" ht="15" customHeight="1"/>
    <row r="267" s="46" customFormat="1" ht="15" customHeight="1"/>
    <row r="268" s="46" customFormat="1" ht="15" customHeight="1"/>
    <row r="269" s="46" customFormat="1" ht="15" customHeight="1"/>
    <row r="270" s="46" customFormat="1" ht="15" customHeight="1"/>
    <row r="271" s="46" customFormat="1" ht="15" customHeight="1"/>
    <row r="272" s="46" customFormat="1" ht="15" customHeight="1"/>
    <row r="273" s="46" customFormat="1" ht="15" customHeight="1"/>
    <row r="274" s="46" customFormat="1" ht="15" customHeight="1"/>
    <row r="275" s="46" customFormat="1" ht="15" customHeight="1"/>
    <row r="276" s="46" customFormat="1" ht="15" customHeight="1"/>
    <row r="277" s="46" customFormat="1" ht="15" customHeight="1"/>
    <row r="278" s="46" customFormat="1" ht="15" customHeight="1"/>
    <row r="279" s="46" customFormat="1" ht="15" customHeight="1"/>
    <row r="280" s="46" customFormat="1" ht="15" customHeight="1"/>
    <row r="281" s="46" customFormat="1" ht="15" customHeight="1"/>
    <row r="282" s="46" customFormat="1" ht="15" customHeight="1"/>
    <row r="283" s="46" customFormat="1" ht="15" customHeight="1"/>
    <row r="284" s="46" customFormat="1" ht="15" customHeight="1"/>
    <row r="285" s="46" customFormat="1" ht="15" customHeight="1"/>
    <row r="286" s="46" customFormat="1" ht="15" customHeight="1"/>
    <row r="287" s="46" customFormat="1" ht="15" customHeight="1"/>
    <row r="288" s="46" customFormat="1" ht="15" customHeight="1"/>
    <row r="289" s="46" customFormat="1" ht="15" customHeight="1"/>
    <row r="290" s="46" customFormat="1" ht="15" customHeight="1"/>
    <row r="291" s="46" customFormat="1" ht="15" customHeight="1"/>
    <row r="292" s="46" customFormat="1" ht="15" customHeight="1"/>
    <row r="293" s="46" customFormat="1" ht="15" customHeight="1"/>
    <row r="294" s="46" customFormat="1" ht="15" customHeight="1"/>
    <row r="295" s="46" customFormat="1" ht="15" customHeight="1"/>
    <row r="296" s="46" customFormat="1" ht="15" customHeight="1"/>
    <row r="297" s="46" customFormat="1" ht="15" customHeight="1"/>
    <row r="298" s="46" customFormat="1" ht="15" customHeight="1"/>
    <row r="299" s="46" customFormat="1" ht="15" customHeight="1"/>
    <row r="300" s="46" customFormat="1" ht="15" customHeight="1"/>
    <row r="301" s="46" customFormat="1" ht="15" customHeight="1"/>
    <row r="302" s="46" customFormat="1" ht="15" customHeight="1"/>
    <row r="303" s="46" customFormat="1" ht="15" customHeight="1"/>
    <row r="304" s="46" customFormat="1" ht="15" customHeight="1"/>
    <row r="305" s="46" customFormat="1" ht="15" customHeight="1"/>
    <row r="306" s="46" customFormat="1" ht="15" customHeight="1"/>
    <row r="307" s="46" customFormat="1" ht="15" customHeight="1"/>
    <row r="308" s="46" customFormat="1" ht="15" customHeight="1"/>
    <row r="309" s="46" customFormat="1" ht="15" customHeight="1"/>
    <row r="310" s="46" customFormat="1" ht="15" customHeight="1"/>
    <row r="311" s="46" customFormat="1" ht="15" customHeight="1"/>
    <row r="312" s="46" customFormat="1" ht="15" customHeight="1"/>
    <row r="313" s="46" customFormat="1" ht="15" customHeight="1"/>
    <row r="314" s="46" customFormat="1" ht="15" customHeight="1"/>
    <row r="315" s="46" customFormat="1" ht="15" customHeight="1"/>
    <row r="316" s="46" customFormat="1" ht="15" customHeight="1"/>
    <row r="317" s="46" customFormat="1" ht="15" customHeight="1"/>
    <row r="318" s="46" customFormat="1" ht="15" customHeight="1"/>
    <row r="319" s="46" customFormat="1" ht="15" customHeight="1"/>
    <row r="320" s="46" customFormat="1" ht="15" customHeight="1"/>
    <row r="321" s="46" customFormat="1" ht="15" customHeight="1"/>
    <row r="322" s="46" customFormat="1" ht="15" customHeight="1"/>
    <row r="323" s="46" customFormat="1" ht="15" customHeight="1"/>
    <row r="324" s="46" customFormat="1" ht="15" customHeight="1"/>
    <row r="325" s="46" customFormat="1" ht="15" customHeight="1"/>
    <row r="326" s="46" customFormat="1" ht="15" customHeight="1"/>
    <row r="327" s="46" customFormat="1" ht="15" customHeight="1"/>
    <row r="328" s="46" customFormat="1" ht="15" customHeight="1"/>
    <row r="329" s="46" customFormat="1" ht="15" customHeight="1"/>
    <row r="330" s="46" customFormat="1" ht="15" customHeight="1"/>
    <row r="331" s="46" customFormat="1" ht="15" customHeight="1"/>
    <row r="332" s="46" customFormat="1" ht="15" customHeight="1"/>
    <row r="333" s="46" customFormat="1" ht="15" customHeight="1"/>
    <row r="334" s="46" customFormat="1" ht="15" customHeight="1"/>
    <row r="335" s="46" customFormat="1" ht="15" customHeight="1"/>
    <row r="336" s="46" customFormat="1" ht="15" customHeight="1"/>
    <row r="337" s="46" customFormat="1" ht="15" customHeight="1"/>
    <row r="338" s="46" customFormat="1" ht="15" customHeight="1"/>
    <row r="339" s="46" customFormat="1" ht="15" customHeight="1"/>
    <row r="340" s="46" customFormat="1" ht="15" customHeight="1"/>
    <row r="341" s="46" customFormat="1" ht="15" customHeight="1"/>
    <row r="342" s="46" customFormat="1" ht="15" customHeight="1"/>
    <row r="343" s="46" customFormat="1" ht="15" customHeight="1"/>
    <row r="344" s="46" customFormat="1" ht="15" customHeight="1"/>
    <row r="345" s="46" customFormat="1" ht="15" customHeight="1"/>
    <row r="346" s="46" customFormat="1" ht="15" customHeight="1"/>
    <row r="347" s="46" customFormat="1" ht="15" customHeight="1"/>
    <row r="348" s="46" customFormat="1" ht="15" customHeight="1"/>
    <row r="349" s="46" customFormat="1" ht="15" customHeight="1"/>
    <row r="350" s="46" customFormat="1" ht="15" customHeight="1"/>
    <row r="351" s="46" customFormat="1" ht="15" customHeight="1"/>
    <row r="352" s="46" customFormat="1" ht="15" customHeight="1"/>
    <row r="353" s="46" customFormat="1" ht="15" customHeight="1"/>
    <row r="354" s="46" customFormat="1" ht="15" customHeight="1"/>
    <row r="355" s="46" customFormat="1" ht="15" customHeight="1"/>
    <row r="356" s="46" customFormat="1" ht="15" customHeight="1"/>
    <row r="357" s="46" customFormat="1" ht="15" customHeight="1"/>
    <row r="358" s="46" customFormat="1" ht="15" customHeight="1"/>
    <row r="359" s="46" customFormat="1" ht="15" customHeight="1"/>
    <row r="360" s="46" customFormat="1" ht="15" customHeight="1"/>
    <row r="361" s="46" customFormat="1" ht="15" customHeight="1"/>
    <row r="362" s="46" customFormat="1" ht="15" customHeight="1"/>
    <row r="363" s="46" customFormat="1" ht="15" customHeight="1"/>
    <row r="364" s="46" customFormat="1" ht="15" customHeight="1"/>
    <row r="365" s="46" customFormat="1" ht="15" customHeight="1"/>
    <row r="366" s="46" customFormat="1" ht="15" customHeight="1"/>
    <row r="367" s="46" customFormat="1" ht="15" customHeight="1"/>
    <row r="368" s="46" customFormat="1" ht="15" customHeight="1"/>
    <row r="369" s="46" customFormat="1" ht="15" customHeight="1"/>
    <row r="370" s="46" customFormat="1" ht="15" customHeight="1"/>
    <row r="371" s="46" customFormat="1" ht="15" customHeight="1"/>
    <row r="372" s="46" customFormat="1" ht="15" customHeight="1"/>
    <row r="373" s="46" customFormat="1" ht="15" customHeight="1"/>
    <row r="374" s="46" customFormat="1" ht="15" customHeight="1"/>
    <row r="375" s="46" customFormat="1" ht="15" customHeight="1"/>
    <row r="376" s="46" customFormat="1" ht="15" customHeight="1"/>
    <row r="377" s="46" customFormat="1" ht="15" customHeight="1"/>
    <row r="378" s="46" customFormat="1" ht="15" customHeight="1"/>
    <row r="379" s="46" customFormat="1" ht="15" customHeight="1"/>
    <row r="380" s="46" customFormat="1" ht="15" customHeight="1"/>
    <row r="381" s="46" customFormat="1" ht="15" customHeight="1"/>
    <row r="382" s="46" customFormat="1" ht="15" customHeight="1"/>
    <row r="383" s="46" customFormat="1" ht="15" customHeight="1"/>
    <row r="384" s="46" customFormat="1" ht="15" customHeight="1"/>
    <row r="385" s="46" customFormat="1" ht="15" customHeight="1"/>
    <row r="386" s="46" customFormat="1" ht="15" customHeight="1"/>
    <row r="387" s="46" customFormat="1" ht="15" customHeight="1"/>
    <row r="388" s="46" customFormat="1" ht="15" customHeight="1"/>
    <row r="389" s="46" customFormat="1" ht="15" customHeight="1"/>
    <row r="390" s="46" customFormat="1" ht="15" customHeight="1"/>
    <row r="391" s="46" customFormat="1" ht="15" customHeight="1"/>
    <row r="392" s="46" customFormat="1" ht="15" customHeight="1"/>
    <row r="393" s="46" customFormat="1" ht="15" customHeight="1"/>
    <row r="394" s="46" customFormat="1" ht="15" customHeight="1"/>
    <row r="395" s="46" customFormat="1" ht="15" customHeight="1"/>
    <row r="396" s="46" customFormat="1" ht="15" customHeight="1"/>
    <row r="397" s="46" customFormat="1" ht="15" customHeight="1"/>
    <row r="398" s="46" customFormat="1" ht="15" customHeight="1"/>
    <row r="399" s="46" customFormat="1" ht="15" customHeight="1"/>
    <row r="400" s="46" customFormat="1" ht="15" customHeight="1"/>
    <row r="401" s="46" customFormat="1" ht="15" customHeight="1"/>
    <row r="402" s="46" customFormat="1" ht="15" customHeight="1"/>
    <row r="403" s="46" customFormat="1" ht="15" customHeight="1"/>
    <row r="404" s="46" customFormat="1" ht="15" customHeight="1"/>
    <row r="405" s="46" customFormat="1" ht="15" customHeight="1"/>
    <row r="406" s="46" customFormat="1" ht="15" customHeight="1"/>
    <row r="407" s="46" customFormat="1" ht="15" customHeight="1"/>
    <row r="408" s="46" customFormat="1" ht="15" customHeight="1"/>
    <row r="409" s="46" customFormat="1" ht="15" customHeight="1"/>
    <row r="410" s="46" customFormat="1" ht="15" customHeight="1"/>
    <row r="411" s="46" customFormat="1" ht="15" customHeight="1"/>
    <row r="412" s="46" customFormat="1" ht="15" customHeight="1"/>
    <row r="413" s="46" customFormat="1" ht="15" customHeight="1"/>
    <row r="414" s="46" customFormat="1" ht="15" customHeight="1"/>
    <row r="415" s="46" customFormat="1" ht="15" customHeight="1"/>
    <row r="416" s="46" customFormat="1" ht="15" customHeight="1"/>
    <row r="417" s="46" customFormat="1" ht="15" customHeight="1"/>
    <row r="418" s="46" customFormat="1" ht="15" customHeight="1"/>
    <row r="419" s="46" customFormat="1" ht="15" customHeight="1"/>
    <row r="420" s="46" customFormat="1" ht="15" customHeight="1"/>
    <row r="421" s="46" customFormat="1" ht="15" customHeight="1"/>
    <row r="422" s="46" customFormat="1" ht="15" customHeight="1"/>
    <row r="423" s="46" customFormat="1" ht="15" customHeight="1"/>
    <row r="424" s="46" customFormat="1" ht="15" customHeight="1"/>
    <row r="425" s="46" customFormat="1" ht="15" customHeight="1"/>
    <row r="426" s="46" customFormat="1" ht="15" customHeight="1"/>
    <row r="427" s="46" customFormat="1" ht="15" customHeight="1"/>
    <row r="428" s="46" customFormat="1" ht="15" customHeight="1"/>
    <row r="429" s="46" customFormat="1" ht="15" customHeight="1"/>
    <row r="430" s="46" customFormat="1" ht="15" customHeight="1"/>
    <row r="431" s="46" customFormat="1" ht="15" customHeight="1"/>
    <row r="432" s="46" customFormat="1" ht="15" customHeight="1"/>
    <row r="433" s="46" customFormat="1" ht="15" customHeight="1"/>
    <row r="434" s="46" customFormat="1" ht="15" customHeight="1"/>
    <row r="435" s="46" customFormat="1" ht="15" customHeight="1"/>
    <row r="436" s="46" customFormat="1" ht="15" customHeight="1"/>
    <row r="437" s="46" customFormat="1" ht="15" customHeight="1"/>
    <row r="438" s="46" customFormat="1" ht="15" customHeight="1"/>
    <row r="439" s="46" customFormat="1" ht="15" customHeight="1"/>
    <row r="440" s="46" customFormat="1" ht="15" customHeight="1"/>
    <row r="441" s="46" customFormat="1" ht="15" customHeight="1"/>
    <row r="442" s="46" customFormat="1" ht="15" customHeight="1"/>
    <row r="443" s="46" customFormat="1" ht="15" customHeight="1"/>
    <row r="444" s="46" customFormat="1" ht="15" customHeight="1"/>
    <row r="445" s="46" customFormat="1" ht="15" customHeight="1"/>
    <row r="446" s="46" customFormat="1" ht="15" customHeight="1"/>
    <row r="447" s="46" customFormat="1" ht="15" customHeight="1"/>
    <row r="448" s="46" customFormat="1" ht="15" customHeight="1"/>
    <row r="449" s="46" customFormat="1" ht="15" customHeight="1"/>
    <row r="450" s="46" customFormat="1" ht="15" customHeight="1"/>
    <row r="451" s="46" customFormat="1" ht="15" customHeight="1"/>
    <row r="452" s="46" customFormat="1" ht="15" customHeight="1"/>
    <row r="453" s="46" customFormat="1" ht="15" customHeight="1"/>
    <row r="454" s="46" customFormat="1" ht="15" customHeight="1"/>
    <row r="455" s="46" customFormat="1" ht="15" customHeight="1"/>
    <row r="456" s="46" customFormat="1" ht="15" customHeight="1"/>
    <row r="457" s="46" customFormat="1" ht="15" customHeight="1"/>
    <row r="458" s="46" customFormat="1" ht="15" customHeight="1"/>
    <row r="459" s="46" customFormat="1" ht="15" customHeight="1"/>
    <row r="460" s="46" customFormat="1" ht="15" customHeight="1"/>
    <row r="461" s="46" customFormat="1" ht="15" customHeight="1"/>
    <row r="462" s="46" customFormat="1" ht="15" customHeight="1"/>
    <row r="463" s="46" customFormat="1" ht="15" customHeight="1"/>
    <row r="464" s="46" customFormat="1" ht="15" customHeight="1"/>
    <row r="465" s="46" customFormat="1" ht="15" customHeight="1"/>
    <row r="466" s="46" customFormat="1" ht="15" customHeight="1"/>
    <row r="467" s="46" customFormat="1" ht="15" customHeight="1"/>
    <row r="468" s="46" customFormat="1" ht="15" customHeight="1"/>
    <row r="469" s="46" customFormat="1" ht="15" customHeight="1"/>
    <row r="470" s="46" customFormat="1" ht="15" customHeight="1"/>
    <row r="471" s="46" customFormat="1" ht="15" customHeight="1"/>
    <row r="472" s="46" customFormat="1" ht="15" customHeight="1"/>
    <row r="473" s="46" customFormat="1" ht="15" customHeight="1"/>
    <row r="474" s="46" customFormat="1" ht="15" customHeight="1"/>
    <row r="475" s="46" customFormat="1" ht="15" customHeight="1"/>
    <row r="476" s="46" customFormat="1" ht="15" customHeight="1"/>
    <row r="477" s="46" customFormat="1" ht="15" customHeight="1"/>
    <row r="478" s="46" customFormat="1" ht="15" customHeight="1"/>
    <row r="479" s="46" customFormat="1" ht="15" customHeight="1"/>
    <row r="480" s="46" customFormat="1" ht="15" customHeight="1"/>
    <row r="481" s="46" customFormat="1" ht="15" customHeight="1"/>
    <row r="482" s="46" customFormat="1" ht="15" customHeight="1"/>
    <row r="483" s="46" customFormat="1" ht="15" customHeight="1"/>
    <row r="484" s="46" customFormat="1" ht="15" customHeight="1"/>
    <row r="485" s="46" customFormat="1" ht="15" customHeight="1"/>
    <row r="486" s="46" customFormat="1" ht="15" customHeight="1"/>
    <row r="487" s="46" customFormat="1" ht="15" customHeight="1"/>
    <row r="488" s="46" customFormat="1" ht="15" customHeight="1"/>
    <row r="489" s="46" customFormat="1" ht="15" customHeight="1"/>
    <row r="490" s="46" customFormat="1" ht="15" customHeight="1"/>
    <row r="491" s="46" customFormat="1" ht="15" customHeight="1"/>
    <row r="492" s="46" customFormat="1" ht="15" customHeight="1"/>
    <row r="493" s="46" customFormat="1" ht="15" customHeight="1"/>
    <row r="494" s="46" customFormat="1" ht="15" customHeight="1"/>
    <row r="495" s="46" customFormat="1" ht="15" customHeight="1"/>
    <row r="496" s="46" customFormat="1" ht="15" customHeight="1"/>
    <row r="497" s="46" customFormat="1" ht="15" customHeight="1"/>
    <row r="498" s="46" customFormat="1" ht="15" customHeight="1"/>
    <row r="499" s="46" customFormat="1" ht="15" customHeight="1"/>
    <row r="500" s="46" customFormat="1" ht="15" customHeight="1"/>
    <row r="501" s="46" customFormat="1" ht="15" customHeight="1"/>
    <row r="502" s="46" customFormat="1" ht="15" customHeight="1"/>
    <row r="503" s="46" customFormat="1" ht="15" customHeight="1"/>
    <row r="504" s="46" customFormat="1" ht="15" customHeight="1"/>
    <row r="505" s="46" customFormat="1" ht="15" customHeight="1"/>
    <row r="506" s="46" customFormat="1" ht="15" customHeight="1"/>
    <row r="507" s="46" customFormat="1" ht="15" customHeight="1"/>
    <row r="508" s="46" customFormat="1" ht="15" customHeight="1"/>
    <row r="509" s="46" customFormat="1" ht="15" customHeight="1"/>
    <row r="510" s="46" customFormat="1" ht="15" customHeight="1"/>
    <row r="511" s="46" customFormat="1" ht="15" customHeight="1"/>
    <row r="512" s="46" customFormat="1" ht="15" customHeight="1"/>
    <row r="513" s="46" customFormat="1" ht="15" customHeight="1"/>
    <row r="514" s="46" customFormat="1" ht="15" customHeight="1"/>
    <row r="515" s="46" customFormat="1" ht="15" customHeight="1"/>
    <row r="516" s="46" customFormat="1" ht="15" customHeight="1"/>
  </sheetData>
  <mergeCells count="2">
    <mergeCell ref="A1:G1"/>
    <mergeCell ref="A16:G16"/>
  </mergeCells>
  <pageMargins left="0.511811023622047" right="0.511811023622047" top="0.55118110236220497" bottom="0.55118110236220497" header="0.31496062992126" footer="0.31496062992126"/>
  <pageSetup paperSize="9" scale="77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  <pageSetUpPr fitToPage="1"/>
  </sheetPr>
  <dimension ref="A1:Q511"/>
  <sheetViews>
    <sheetView showGridLines="0" zoomScale="90" zoomScaleNormal="90" workbookViewId="0">
      <selection activeCell="AF15" sqref="AF15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758" t="s">
        <v>717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57" t="s">
        <v>98</v>
      </c>
      <c r="C3" s="658"/>
      <c r="D3" s="235"/>
      <c r="E3" s="236"/>
      <c r="F3" s="236"/>
      <c r="G3" s="237"/>
      <c r="H3" s="235"/>
      <c r="I3" s="236"/>
      <c r="J3" s="236"/>
      <c r="K3" s="236"/>
      <c r="L3" s="237"/>
      <c r="M3" s="235"/>
      <c r="N3" s="603" t="s">
        <v>99</v>
      </c>
      <c r="O3" s="603"/>
      <c r="P3" s="603"/>
      <c r="Q3" s="604"/>
    </row>
    <row r="4" spans="2:17" ht="15" customHeight="1">
      <c r="B4" s="51" t="s">
        <v>718</v>
      </c>
      <c r="C4" s="535" t="s">
        <v>719</v>
      </c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754">
        <f>'E.1. Mat_Primas'!J21</f>
        <v>0</v>
      </c>
      <c r="O4" s="754"/>
      <c r="P4" s="754"/>
      <c r="Q4" s="754"/>
    </row>
    <row r="5" spans="2:17" ht="15" customHeight="1">
      <c r="B5" s="51" t="s">
        <v>720</v>
      </c>
      <c r="C5" s="535" t="s">
        <v>721</v>
      </c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754">
        <f>'E.2. Productos Fitosanitarios'!E17</f>
        <v>0</v>
      </c>
      <c r="O5" s="754"/>
      <c r="P5" s="754"/>
      <c r="Q5" s="754"/>
    </row>
    <row r="6" spans="2:17" ht="15" customHeight="1">
      <c r="B6" s="592" t="s">
        <v>722</v>
      </c>
      <c r="C6" s="592"/>
      <c r="D6" s="53"/>
      <c r="E6" s="54"/>
      <c r="F6" s="54"/>
      <c r="G6" s="54"/>
      <c r="H6" s="55"/>
      <c r="I6" s="55"/>
      <c r="J6" s="55"/>
      <c r="K6" s="55"/>
      <c r="L6" s="55"/>
      <c r="M6" s="55"/>
      <c r="N6" s="648">
        <f>SUM(N4:Q5)</f>
        <v>0</v>
      </c>
      <c r="O6" s="648"/>
      <c r="P6" s="648"/>
      <c r="Q6" s="648"/>
    </row>
    <row r="7" spans="2:17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</sheetData>
  <mergeCells count="9">
    <mergeCell ref="C5:M5"/>
    <mergeCell ref="N5:Q5"/>
    <mergeCell ref="B6:C6"/>
    <mergeCell ref="N6:Q6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-0.249977111117893"/>
  </sheetPr>
  <dimension ref="B1:K23"/>
  <sheetViews>
    <sheetView zoomScale="80" zoomScaleNormal="80" workbookViewId="0">
      <selection activeCell="D21" sqref="D21"/>
    </sheetView>
  </sheetViews>
  <sheetFormatPr baseColWidth="10" defaultColWidth="11" defaultRowHeight="13.2"/>
  <cols>
    <col min="1" max="1" width="3" customWidth="1"/>
    <col min="2" max="2" width="56.33203125" customWidth="1"/>
    <col min="3" max="3" width="12.109375" customWidth="1"/>
    <col min="4" max="4" width="15.44140625" customWidth="1"/>
    <col min="5" max="5" width="15.6640625" customWidth="1"/>
    <col min="6" max="6" width="10.6640625" customWidth="1"/>
    <col min="7" max="7" width="13" customWidth="1"/>
    <col min="8" max="8" width="12.88671875" style="60" customWidth="1"/>
    <col min="9" max="9" width="12" style="60" customWidth="1"/>
    <col min="10" max="10" width="24" customWidth="1"/>
    <col min="11" max="11" width="74.5546875" customWidth="1"/>
    <col min="12" max="12" width="3.6640625" customWidth="1"/>
  </cols>
  <sheetData>
    <row r="1" spans="2:11" ht="12" customHeight="1">
      <c r="B1" s="755" t="s">
        <v>723</v>
      </c>
      <c r="C1" s="756"/>
      <c r="D1" s="756"/>
      <c r="E1" s="756"/>
      <c r="F1" s="756"/>
      <c r="G1" s="756"/>
      <c r="H1" s="756"/>
      <c r="I1" s="756"/>
      <c r="J1" s="759"/>
      <c r="K1" s="273"/>
    </row>
    <row r="2" spans="2:11" ht="43.2">
      <c r="B2" s="24" t="s">
        <v>724</v>
      </c>
      <c r="C2" s="6" t="s">
        <v>725</v>
      </c>
      <c r="D2" s="6" t="s">
        <v>726</v>
      </c>
      <c r="E2" s="6" t="s">
        <v>727</v>
      </c>
      <c r="F2" s="6" t="s">
        <v>728</v>
      </c>
      <c r="G2" s="6" t="s">
        <v>729</v>
      </c>
      <c r="H2" s="6" t="s">
        <v>730</v>
      </c>
      <c r="I2" s="6" t="s">
        <v>731</v>
      </c>
      <c r="J2" s="6" t="s">
        <v>732</v>
      </c>
      <c r="K2" s="25" t="s">
        <v>733</v>
      </c>
    </row>
    <row r="3" spans="2:11" ht="12" customHeight="1">
      <c r="B3" s="268" t="s">
        <v>734</v>
      </c>
      <c r="C3" s="256"/>
      <c r="D3" s="267" t="s">
        <v>735</v>
      </c>
      <c r="E3" s="256"/>
      <c r="F3" s="256"/>
      <c r="G3" s="256"/>
      <c r="H3" s="256"/>
      <c r="I3" s="256"/>
      <c r="J3" s="256"/>
      <c r="K3" s="270"/>
    </row>
    <row r="4" spans="2:11" ht="15" customHeight="1">
      <c r="B4" s="57" t="s">
        <v>736</v>
      </c>
      <c r="C4" s="8" t="s">
        <v>737</v>
      </c>
      <c r="D4" s="61">
        <v>0</v>
      </c>
      <c r="E4" s="59">
        <v>5</v>
      </c>
      <c r="F4" s="62" t="s">
        <v>738</v>
      </c>
      <c r="G4" s="63">
        <v>2</v>
      </c>
      <c r="H4" s="64">
        <f>G4*E4*D4</f>
        <v>0</v>
      </c>
      <c r="I4" s="8">
        <v>0.65</v>
      </c>
      <c r="J4" s="8">
        <f>H4*I4</f>
        <v>0</v>
      </c>
      <c r="K4" s="35" t="s">
        <v>739</v>
      </c>
    </row>
    <row r="5" spans="2:11" ht="15" customHeight="1">
      <c r="B5" s="57" t="s">
        <v>740</v>
      </c>
      <c r="C5" s="8" t="s">
        <v>741</v>
      </c>
      <c r="D5" s="61">
        <v>0</v>
      </c>
      <c r="E5" s="59">
        <v>375</v>
      </c>
      <c r="F5" s="62" t="s">
        <v>742</v>
      </c>
      <c r="G5" s="63">
        <v>1</v>
      </c>
      <c r="H5" s="64">
        <f t="shared" ref="H5:H20" si="0">G5*E5*D5</f>
        <v>0</v>
      </c>
      <c r="I5" s="8">
        <v>0.2</v>
      </c>
      <c r="J5" s="8">
        <f t="shared" ref="J5:J20" si="1">H5*I5</f>
        <v>0</v>
      </c>
      <c r="K5" s="35" t="s">
        <v>743</v>
      </c>
    </row>
    <row r="6" spans="2:11" ht="15" customHeight="1">
      <c r="B6" s="57" t="s">
        <v>744</v>
      </c>
      <c r="C6" s="8" t="s">
        <v>745</v>
      </c>
      <c r="D6" s="61">
        <v>0</v>
      </c>
      <c r="E6" s="59">
        <v>20</v>
      </c>
      <c r="F6" s="62" t="s">
        <v>746</v>
      </c>
      <c r="G6" s="63">
        <v>1</v>
      </c>
      <c r="H6" s="64">
        <f t="shared" si="0"/>
        <v>0</v>
      </c>
      <c r="I6" s="8">
        <v>20</v>
      </c>
      <c r="J6" s="8">
        <f t="shared" si="1"/>
        <v>0</v>
      </c>
      <c r="K6" s="35" t="s">
        <v>747</v>
      </c>
    </row>
    <row r="7" spans="2:11" ht="15" customHeight="1">
      <c r="B7" s="57" t="s">
        <v>748</v>
      </c>
      <c r="C7" s="8" t="s">
        <v>749</v>
      </c>
      <c r="D7" s="61">
        <v>0</v>
      </c>
      <c r="E7" s="59">
        <v>100</v>
      </c>
      <c r="F7" s="62" t="s">
        <v>746</v>
      </c>
      <c r="G7" s="63">
        <v>2</v>
      </c>
      <c r="H7" s="64">
        <f t="shared" si="0"/>
        <v>0</v>
      </c>
      <c r="I7" s="8">
        <v>24</v>
      </c>
      <c r="J7" s="8">
        <f t="shared" si="1"/>
        <v>0</v>
      </c>
      <c r="K7" s="35" t="s">
        <v>750</v>
      </c>
    </row>
    <row r="8" spans="2:11" ht="15" customHeight="1">
      <c r="B8" s="57" t="s">
        <v>751</v>
      </c>
      <c r="C8" s="8" t="s">
        <v>749</v>
      </c>
      <c r="D8" s="61">
        <v>0</v>
      </c>
      <c r="E8" s="59">
        <v>5</v>
      </c>
      <c r="F8" s="62" t="s">
        <v>746</v>
      </c>
      <c r="G8" s="63">
        <v>2</v>
      </c>
      <c r="H8" s="64">
        <f t="shared" si="0"/>
        <v>0</v>
      </c>
      <c r="I8" s="8">
        <v>50</v>
      </c>
      <c r="J8" s="8">
        <f t="shared" si="1"/>
        <v>0</v>
      </c>
      <c r="K8" s="35" t="s">
        <v>752</v>
      </c>
    </row>
    <row r="9" spans="2:11" ht="15" customHeight="1">
      <c r="B9" s="268" t="s">
        <v>753</v>
      </c>
      <c r="C9" s="256"/>
      <c r="D9" s="267"/>
      <c r="E9" s="256"/>
      <c r="F9" s="256"/>
      <c r="G9" s="256"/>
      <c r="H9" s="274"/>
      <c r="I9" s="256"/>
      <c r="J9" s="256"/>
      <c r="K9" s="270"/>
    </row>
    <row r="10" spans="2:11" ht="15" customHeight="1">
      <c r="B10" s="57" t="s">
        <v>754</v>
      </c>
      <c r="C10" s="8" t="s">
        <v>755</v>
      </c>
      <c r="D10" s="61">
        <f>D4*0.25</f>
        <v>0</v>
      </c>
      <c r="E10" s="59">
        <v>10</v>
      </c>
      <c r="F10" s="62" t="s">
        <v>738</v>
      </c>
      <c r="G10" s="63">
        <v>1</v>
      </c>
      <c r="H10" s="64">
        <f t="shared" si="0"/>
        <v>0</v>
      </c>
      <c r="I10" s="8">
        <v>15.7</v>
      </c>
      <c r="J10" s="8">
        <f t="shared" si="1"/>
        <v>0</v>
      </c>
      <c r="K10" s="35" t="s">
        <v>756</v>
      </c>
    </row>
    <row r="11" spans="2:11" ht="15" customHeight="1">
      <c r="B11" s="57" t="s">
        <v>757</v>
      </c>
      <c r="C11" s="8" t="s">
        <v>755</v>
      </c>
      <c r="D11" s="61">
        <v>0</v>
      </c>
      <c r="E11" s="59">
        <f>14*2</f>
        <v>28</v>
      </c>
      <c r="F11" s="62" t="s">
        <v>758</v>
      </c>
      <c r="G11" s="63">
        <v>1</v>
      </c>
      <c r="H11" s="64">
        <f t="shared" si="0"/>
        <v>0</v>
      </c>
      <c r="I11" s="8">
        <v>0.5</v>
      </c>
      <c r="J11" s="8">
        <f t="shared" si="1"/>
        <v>0</v>
      </c>
      <c r="K11" s="35" t="s">
        <v>759</v>
      </c>
    </row>
    <row r="12" spans="2:11" ht="15" customHeight="1">
      <c r="B12" s="268" t="s">
        <v>760</v>
      </c>
      <c r="C12" s="256"/>
      <c r="D12" s="256"/>
      <c r="E12" s="256"/>
      <c r="F12" s="256"/>
      <c r="G12" s="256"/>
      <c r="H12" s="274"/>
      <c r="I12" s="256"/>
      <c r="J12" s="256"/>
      <c r="K12" s="270"/>
    </row>
    <row r="13" spans="2:11" ht="15" customHeight="1">
      <c r="B13" s="57" t="s">
        <v>761</v>
      </c>
      <c r="C13" s="8" t="s">
        <v>755</v>
      </c>
      <c r="D13" s="61"/>
      <c r="E13" s="59"/>
      <c r="F13" s="62" t="s">
        <v>762</v>
      </c>
      <c r="G13" s="63">
        <v>1</v>
      </c>
      <c r="H13" s="64">
        <v>25</v>
      </c>
      <c r="I13" s="8">
        <v>175</v>
      </c>
      <c r="J13" s="8"/>
      <c r="K13" s="35" t="s">
        <v>763</v>
      </c>
    </row>
    <row r="14" spans="2:11" ht="15" customHeight="1">
      <c r="B14" s="268" t="s">
        <v>657</v>
      </c>
      <c r="C14" s="256"/>
      <c r="D14" s="256"/>
      <c r="E14" s="256"/>
      <c r="F14" s="256"/>
      <c r="G14" s="256"/>
      <c r="H14" s="274"/>
      <c r="I14" s="256"/>
      <c r="J14" s="256"/>
      <c r="K14" s="270"/>
    </row>
    <row r="15" spans="2:11" ht="15" customHeight="1">
      <c r="B15" s="57" t="s">
        <v>764</v>
      </c>
      <c r="C15" s="8" t="s">
        <v>755</v>
      </c>
      <c r="D15" s="61">
        <v>0</v>
      </c>
      <c r="E15" s="59">
        <v>1</v>
      </c>
      <c r="F15" s="62" t="s">
        <v>765</v>
      </c>
      <c r="G15" s="63">
        <v>1</v>
      </c>
      <c r="H15" s="64">
        <f t="shared" si="0"/>
        <v>0</v>
      </c>
      <c r="I15" s="8">
        <v>15</v>
      </c>
      <c r="J15" s="8">
        <f>H15*I15</f>
        <v>0</v>
      </c>
      <c r="K15" s="35" t="s">
        <v>766</v>
      </c>
    </row>
    <row r="16" spans="2:11" ht="15" customHeight="1">
      <c r="B16" s="57" t="s">
        <v>767</v>
      </c>
      <c r="C16" s="8" t="s">
        <v>755</v>
      </c>
      <c r="D16" s="61">
        <v>0</v>
      </c>
      <c r="E16" s="59">
        <v>1</v>
      </c>
      <c r="F16" s="62" t="s">
        <v>765</v>
      </c>
      <c r="G16" s="63">
        <v>1</v>
      </c>
      <c r="H16" s="64">
        <f t="shared" si="0"/>
        <v>0</v>
      </c>
      <c r="I16" s="8">
        <v>10</v>
      </c>
      <c r="J16" s="8">
        <f t="shared" si="1"/>
        <v>0</v>
      </c>
      <c r="K16" s="35" t="s">
        <v>766</v>
      </c>
    </row>
    <row r="17" spans="2:11" ht="15" customHeight="1">
      <c r="B17" s="57" t="s">
        <v>768</v>
      </c>
      <c r="C17" s="8" t="s">
        <v>755</v>
      </c>
      <c r="D17" s="61">
        <v>0</v>
      </c>
      <c r="E17" s="59">
        <v>1</v>
      </c>
      <c r="F17" s="62" t="s">
        <v>765</v>
      </c>
      <c r="G17" s="63">
        <v>1</v>
      </c>
      <c r="H17" s="64">
        <f t="shared" si="0"/>
        <v>0</v>
      </c>
      <c r="I17" s="8">
        <v>450</v>
      </c>
      <c r="J17" s="8">
        <f t="shared" si="1"/>
        <v>0</v>
      </c>
      <c r="K17" s="35" t="s">
        <v>769</v>
      </c>
    </row>
    <row r="18" spans="2:11" ht="15" customHeight="1">
      <c r="B18" s="57" t="s">
        <v>770</v>
      </c>
      <c r="C18" s="8" t="s">
        <v>755</v>
      </c>
      <c r="D18" s="61">
        <v>0</v>
      </c>
      <c r="E18" s="59">
        <v>1</v>
      </c>
      <c r="F18" s="62" t="s">
        <v>765</v>
      </c>
      <c r="G18" s="63">
        <v>1</v>
      </c>
      <c r="H18" s="64">
        <f t="shared" si="0"/>
        <v>0</v>
      </c>
      <c r="I18" s="8">
        <v>200</v>
      </c>
      <c r="J18" s="8">
        <f t="shared" si="1"/>
        <v>0</v>
      </c>
      <c r="K18" s="35" t="s">
        <v>771</v>
      </c>
    </row>
    <row r="19" spans="2:11" ht="15" customHeight="1">
      <c r="B19" s="57" t="s">
        <v>772</v>
      </c>
      <c r="C19" s="8" t="s">
        <v>755</v>
      </c>
      <c r="D19" s="61">
        <v>0</v>
      </c>
      <c r="E19" s="59">
        <v>1</v>
      </c>
      <c r="F19" s="62" t="s">
        <v>765</v>
      </c>
      <c r="G19" s="63">
        <v>1</v>
      </c>
      <c r="H19" s="64">
        <f t="shared" si="0"/>
        <v>0</v>
      </c>
      <c r="I19" s="8">
        <v>175</v>
      </c>
      <c r="J19" s="8">
        <f t="shared" si="1"/>
        <v>0</v>
      </c>
      <c r="K19" s="35"/>
    </row>
    <row r="20" spans="2:11" ht="15" customHeight="1">
      <c r="B20" s="57" t="s">
        <v>773</v>
      </c>
      <c r="C20" s="8" t="s">
        <v>755</v>
      </c>
      <c r="D20" s="61">
        <v>0</v>
      </c>
      <c r="E20" s="59">
        <v>1</v>
      </c>
      <c r="F20" s="62" t="s">
        <v>765</v>
      </c>
      <c r="G20" s="63">
        <v>1</v>
      </c>
      <c r="H20" s="64">
        <f t="shared" si="0"/>
        <v>0</v>
      </c>
      <c r="I20" s="8">
        <v>250</v>
      </c>
      <c r="J20" s="8">
        <f t="shared" si="1"/>
        <v>0</v>
      </c>
      <c r="K20" s="35" t="s">
        <v>774</v>
      </c>
    </row>
    <row r="21" spans="2:11" ht="14.4">
      <c r="B21" s="261"/>
      <c r="C21" s="262"/>
      <c r="D21" s="262"/>
      <c r="E21" s="263"/>
      <c r="F21" s="264" t="s">
        <v>51</v>
      </c>
      <c r="G21" s="264"/>
      <c r="H21" s="275"/>
      <c r="I21" s="275"/>
      <c r="J21" s="275">
        <f>SUM(J4:J20)</f>
        <v>0</v>
      </c>
      <c r="K21" s="266"/>
    </row>
    <row r="22" spans="2:11" ht="12" customHeight="1">
      <c r="F22" s="56"/>
      <c r="G22" s="65"/>
      <c r="H22" s="66"/>
      <c r="I22" s="66"/>
    </row>
    <row r="23" spans="2:11">
      <c r="J23" s="67"/>
    </row>
  </sheetData>
  <mergeCells count="1">
    <mergeCell ref="B1:J1"/>
  </mergeCells>
  <pageMargins left="0.7" right="0.7" top="0.75" bottom="0.75" header="0.3" footer="0.3"/>
  <pageSetup paperSize="8" scale="82" orientation="landscape"/>
  <colBreaks count="1" manualBreakCount="1">
    <brk id="11" max="1048575" man="1"/>
  </colBreak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-0.249977111117893"/>
  </sheetPr>
  <dimension ref="A1:G19"/>
  <sheetViews>
    <sheetView workbookViewId="0">
      <selection activeCell="C13" sqref="C13"/>
    </sheetView>
  </sheetViews>
  <sheetFormatPr baseColWidth="10" defaultColWidth="11" defaultRowHeight="13.2"/>
  <cols>
    <col min="1" max="1" width="38.33203125" customWidth="1"/>
    <col min="2" max="2" width="11" customWidth="1"/>
    <col min="3" max="4" width="10.6640625" customWidth="1"/>
    <col min="5" max="5" width="23.33203125" customWidth="1"/>
    <col min="6" max="6" width="10" customWidth="1"/>
  </cols>
  <sheetData>
    <row r="1" spans="1:7" ht="15" customHeight="1">
      <c r="A1" s="755" t="s">
        <v>775</v>
      </c>
      <c r="B1" s="756"/>
      <c r="C1" s="756"/>
      <c r="D1" s="756"/>
      <c r="E1" s="757"/>
      <c r="F1" s="56"/>
      <c r="G1" s="56"/>
    </row>
    <row r="2" spans="1:7" ht="36.75" customHeight="1">
      <c r="A2" s="24" t="s">
        <v>297</v>
      </c>
      <c r="B2" s="6" t="s">
        <v>728</v>
      </c>
      <c r="C2" s="6" t="s">
        <v>776</v>
      </c>
      <c r="D2" s="6" t="s">
        <v>731</v>
      </c>
      <c r="E2" s="25" t="s">
        <v>562</v>
      </c>
      <c r="F2" s="56"/>
      <c r="G2" s="56"/>
    </row>
    <row r="3" spans="1:7" ht="15" customHeight="1">
      <c r="A3" s="268" t="s">
        <v>777</v>
      </c>
      <c r="B3" s="256"/>
      <c r="C3" s="276" t="s">
        <v>778</v>
      </c>
      <c r="D3" s="256"/>
      <c r="E3" s="270"/>
    </row>
    <row r="4" spans="1:7" ht="15" customHeight="1">
      <c r="A4" s="57" t="s">
        <v>779</v>
      </c>
      <c r="B4" s="58" t="s">
        <v>780</v>
      </c>
      <c r="C4" s="59">
        <v>0</v>
      </c>
      <c r="D4" s="8">
        <f>(40/10000)*3</f>
        <v>1.2E-2</v>
      </c>
      <c r="E4" s="35">
        <f>+C4*D4</f>
        <v>0</v>
      </c>
    </row>
    <row r="5" spans="1:7" ht="15" customHeight="1">
      <c r="A5" s="268" t="s">
        <v>781</v>
      </c>
      <c r="B5" s="256"/>
      <c r="C5" s="276" t="s">
        <v>782</v>
      </c>
      <c r="D5" s="256"/>
      <c r="E5" s="270"/>
    </row>
    <row r="6" spans="1:7" ht="15" customHeight="1">
      <c r="A6" s="57" t="s">
        <v>783</v>
      </c>
      <c r="B6" s="58" t="s">
        <v>780</v>
      </c>
      <c r="C6" s="59">
        <v>0</v>
      </c>
      <c r="D6" s="8">
        <f>4*0.5</f>
        <v>2</v>
      </c>
      <c r="E6" s="35">
        <f t="shared" ref="E6:E7" si="0">+C6*D6</f>
        <v>0</v>
      </c>
    </row>
    <row r="7" spans="1:7" ht="15" customHeight="1">
      <c r="A7" s="57" t="s">
        <v>784</v>
      </c>
      <c r="B7" s="58" t="s">
        <v>780</v>
      </c>
      <c r="C7" s="59">
        <v>0</v>
      </c>
      <c r="D7" s="8">
        <v>0.12</v>
      </c>
      <c r="E7" s="35">
        <f t="shared" si="0"/>
        <v>0</v>
      </c>
    </row>
    <row r="8" spans="1:7" ht="15" customHeight="1">
      <c r="A8" s="268" t="s">
        <v>785</v>
      </c>
      <c r="B8" s="256"/>
      <c r="C8" s="276" t="s">
        <v>782</v>
      </c>
      <c r="D8" s="256"/>
      <c r="E8" s="270"/>
    </row>
    <row r="9" spans="1:7" ht="15" customHeight="1">
      <c r="A9" s="57" t="s">
        <v>786</v>
      </c>
      <c r="B9" s="58" t="s">
        <v>780</v>
      </c>
      <c r="C9" s="59">
        <v>0</v>
      </c>
      <c r="D9" s="8">
        <v>0.09</v>
      </c>
      <c r="E9" s="35">
        <f t="shared" ref="E9" si="1">+C9*D9</f>
        <v>0</v>
      </c>
    </row>
    <row r="10" spans="1:7" ht="15" customHeight="1">
      <c r="A10" s="268" t="s">
        <v>787</v>
      </c>
      <c r="B10" s="256"/>
      <c r="C10" s="276" t="s">
        <v>782</v>
      </c>
      <c r="D10" s="256"/>
      <c r="E10" s="270"/>
    </row>
    <row r="11" spans="1:7" ht="15" customHeight="1">
      <c r="A11" s="57" t="s">
        <v>788</v>
      </c>
      <c r="B11" s="58" t="s">
        <v>789</v>
      </c>
      <c r="C11" s="59">
        <v>0</v>
      </c>
      <c r="D11" s="8">
        <v>5</v>
      </c>
      <c r="E11" s="35">
        <f t="shared" ref="E11:E12" si="2">+C11*D11</f>
        <v>0</v>
      </c>
    </row>
    <row r="12" spans="1:7" ht="15" customHeight="1">
      <c r="A12" s="57" t="s">
        <v>790</v>
      </c>
      <c r="B12" s="58" t="s">
        <v>789</v>
      </c>
      <c r="C12" s="59">
        <v>0</v>
      </c>
      <c r="D12" s="8">
        <v>18</v>
      </c>
      <c r="E12" s="35">
        <f t="shared" si="2"/>
        <v>0</v>
      </c>
    </row>
    <row r="13" spans="1:7" ht="15" customHeight="1">
      <c r="A13" s="268" t="s">
        <v>791</v>
      </c>
      <c r="B13" s="256"/>
      <c r="C13" s="276" t="s">
        <v>778</v>
      </c>
      <c r="D13" s="256"/>
      <c r="E13" s="270"/>
    </row>
    <row r="14" spans="1:7" ht="15" customHeight="1">
      <c r="A14" s="57" t="s">
        <v>792</v>
      </c>
      <c r="B14" s="58" t="s">
        <v>780</v>
      </c>
      <c r="C14" s="59">
        <v>0</v>
      </c>
      <c r="D14" s="8">
        <f>24.58/1000</f>
        <v>2.4579999999999998E-2</v>
      </c>
      <c r="E14" s="35">
        <f>+C14*D14</f>
        <v>0</v>
      </c>
    </row>
    <row r="15" spans="1:7" ht="15" customHeight="1">
      <c r="A15" s="57" t="s">
        <v>793</v>
      </c>
      <c r="B15" s="58" t="s">
        <v>780</v>
      </c>
      <c r="C15" s="59">
        <v>0</v>
      </c>
      <c r="D15" s="8">
        <f>19.63/100</f>
        <v>0.1963</v>
      </c>
      <c r="E15" s="35">
        <f t="shared" ref="E15:E16" si="3">+C15*D15</f>
        <v>0</v>
      </c>
    </row>
    <row r="16" spans="1:7" ht="15" customHeight="1">
      <c r="A16" s="57" t="s">
        <v>794</v>
      </c>
      <c r="B16" s="58" t="s">
        <v>795</v>
      </c>
      <c r="C16" s="59">
        <v>0</v>
      </c>
      <c r="D16" s="8">
        <f>10.05/10</f>
        <v>1.0050000000000001</v>
      </c>
      <c r="E16" s="35">
        <f t="shared" si="3"/>
        <v>0</v>
      </c>
    </row>
    <row r="17" spans="1:5" ht="15" customHeight="1">
      <c r="A17" s="277" t="s">
        <v>51</v>
      </c>
      <c r="B17" s="264"/>
      <c r="C17" s="275"/>
      <c r="D17" s="275"/>
      <c r="E17" s="266">
        <f>SUM(E4:E16)</f>
        <v>0</v>
      </c>
    </row>
    <row r="18" spans="1:5" ht="15" customHeight="1"/>
    <row r="19" spans="1:5" ht="15" customHeight="1"/>
  </sheetData>
  <mergeCells count="1">
    <mergeCell ref="A1:E1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W542"/>
  <sheetViews>
    <sheetView showGridLines="0" zoomScale="90" zoomScaleNormal="90" workbookViewId="0">
      <selection activeCell="P9" sqref="P9"/>
    </sheetView>
  </sheetViews>
  <sheetFormatPr baseColWidth="10" defaultColWidth="11.44140625" defaultRowHeight="14.4"/>
  <cols>
    <col min="1" max="1" width="5.33203125" style="46" customWidth="1"/>
    <col min="2" max="10" width="3.33203125" style="48" customWidth="1"/>
    <col min="11" max="11" width="35.109375" style="48" customWidth="1"/>
    <col min="12" max="14" width="3.33203125" style="48" customWidth="1"/>
    <col min="15" max="18" width="14.88671875" style="48" bestFit="1" customWidth="1"/>
    <col min="19" max="19" width="15.6640625" style="48" customWidth="1"/>
    <col min="20" max="21" width="14.88671875" style="48" bestFit="1" customWidth="1"/>
    <col min="22" max="22" width="17.44140625" style="48" customWidth="1"/>
    <col min="23" max="23" width="16.33203125" style="48" customWidth="1"/>
    <col min="24" max="26" width="3.33203125" style="48" customWidth="1"/>
    <col min="27" max="16384" width="11.44140625" style="48"/>
  </cols>
  <sheetData>
    <row r="1" spans="2:23" ht="15" customHeight="1">
      <c r="B1" s="597" t="s">
        <v>1028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</row>
    <row r="2" spans="2:23" ht="3.75" customHeight="1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2:23" ht="15" customHeight="1"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429"/>
      <c r="M3" s="429"/>
      <c r="N3" s="429"/>
      <c r="O3" s="429">
        <v>2026</v>
      </c>
      <c r="P3" s="429">
        <v>2027</v>
      </c>
      <c r="Q3" s="429">
        <v>2028</v>
      </c>
      <c r="R3" s="429">
        <v>2029</v>
      </c>
      <c r="S3" s="429">
        <v>2030</v>
      </c>
      <c r="T3" s="429">
        <v>2031</v>
      </c>
      <c r="U3" s="429">
        <v>2032</v>
      </c>
      <c r="V3" s="434" t="s">
        <v>51</v>
      </c>
      <c r="W3" s="388" t="s">
        <v>33</v>
      </c>
    </row>
    <row r="4" spans="2:23" ht="15" customHeight="1"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429"/>
      <c r="M4" s="429"/>
      <c r="N4" s="429"/>
      <c r="O4" s="482">
        <f>'A. Resumen Costes Personal Año'!E5</f>
        <v>1</v>
      </c>
      <c r="P4" s="482">
        <f>'A. Resumen Costes Personal Año'!G5</f>
        <v>1</v>
      </c>
      <c r="Q4" s="482">
        <f>'A. Resumen Costes Personal Año'!I5</f>
        <v>1</v>
      </c>
      <c r="R4" s="482">
        <f>'A. Resumen Costes Personal Año'!K5</f>
        <v>1</v>
      </c>
      <c r="S4" s="482">
        <f>'A. Resumen Costes Personal Año'!M5</f>
        <v>1</v>
      </c>
      <c r="T4" s="482">
        <f>'A. Resumen Costes Personal Año'!O5</f>
        <v>1</v>
      </c>
      <c r="U4" s="482">
        <f>'A. Resumen Costes Personal Año'!Q5</f>
        <v>1</v>
      </c>
      <c r="V4" s="434"/>
      <c r="W4" s="388"/>
    </row>
    <row r="5" spans="2:23" ht="15" customHeight="1">
      <c r="B5" s="535" t="s">
        <v>52</v>
      </c>
      <c r="C5" s="535"/>
      <c r="D5" s="535"/>
      <c r="E5" s="535"/>
      <c r="F5" s="535"/>
      <c r="G5" s="535"/>
      <c r="H5" s="535"/>
      <c r="I5" s="535"/>
      <c r="J5" s="535"/>
      <c r="K5" s="535"/>
      <c r="L5" s="418"/>
      <c r="M5" s="430"/>
      <c r="N5" s="430"/>
      <c r="O5" s="430">
        <f>'A. Resumen Costes Personal Año'!E12</f>
        <v>0</v>
      </c>
      <c r="P5" s="430">
        <f>'A. Resumen Costes Personal Año'!G12</f>
        <v>0</v>
      </c>
      <c r="Q5" s="430">
        <f>'A. Resumen Costes Personal Año'!I12</f>
        <v>0</v>
      </c>
      <c r="R5" s="430">
        <f>'A. Resumen Costes Personal Año'!K12</f>
        <v>0</v>
      </c>
      <c r="S5" s="430">
        <f>'A. Resumen Costes Personal Año'!M12</f>
        <v>0</v>
      </c>
      <c r="T5" s="430">
        <f>'A. Resumen Costes Personal Año'!O12</f>
        <v>0</v>
      </c>
      <c r="U5" s="430">
        <f>'A. Resumen Costes Personal Año'!Q12</f>
        <v>0</v>
      </c>
      <c r="V5" s="419">
        <f>U5+T5+S5+R5+Q5+P5+O5</f>
        <v>0</v>
      </c>
      <c r="W5" s="386" t="e">
        <f>V5/$V$13</f>
        <v>#DIV/0!</v>
      </c>
    </row>
    <row r="6" spans="2:23" ht="15" customHeight="1">
      <c r="B6" s="535" t="s">
        <v>53</v>
      </c>
      <c r="C6" s="535"/>
      <c r="D6" s="535"/>
      <c r="E6" s="535"/>
      <c r="F6" s="535"/>
      <c r="G6" s="535"/>
      <c r="H6" s="535"/>
      <c r="I6" s="535"/>
      <c r="J6" s="535"/>
      <c r="K6" s="535"/>
      <c r="L6" s="418"/>
      <c r="M6" s="430"/>
      <c r="N6" s="430"/>
      <c r="O6" s="430">
        <f>(O7+O8)</f>
        <v>0</v>
      </c>
      <c r="P6" s="430">
        <f t="shared" ref="P6:U6" si="0">(P7+P8)</f>
        <v>0</v>
      </c>
      <c r="Q6" s="430">
        <f t="shared" si="0"/>
        <v>0</v>
      </c>
      <c r="R6" s="430">
        <f t="shared" si="0"/>
        <v>0</v>
      </c>
      <c r="S6" s="430">
        <f t="shared" si="0"/>
        <v>0</v>
      </c>
      <c r="T6" s="430">
        <f t="shared" si="0"/>
        <v>0</v>
      </c>
      <c r="U6" s="430">
        <f t="shared" si="0"/>
        <v>0</v>
      </c>
      <c r="V6" s="419">
        <f t="shared" ref="V6:V20" si="1">U6+T6+S6+R6+Q6+P6+O6</f>
        <v>0</v>
      </c>
      <c r="W6" s="386" t="e">
        <f>V6/$V$13</f>
        <v>#DIV/0!</v>
      </c>
    </row>
    <row r="7" spans="2:23" ht="15" customHeight="1">
      <c r="B7" s="52"/>
      <c r="C7" s="594" t="s">
        <v>1083</v>
      </c>
      <c r="D7" s="595"/>
      <c r="E7" s="595"/>
      <c r="F7" s="595"/>
      <c r="G7" s="595"/>
      <c r="H7" s="595"/>
      <c r="I7" s="595"/>
      <c r="J7" s="595"/>
      <c r="K7" s="596"/>
      <c r="L7" s="496"/>
      <c r="M7" s="497"/>
      <c r="N7" s="497"/>
      <c r="O7" s="497">
        <f>('B. Resumen Costes Veh_Maq'!$D$4+'B. Resumen Costes Veh_Maq'!$D$5)*O4</f>
        <v>0</v>
      </c>
      <c r="P7" s="497">
        <f>('B. Resumen Costes Veh_Maq'!$D$4+'B. Resumen Costes Veh_Maq'!$D$5)*P4</f>
        <v>0</v>
      </c>
      <c r="Q7" s="497">
        <f>('B. Resumen Costes Veh_Maq'!$D$4+'B. Resumen Costes Veh_Maq'!$D$5)*Q4</f>
        <v>0</v>
      </c>
      <c r="R7" s="497">
        <f>('B. Resumen Costes Veh_Maq'!$D$4+'B. Resumen Costes Veh_Maq'!$D$5)*R4</f>
        <v>0</v>
      </c>
      <c r="S7" s="497">
        <f>('B. Resumen Costes Veh_Maq'!$D$4+'B. Resumen Costes Veh_Maq'!$D$5)*S4</f>
        <v>0</v>
      </c>
      <c r="T7" s="497">
        <f>('B. Resumen Costes Veh_Maq'!$D$4+'B. Resumen Costes Veh_Maq'!$D$5)*T4</f>
        <v>0</v>
      </c>
      <c r="U7" s="497">
        <f>('B. Resumen Costes Veh_Maq'!$D$4+'B. Resumen Costes Veh_Maq'!$D$5)*U4</f>
        <v>0</v>
      </c>
      <c r="V7" s="498">
        <f t="shared" si="1"/>
        <v>0</v>
      </c>
      <c r="W7" s="495"/>
    </row>
    <row r="8" spans="2:23" ht="15" customHeight="1">
      <c r="B8" s="52"/>
      <c r="C8" s="499" t="s">
        <v>1086</v>
      </c>
      <c r="D8" s="500"/>
      <c r="E8" s="500"/>
      <c r="F8" s="500"/>
      <c r="G8" s="500"/>
      <c r="H8" s="500"/>
      <c r="I8" s="500"/>
      <c r="J8" s="500"/>
      <c r="K8" s="501"/>
      <c r="L8" s="496"/>
      <c r="M8" s="497"/>
      <c r="N8" s="497"/>
      <c r="O8" s="497">
        <f>('B. Resumen Costes Veh_Maq'!$H$4+'B. Resumen Costes Veh_Maq'!$H$5)*O4</f>
        <v>0</v>
      </c>
      <c r="P8" s="497">
        <f>(('B. Resumen Costes Veh_Maq'!$H$4+'B. Resumen Costes Veh_Maq'!$H$5)*(IF(('A. Resumen Costes Personal Año'!$D$14=2026),(1+'Caracteristicas Contrato'!$E$18),1)))*P4</f>
        <v>0</v>
      </c>
      <c r="Q8" s="497">
        <f>(('B. Resumen Costes Veh_Maq'!$H$4+'B. Resumen Costes Veh_Maq'!$H$5)*(IF(('A. Resumen Costes Personal Año'!$D$14=2026),(1+'Caracteristicas Contrato'!$E$18)^(2),IF(('A. Resumen Costes Personal Año'!$D$14=2027),(1+'Caracteristicas Contrato'!$E$18)^(1),1)))*Q4)</f>
        <v>0</v>
      </c>
      <c r="R8" s="497">
        <f>(('B. Resumen Costes Veh_Maq'!$H$4+'B. Resumen Costes Veh_Maq'!$H$5)*(IF(('A.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0</v>
      </c>
      <c r="S8" s="497">
        <f>(('B. Resumen Costes Veh_Maq'!$H$4+'B. Resumen Costes Veh_Maq'!$H$5)*(IF(('A.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0</v>
      </c>
      <c r="T8" s="497">
        <f>(('B. Resumen Costes Veh_Maq'!$H$4+'B. Resumen Costes Veh_Maq'!$H$5)*(IF(('A.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8" s="497">
        <f>(('B. Resumen Costes Veh_Maq'!$H$4+'B. Resumen Costes Veh_Maq'!$H$5)*(IF(('A.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8" s="498">
        <f t="shared" si="1"/>
        <v>0</v>
      </c>
      <c r="W8" s="495"/>
    </row>
    <row r="9" spans="2:23" ht="15" customHeight="1">
      <c r="B9" s="535" t="s">
        <v>54</v>
      </c>
      <c r="C9" s="535"/>
      <c r="D9" s="535"/>
      <c r="E9" s="535"/>
      <c r="F9" s="535"/>
      <c r="G9" s="535"/>
      <c r="H9" s="535"/>
      <c r="I9" s="535"/>
      <c r="J9" s="535"/>
      <c r="K9" s="535"/>
      <c r="L9" s="418"/>
      <c r="M9" s="430"/>
      <c r="N9" s="430"/>
      <c r="O9" s="430">
        <f>('C. Resumen Costes Vest_Util_Her'!$N$8)*O4</f>
        <v>0</v>
      </c>
      <c r="P9" s="430">
        <f>(('C. Resumen Costes Vest_Util_Her'!$N$8)*(IF(('A. Resumen Costes Personal Año'!$D$14=2026),(1+'Caracteristicas Contrato'!$E$18),1)))*P4</f>
        <v>0</v>
      </c>
      <c r="Q9" s="430">
        <f>(('C. Resumen Costes Vest_Util_Her'!$N$8)*(IF(('A. Resumen Costes Personal Año'!$D$14=2026),(1+'Caracteristicas Contrato'!$E$18)^(2),IF(('A. Resumen Costes Personal Año'!$D$14=2027),(1+'Caracteristicas Contrato'!$E$18)^(1),1)))*Q4)</f>
        <v>0</v>
      </c>
      <c r="R9" s="430">
        <f>(('C. Resumen Costes Vest_Util_Her'!$N$8)*(IF(('A.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0</v>
      </c>
      <c r="S9" s="430">
        <f>(('C. Resumen Costes Vest_Util_Her'!$N$8)*(IF(('A.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0</v>
      </c>
      <c r="T9" s="430">
        <f>(('C. Resumen Costes Vest_Util_Her'!$N$8)*(IF(('A.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9" s="430">
        <f>(('C. Resumen Costes Vest_Util_Her'!$N$8)*(IF(('A.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9" s="419">
        <f t="shared" si="1"/>
        <v>0</v>
      </c>
      <c r="W9" s="386" t="e">
        <f>V9/$V$13</f>
        <v>#DIV/0!</v>
      </c>
    </row>
    <row r="10" spans="2:23" ht="15" customHeight="1">
      <c r="B10" s="535" t="s">
        <v>55</v>
      </c>
      <c r="C10" s="535"/>
      <c r="D10" s="535"/>
      <c r="E10" s="535"/>
      <c r="F10" s="535"/>
      <c r="G10" s="535"/>
      <c r="H10" s="535"/>
      <c r="I10" s="535"/>
      <c r="J10" s="535"/>
      <c r="K10" s="535"/>
      <c r="L10" s="418"/>
      <c r="M10" s="430"/>
      <c r="N10" s="430"/>
      <c r="O10" s="430">
        <f>('D. Resumen Costes Locales e ins'!$N$6)*O4</f>
        <v>0</v>
      </c>
      <c r="P10" s="430">
        <f>(('D. Resumen Costes Locales e ins'!$N$6)*(IF(('A. Resumen Costes Personal Año'!$D$14=2026),(1+'Caracteristicas Contrato'!$E$18),1)))*P4</f>
        <v>0</v>
      </c>
      <c r="Q10" s="430">
        <f>(('D. Resumen Costes Locales e ins'!$N$6)*(IF(('A. Resumen Costes Personal Año'!$D$14=2026),(1+'Caracteristicas Contrato'!$E$18)^(2),IF(('A. Resumen Costes Personal Año'!$D$14=2027),(1+'Caracteristicas Contrato'!$E$18)^(1),1)))*Q4)</f>
        <v>0</v>
      </c>
      <c r="R10" s="430">
        <f>(('D. Resumen Costes Locales e ins'!$N$6)*(1+'Caracteristicas Contrato'!$E$18)*(IF(('A.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0</v>
      </c>
      <c r="S10" s="430">
        <f>(('D. Resumen Costes Locales e ins'!$N$6)*(IF(('A.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0</v>
      </c>
      <c r="T10" s="430">
        <f>(('D. Resumen Costes Locales e ins'!$N$6)*(1+'Caracteristicas Contrato'!$E$18)*(IF(('A.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10" s="430">
        <f>(('D. Resumen Costes Locales e ins'!$N$6)*(IF(('A.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10" s="419">
        <f t="shared" si="1"/>
        <v>0</v>
      </c>
      <c r="W10" s="386" t="e">
        <f>V10/$V$13</f>
        <v>#DIV/0!</v>
      </c>
    </row>
    <row r="11" spans="2:23" ht="15" customHeight="1">
      <c r="B11" s="535" t="s">
        <v>56</v>
      </c>
      <c r="C11" s="535"/>
      <c r="D11" s="535"/>
      <c r="E11" s="535"/>
      <c r="F11" s="535"/>
      <c r="G11" s="535"/>
      <c r="H11" s="535"/>
      <c r="I11" s="535"/>
      <c r="J11" s="535"/>
      <c r="K11" s="535"/>
      <c r="L11" s="418"/>
      <c r="M11" s="430"/>
      <c r="N11" s="430"/>
      <c r="O11" s="430">
        <f>('E. Resumen Costes Materiales '!$N$6)*O4</f>
        <v>0</v>
      </c>
      <c r="P11" s="430">
        <f>(('E. Resumen Costes Materiales '!$N$6)*(IF(('A. Resumen Costes Personal Año'!$D$14=2026),(1+'Caracteristicas Contrato'!$E$18),1)))*P4</f>
        <v>0</v>
      </c>
      <c r="Q11" s="430">
        <f>(('E. Resumen Costes Materiales '!$N$6)*(IF(('A. Resumen Costes Personal Año'!$D$14=2026),(1+'Caracteristicas Contrato'!$E$18)^(2),IF(('A. Resumen Costes Personal Año'!$D$14=2027),(1+'Caracteristicas Contrato'!$E$18)^(1),1)))*Q4)</f>
        <v>0</v>
      </c>
      <c r="R11" s="430">
        <f>(('E. Resumen Costes Materiales '!$N$6)*(IF(('A.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0</v>
      </c>
      <c r="S11" s="430">
        <f>(('E. Resumen Costes Materiales '!$N$6)*(IF(('A.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0</v>
      </c>
      <c r="T11" s="430">
        <f>(('E. Resumen Costes Materiales '!$N$6)*(IF(('A.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11" s="430">
        <f>(('E. Resumen Costes Materiales '!$N$6)*(IF(('A.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11" s="419">
        <f t="shared" si="1"/>
        <v>0</v>
      </c>
      <c r="W11" s="386" t="e">
        <f>V11/$V$13</f>
        <v>#DIV/0!</v>
      </c>
    </row>
    <row r="12" spans="2:23" ht="15" customHeight="1">
      <c r="B12" s="535" t="s">
        <v>57</v>
      </c>
      <c r="C12" s="535"/>
      <c r="D12" s="535"/>
      <c r="E12" s="535"/>
      <c r="F12" s="535"/>
      <c r="G12" s="535"/>
      <c r="H12" s="535"/>
      <c r="I12" s="535"/>
      <c r="J12" s="535"/>
      <c r="K12" s="535"/>
      <c r="L12" s="418"/>
      <c r="M12" s="430"/>
      <c r="N12" s="430"/>
      <c r="O12" s="430">
        <f>('F. Resumen Otros Costes'!$L$8)*O4</f>
        <v>0</v>
      </c>
      <c r="P12" s="430">
        <f>(('F. Resumen Otros Costes'!$L$8)*(IF(('A. Resumen Costes Personal Año'!$D$14=2026),(1+'Caracteristicas Contrato'!$E$18),1)))*P4</f>
        <v>0</v>
      </c>
      <c r="Q12" s="430">
        <f>(('F. Resumen Otros Costes'!$L$8)*(IF(('A. Resumen Costes Personal Año'!$D$14=2026),(1+'Caracteristicas Contrato'!$E$18)^(2),IF(('A. Resumen Costes Personal Año'!$D$14=2027),(1+'Caracteristicas Contrato'!$E$18)^(1),1)))*Q4)</f>
        <v>0</v>
      </c>
      <c r="R12" s="430">
        <f>(('F. Resumen Otros Costes'!$L$8)*(IF(('A.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0</v>
      </c>
      <c r="S12" s="430">
        <f>(('F. Resumen Otros Costes'!$L$8)*(IF(('A.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0</v>
      </c>
      <c r="T12" s="430">
        <f>(('F. Resumen Otros Costes'!$L$8)*(IF(('A.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12" s="430">
        <f>(('F. Resumen Otros Costes'!$L$8)*(IF(('A.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12" s="419">
        <f t="shared" si="1"/>
        <v>0</v>
      </c>
      <c r="W12" s="386" t="e">
        <f>V12/$V$13</f>
        <v>#DIV/0!</v>
      </c>
    </row>
    <row r="13" spans="2:23" ht="15" customHeight="1">
      <c r="B13" s="593" t="s">
        <v>1029</v>
      </c>
      <c r="C13" s="593"/>
      <c r="D13" s="593"/>
      <c r="E13" s="593"/>
      <c r="F13" s="593"/>
      <c r="G13" s="593"/>
      <c r="H13" s="593"/>
      <c r="I13" s="593"/>
      <c r="J13" s="593"/>
      <c r="K13" s="593"/>
      <c r="L13" s="431"/>
      <c r="M13" s="432"/>
      <c r="N13" s="432"/>
      <c r="O13" s="433">
        <f t="shared" ref="O13:U13" si="2">SUM(O5:O12)</f>
        <v>0</v>
      </c>
      <c r="P13" s="433">
        <f t="shared" si="2"/>
        <v>0</v>
      </c>
      <c r="Q13" s="433">
        <f t="shared" si="2"/>
        <v>0</v>
      </c>
      <c r="R13" s="433">
        <f t="shared" si="2"/>
        <v>0</v>
      </c>
      <c r="S13" s="433">
        <f t="shared" si="2"/>
        <v>0</v>
      </c>
      <c r="T13" s="433">
        <f t="shared" si="2"/>
        <v>0</v>
      </c>
      <c r="U13" s="433">
        <f t="shared" si="2"/>
        <v>0</v>
      </c>
      <c r="V13" s="433">
        <f>SUM(V9:V12)+SUM(V5:V6)</f>
        <v>0</v>
      </c>
      <c r="W13" s="387" t="e">
        <f>V13/$V$13</f>
        <v>#DIV/0!</v>
      </c>
    </row>
    <row r="14" spans="2:23" ht="15" customHeight="1">
      <c r="B14" s="535" t="s">
        <v>8</v>
      </c>
      <c r="C14" s="535"/>
      <c r="D14" s="535"/>
      <c r="E14" s="535"/>
      <c r="F14" s="535"/>
      <c r="G14" s="535"/>
      <c r="H14" s="535"/>
      <c r="I14" s="535"/>
      <c r="J14" s="535"/>
      <c r="K14" s="535"/>
      <c r="L14" s="588">
        <f>'Caracteristicas Contrato'!E12</f>
        <v>0.13</v>
      </c>
      <c r="M14" s="589"/>
      <c r="N14" s="589"/>
      <c r="O14" s="418">
        <f>O13*$L$14</f>
        <v>0</v>
      </c>
      <c r="P14" s="418">
        <f t="shared" ref="P14:U14" si="3">P13*$L$14</f>
        <v>0</v>
      </c>
      <c r="Q14" s="418">
        <f t="shared" si="3"/>
        <v>0</v>
      </c>
      <c r="R14" s="418">
        <f t="shared" si="3"/>
        <v>0</v>
      </c>
      <c r="S14" s="418">
        <f t="shared" si="3"/>
        <v>0</v>
      </c>
      <c r="T14" s="418">
        <f t="shared" si="3"/>
        <v>0</v>
      </c>
      <c r="U14" s="418">
        <f t="shared" si="3"/>
        <v>0</v>
      </c>
      <c r="V14" s="419">
        <f t="shared" si="1"/>
        <v>0</v>
      </c>
      <c r="W14" s="598"/>
    </row>
    <row r="15" spans="2:23" ht="15" customHeight="1">
      <c r="B15" s="535" t="s">
        <v>58</v>
      </c>
      <c r="C15" s="535"/>
      <c r="D15" s="535"/>
      <c r="E15" s="535"/>
      <c r="F15" s="535"/>
      <c r="G15" s="535"/>
      <c r="H15" s="535"/>
      <c r="I15" s="535"/>
      <c r="J15" s="535"/>
      <c r="K15" s="535"/>
      <c r="L15" s="588">
        <f>'Caracteristicas Contrato'!E14</f>
        <v>0.06</v>
      </c>
      <c r="M15" s="589"/>
      <c r="N15" s="589"/>
      <c r="O15" s="418">
        <f>O13*$L$15</f>
        <v>0</v>
      </c>
      <c r="P15" s="418">
        <f t="shared" ref="P15:U15" si="4">P13*$L$15</f>
        <v>0</v>
      </c>
      <c r="Q15" s="418">
        <f t="shared" si="4"/>
        <v>0</v>
      </c>
      <c r="R15" s="418">
        <f t="shared" si="4"/>
        <v>0</v>
      </c>
      <c r="S15" s="418">
        <f t="shared" si="4"/>
        <v>0</v>
      </c>
      <c r="T15" s="418">
        <f t="shared" si="4"/>
        <v>0</v>
      </c>
      <c r="U15" s="418">
        <f t="shared" si="4"/>
        <v>0</v>
      </c>
      <c r="V15" s="419">
        <f t="shared" si="1"/>
        <v>0</v>
      </c>
      <c r="W15" s="599"/>
    </row>
    <row r="16" spans="2:23" ht="15" customHeight="1">
      <c r="B16" s="592" t="s">
        <v>1030</v>
      </c>
      <c r="C16" s="592"/>
      <c r="D16" s="592"/>
      <c r="E16" s="592"/>
      <c r="F16" s="592"/>
      <c r="G16" s="592"/>
      <c r="H16" s="592"/>
      <c r="I16" s="592"/>
      <c r="J16" s="592"/>
      <c r="K16" s="592"/>
      <c r="L16" s="471"/>
      <c r="M16" s="472"/>
      <c r="N16" s="472"/>
      <c r="O16" s="55">
        <f>O13+O14+O15</f>
        <v>0</v>
      </c>
      <c r="P16" s="55">
        <f t="shared" ref="P16:U16" si="5">P13+P14+P15</f>
        <v>0</v>
      </c>
      <c r="Q16" s="55">
        <f t="shared" si="5"/>
        <v>0</v>
      </c>
      <c r="R16" s="55">
        <f t="shared" si="5"/>
        <v>0</v>
      </c>
      <c r="S16" s="55">
        <f t="shared" si="5"/>
        <v>0</v>
      </c>
      <c r="T16" s="55">
        <f t="shared" si="5"/>
        <v>0</v>
      </c>
      <c r="U16" s="55">
        <f t="shared" si="5"/>
        <v>0</v>
      </c>
      <c r="V16" s="55">
        <f>V13+V14+V15</f>
        <v>0</v>
      </c>
      <c r="W16" s="385"/>
    </row>
    <row r="17" spans="2:23" ht="15" customHeight="1">
      <c r="B17" s="535" t="s">
        <v>59</v>
      </c>
      <c r="C17" s="535"/>
      <c r="D17" s="535"/>
      <c r="E17" s="535"/>
      <c r="F17" s="535"/>
      <c r="G17" s="535"/>
      <c r="H17" s="535"/>
      <c r="I17" s="535"/>
      <c r="J17" s="535"/>
      <c r="K17" s="535"/>
      <c r="L17" s="590">
        <f>'Caracteristicas Contrato'!E8</f>
        <v>0.8</v>
      </c>
      <c r="M17" s="591"/>
      <c r="N17" s="591"/>
      <c r="O17" s="418">
        <f>O16*$L$17</f>
        <v>0</v>
      </c>
      <c r="P17" s="418">
        <f t="shared" ref="P17:U17" si="6">P16*$L$17</f>
        <v>0</v>
      </c>
      <c r="Q17" s="418">
        <f t="shared" si="6"/>
        <v>0</v>
      </c>
      <c r="R17" s="418">
        <f t="shared" si="6"/>
        <v>0</v>
      </c>
      <c r="S17" s="418">
        <f t="shared" si="6"/>
        <v>0</v>
      </c>
      <c r="T17" s="418">
        <f t="shared" si="6"/>
        <v>0</v>
      </c>
      <c r="U17" s="418">
        <f t="shared" si="6"/>
        <v>0</v>
      </c>
      <c r="V17" s="419">
        <f t="shared" si="1"/>
        <v>0</v>
      </c>
      <c r="W17" s="598"/>
    </row>
    <row r="18" spans="2:23" ht="15" customHeight="1">
      <c r="B18" s="535" t="s">
        <v>14</v>
      </c>
      <c r="C18" s="535"/>
      <c r="D18" s="535"/>
      <c r="E18" s="535"/>
      <c r="F18" s="535"/>
      <c r="G18" s="535"/>
      <c r="H18" s="535"/>
      <c r="I18" s="535"/>
      <c r="J18" s="535"/>
      <c r="K18" s="535"/>
      <c r="L18" s="588">
        <v>0.21</v>
      </c>
      <c r="M18" s="589"/>
      <c r="N18" s="589"/>
      <c r="O18" s="418">
        <f>O17*$L$18</f>
        <v>0</v>
      </c>
      <c r="P18" s="418">
        <f t="shared" ref="P18:U18" si="7">P17*$L$18</f>
        <v>0</v>
      </c>
      <c r="Q18" s="418">
        <f t="shared" si="7"/>
        <v>0</v>
      </c>
      <c r="R18" s="418">
        <f t="shared" si="7"/>
        <v>0</v>
      </c>
      <c r="S18" s="418">
        <f t="shared" si="7"/>
        <v>0</v>
      </c>
      <c r="T18" s="418">
        <f t="shared" si="7"/>
        <v>0</v>
      </c>
      <c r="U18" s="418">
        <f t="shared" si="7"/>
        <v>0</v>
      </c>
      <c r="V18" s="419">
        <f t="shared" si="1"/>
        <v>0</v>
      </c>
      <c r="W18" s="600"/>
    </row>
    <row r="19" spans="2:23" ht="15" customHeight="1">
      <c r="B19" s="535" t="s">
        <v>60</v>
      </c>
      <c r="C19" s="535"/>
      <c r="D19" s="535"/>
      <c r="E19" s="535"/>
      <c r="F19" s="535"/>
      <c r="G19" s="535"/>
      <c r="H19" s="535"/>
      <c r="I19" s="535"/>
      <c r="J19" s="535"/>
      <c r="K19" s="535"/>
      <c r="L19" s="590">
        <f>'Caracteristicas Contrato'!E10</f>
        <v>0.19999999999999996</v>
      </c>
      <c r="M19" s="591"/>
      <c r="N19" s="591"/>
      <c r="O19" s="418">
        <f>O16*$L$19</f>
        <v>0</v>
      </c>
      <c r="P19" s="418">
        <f t="shared" ref="P19:U19" si="8">P16*$L$19</f>
        <v>0</v>
      </c>
      <c r="Q19" s="418">
        <f t="shared" si="8"/>
        <v>0</v>
      </c>
      <c r="R19" s="418">
        <f t="shared" si="8"/>
        <v>0</v>
      </c>
      <c r="S19" s="418">
        <f t="shared" si="8"/>
        <v>0</v>
      </c>
      <c r="T19" s="418">
        <f t="shared" si="8"/>
        <v>0</v>
      </c>
      <c r="U19" s="418">
        <f t="shared" si="8"/>
        <v>0</v>
      </c>
      <c r="V19" s="419">
        <f t="shared" si="1"/>
        <v>0</v>
      </c>
      <c r="W19" s="600"/>
    </row>
    <row r="20" spans="2:23" ht="15" customHeight="1">
      <c r="B20" s="535" t="s">
        <v>16</v>
      </c>
      <c r="C20" s="535"/>
      <c r="D20" s="535"/>
      <c r="E20" s="535"/>
      <c r="F20" s="535"/>
      <c r="G20" s="535"/>
      <c r="H20" s="535"/>
      <c r="I20" s="535"/>
      <c r="J20" s="535"/>
      <c r="K20" s="535"/>
      <c r="L20" s="588">
        <v>0.1</v>
      </c>
      <c r="M20" s="589"/>
      <c r="N20" s="589"/>
      <c r="O20" s="418">
        <f>O19*$L$20</f>
        <v>0</v>
      </c>
      <c r="P20" s="418">
        <f t="shared" ref="P20:U20" si="9">P19*$L$20</f>
        <v>0</v>
      </c>
      <c r="Q20" s="418">
        <f t="shared" si="9"/>
        <v>0</v>
      </c>
      <c r="R20" s="418">
        <f t="shared" si="9"/>
        <v>0</v>
      </c>
      <c r="S20" s="418">
        <f t="shared" si="9"/>
        <v>0</v>
      </c>
      <c r="T20" s="418">
        <f t="shared" si="9"/>
        <v>0</v>
      </c>
      <c r="U20" s="418">
        <f t="shared" si="9"/>
        <v>0</v>
      </c>
      <c r="V20" s="419">
        <f t="shared" si="1"/>
        <v>0</v>
      </c>
      <c r="W20" s="599"/>
    </row>
    <row r="21" spans="2:23" ht="15" customHeight="1">
      <c r="B21" s="587" t="s">
        <v>1031</v>
      </c>
      <c r="C21" s="587"/>
      <c r="D21" s="587"/>
      <c r="E21" s="587"/>
      <c r="F21" s="587"/>
      <c r="G21" s="587"/>
      <c r="H21" s="587"/>
      <c r="I21" s="587"/>
      <c r="J21" s="587"/>
      <c r="K21" s="587"/>
      <c r="L21" s="233"/>
      <c r="M21" s="233"/>
      <c r="N21" s="233"/>
      <c r="O21" s="435">
        <f>O16+O18+O20</f>
        <v>0</v>
      </c>
      <c r="P21" s="435">
        <f t="shared" ref="P21:U21" si="10">P16+P18+P20</f>
        <v>0</v>
      </c>
      <c r="Q21" s="435">
        <f t="shared" si="10"/>
        <v>0</v>
      </c>
      <c r="R21" s="435">
        <f t="shared" si="10"/>
        <v>0</v>
      </c>
      <c r="S21" s="435">
        <f t="shared" si="10"/>
        <v>0</v>
      </c>
      <c r="T21" s="435">
        <f t="shared" si="10"/>
        <v>0</v>
      </c>
      <c r="U21" s="435">
        <f t="shared" si="10"/>
        <v>0</v>
      </c>
      <c r="V21" s="435">
        <f>SUM(V17:V20)</f>
        <v>0</v>
      </c>
      <c r="W21" s="233"/>
    </row>
    <row r="22" spans="2:23" s="46" customFormat="1" ht="15" customHeight="1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2:23" s="46" customFormat="1" ht="15" customHeight="1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2:23" s="46" customFormat="1" ht="15" customHeight="1">
      <c r="B24" s="502" t="s">
        <v>1084</v>
      </c>
      <c r="C24" s="228"/>
      <c r="D24" s="228"/>
      <c r="E24" s="228"/>
      <c r="F24" s="228"/>
      <c r="G24" s="228"/>
      <c r="H24" s="228"/>
      <c r="I24" s="228"/>
      <c r="J24" s="228"/>
      <c r="K24" s="228"/>
      <c r="L24" s="429"/>
      <c r="M24" s="429"/>
      <c r="N24" s="429"/>
      <c r="O24" s="429" t="s">
        <v>1085</v>
      </c>
      <c r="P24" s="48"/>
      <c r="Q24" s="48"/>
      <c r="R24" s="48"/>
      <c r="S24" s="48"/>
      <c r="T24" s="48"/>
      <c r="U24" s="48"/>
      <c r="V24" s="48"/>
      <c r="W24" s="48"/>
    </row>
    <row r="25" spans="2:23" s="46" customFormat="1" ht="15" customHeight="1"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429"/>
      <c r="M25" s="429"/>
      <c r="N25" s="429"/>
      <c r="O25" s="482"/>
      <c r="P25" s="48"/>
      <c r="Q25" s="48"/>
      <c r="R25" s="48"/>
      <c r="S25" s="48"/>
      <c r="T25" s="48"/>
      <c r="U25" s="48"/>
      <c r="V25" s="48"/>
      <c r="W25" s="48"/>
    </row>
    <row r="26" spans="2:23" s="46" customFormat="1" ht="15" customHeight="1">
      <c r="B26" s="535" t="s">
        <v>52</v>
      </c>
      <c r="C26" s="535"/>
      <c r="D26" s="535"/>
      <c r="E26" s="535"/>
      <c r="F26" s="535"/>
      <c r="G26" s="535"/>
      <c r="H26" s="535"/>
      <c r="I26" s="535"/>
      <c r="J26" s="535"/>
      <c r="K26" s="535"/>
      <c r="L26" s="418"/>
      <c r="M26" s="430"/>
      <c r="N26" s="430"/>
      <c r="O26" s="430">
        <f>(O5+P5+Q5+R5+S5+T5+U5)/($O$4+$P$4+$Q$4+$R$4+$S$4+$T$4+$U$4)</f>
        <v>0</v>
      </c>
      <c r="P26" s="48"/>
      <c r="Q26" s="48"/>
      <c r="R26" s="48"/>
      <c r="S26" s="48"/>
      <c r="T26" s="48"/>
      <c r="U26" s="48"/>
      <c r="V26" s="48"/>
      <c r="W26" s="48"/>
    </row>
    <row r="27" spans="2:23" s="46" customFormat="1" ht="15" customHeight="1">
      <c r="B27" s="535" t="s">
        <v>53</v>
      </c>
      <c r="C27" s="535"/>
      <c r="D27" s="535"/>
      <c r="E27" s="535"/>
      <c r="F27" s="535"/>
      <c r="G27" s="535"/>
      <c r="H27" s="535"/>
      <c r="I27" s="535"/>
      <c r="J27" s="535"/>
      <c r="K27" s="535"/>
      <c r="L27" s="418"/>
      <c r="M27" s="430"/>
      <c r="N27" s="430"/>
      <c r="O27" s="430">
        <f>(O6+P6+Q6+R6+S6+T6+U6)/($O$4+$P$4+$Q$4+$R$4+$S$4+$T$4+$U$4)</f>
        <v>0</v>
      </c>
      <c r="P27" s="48"/>
      <c r="Q27" s="48"/>
      <c r="R27" s="48"/>
      <c r="S27" s="48"/>
      <c r="T27" s="48"/>
      <c r="U27" s="48"/>
      <c r="V27" s="48"/>
      <c r="W27" s="48"/>
    </row>
    <row r="28" spans="2:23" s="46" customFormat="1" ht="15" customHeight="1">
      <c r="B28" s="52"/>
      <c r="C28" s="594" t="s">
        <v>1083</v>
      </c>
      <c r="D28" s="595"/>
      <c r="E28" s="595"/>
      <c r="F28" s="595"/>
      <c r="G28" s="595"/>
      <c r="H28" s="595"/>
      <c r="I28" s="595"/>
      <c r="J28" s="595"/>
      <c r="K28" s="596"/>
      <c r="L28" s="496"/>
      <c r="M28" s="497"/>
      <c r="N28" s="497"/>
      <c r="O28" s="497">
        <f t="shared" ref="O28:O33" si="11">(O7+P7+Q7+R7+S7+T7+U7)/($O$4+$P$4+$Q$4+$R$4+$S$4+$T$4+$U$4)</f>
        <v>0</v>
      </c>
      <c r="P28" s="48"/>
      <c r="Q28" s="48"/>
      <c r="R28" s="48"/>
      <c r="S28" s="48"/>
      <c r="T28" s="48"/>
      <c r="U28" s="48"/>
      <c r="V28" s="48"/>
      <c r="W28" s="48"/>
    </row>
    <row r="29" spans="2:23" s="46" customFormat="1" ht="15" customHeight="1">
      <c r="B29" s="52"/>
      <c r="C29" s="499" t="s">
        <v>1086</v>
      </c>
      <c r="D29" s="500"/>
      <c r="E29" s="500"/>
      <c r="F29" s="500"/>
      <c r="G29" s="500"/>
      <c r="H29" s="500"/>
      <c r="I29" s="500"/>
      <c r="J29" s="500"/>
      <c r="K29" s="501"/>
      <c r="L29" s="496"/>
      <c r="M29" s="497"/>
      <c r="N29" s="497"/>
      <c r="O29" s="497">
        <f t="shared" si="11"/>
        <v>0</v>
      </c>
      <c r="P29" s="48"/>
      <c r="Q29" s="48"/>
      <c r="R29" s="48"/>
      <c r="S29" s="48"/>
      <c r="T29" s="48"/>
      <c r="U29" s="48"/>
      <c r="V29" s="48"/>
      <c r="W29" s="48"/>
    </row>
    <row r="30" spans="2:23" s="46" customFormat="1" ht="15" customHeight="1">
      <c r="B30" s="535" t="s">
        <v>54</v>
      </c>
      <c r="C30" s="535"/>
      <c r="D30" s="535"/>
      <c r="E30" s="535"/>
      <c r="F30" s="535"/>
      <c r="G30" s="535"/>
      <c r="H30" s="535"/>
      <c r="I30" s="535"/>
      <c r="J30" s="535"/>
      <c r="K30" s="535"/>
      <c r="L30" s="418"/>
      <c r="M30" s="430"/>
      <c r="N30" s="430"/>
      <c r="O30" s="430">
        <f t="shared" si="11"/>
        <v>0</v>
      </c>
      <c r="P30" s="48"/>
      <c r="Q30" s="48"/>
      <c r="R30" s="48"/>
      <c r="S30" s="48"/>
      <c r="T30" s="48"/>
      <c r="U30" s="48"/>
      <c r="V30" s="48"/>
      <c r="W30" s="48"/>
    </row>
    <row r="31" spans="2:23" s="46" customFormat="1" ht="15" customHeight="1">
      <c r="B31" s="535" t="s">
        <v>55</v>
      </c>
      <c r="C31" s="535"/>
      <c r="D31" s="535"/>
      <c r="E31" s="535"/>
      <c r="F31" s="535"/>
      <c r="G31" s="535"/>
      <c r="H31" s="535"/>
      <c r="I31" s="535"/>
      <c r="J31" s="535"/>
      <c r="K31" s="535"/>
      <c r="L31" s="418"/>
      <c r="M31" s="430"/>
      <c r="N31" s="430"/>
      <c r="O31" s="430">
        <f t="shared" si="11"/>
        <v>0</v>
      </c>
      <c r="P31" s="48"/>
      <c r="Q31" s="48"/>
      <c r="R31" s="48"/>
      <c r="S31" s="48"/>
      <c r="T31" s="48"/>
      <c r="U31" s="48"/>
      <c r="V31" s="48"/>
      <c r="W31" s="48"/>
    </row>
    <row r="32" spans="2:23" s="46" customFormat="1" ht="15" customHeight="1">
      <c r="B32" s="535" t="s">
        <v>56</v>
      </c>
      <c r="C32" s="535"/>
      <c r="D32" s="535"/>
      <c r="E32" s="535"/>
      <c r="F32" s="535"/>
      <c r="G32" s="535"/>
      <c r="H32" s="535"/>
      <c r="I32" s="535"/>
      <c r="J32" s="535"/>
      <c r="K32" s="535"/>
      <c r="L32" s="418"/>
      <c r="M32" s="430"/>
      <c r="N32" s="430"/>
      <c r="O32" s="430">
        <f t="shared" si="11"/>
        <v>0</v>
      </c>
      <c r="P32" s="48"/>
      <c r="Q32" s="48"/>
      <c r="R32" s="48"/>
      <c r="S32" s="48"/>
      <c r="T32" s="48"/>
      <c r="U32" s="48"/>
      <c r="V32" s="48"/>
      <c r="W32" s="48"/>
    </row>
    <row r="33" spans="2:23" s="46" customFormat="1" ht="15" customHeight="1">
      <c r="B33" s="535" t="s">
        <v>57</v>
      </c>
      <c r="C33" s="535"/>
      <c r="D33" s="535"/>
      <c r="E33" s="535"/>
      <c r="F33" s="535"/>
      <c r="G33" s="535"/>
      <c r="H33" s="535"/>
      <c r="I33" s="535"/>
      <c r="J33" s="535"/>
      <c r="K33" s="535"/>
      <c r="L33" s="418"/>
      <c r="M33" s="430"/>
      <c r="N33" s="430"/>
      <c r="O33" s="430">
        <f t="shared" si="11"/>
        <v>0</v>
      </c>
      <c r="P33" s="48"/>
      <c r="Q33" s="48"/>
      <c r="R33" s="48"/>
      <c r="S33" s="48"/>
      <c r="T33" s="48"/>
      <c r="U33" s="48"/>
      <c r="V33" s="48"/>
      <c r="W33" s="48"/>
    </row>
    <row r="34" spans="2:23" s="46" customFormat="1" ht="15" customHeight="1">
      <c r="B34" s="593" t="s">
        <v>1029</v>
      </c>
      <c r="C34" s="593"/>
      <c r="D34" s="593"/>
      <c r="E34" s="593"/>
      <c r="F34" s="593"/>
      <c r="G34" s="593"/>
      <c r="H34" s="593"/>
      <c r="I34" s="593"/>
      <c r="J34" s="593"/>
      <c r="K34" s="593"/>
      <c r="L34" s="431"/>
      <c r="M34" s="432"/>
      <c r="N34" s="432"/>
      <c r="O34" s="433">
        <f t="shared" ref="O34" si="12">SUM(O26:O33)</f>
        <v>0</v>
      </c>
      <c r="P34" s="48"/>
      <c r="Q34" s="48"/>
      <c r="R34" s="48"/>
      <c r="S34" s="48"/>
      <c r="T34" s="48"/>
      <c r="U34" s="48"/>
      <c r="V34" s="48"/>
      <c r="W34" s="48"/>
    </row>
    <row r="35" spans="2:23" s="46" customFormat="1" ht="15" customHeight="1">
      <c r="B35" s="535" t="s">
        <v>8</v>
      </c>
      <c r="C35" s="535"/>
      <c r="D35" s="535"/>
      <c r="E35" s="535"/>
      <c r="F35" s="535"/>
      <c r="G35" s="535"/>
      <c r="H35" s="535"/>
      <c r="I35" s="535"/>
      <c r="J35" s="535"/>
      <c r="K35" s="535"/>
      <c r="L35" s="588">
        <f>L14</f>
        <v>0.13</v>
      </c>
      <c r="M35" s="589"/>
      <c r="N35" s="589"/>
      <c r="O35" s="418">
        <f>O34*$L$14</f>
        <v>0</v>
      </c>
      <c r="P35" s="48"/>
      <c r="Q35" s="48"/>
      <c r="R35" s="48"/>
      <c r="S35" s="48"/>
      <c r="T35" s="48"/>
      <c r="U35" s="48"/>
      <c r="V35" s="48"/>
      <c r="W35" s="48"/>
    </row>
    <row r="36" spans="2:23" s="46" customFormat="1" ht="15" customHeight="1">
      <c r="B36" s="535" t="s">
        <v>58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88">
        <f>L15</f>
        <v>0.06</v>
      </c>
      <c r="M36" s="589"/>
      <c r="N36" s="589"/>
      <c r="O36" s="418">
        <f>O34*$L$15</f>
        <v>0</v>
      </c>
      <c r="P36" s="48"/>
      <c r="Q36" s="48"/>
      <c r="R36" s="48"/>
      <c r="S36" s="48"/>
      <c r="T36" s="48"/>
      <c r="U36" s="48"/>
      <c r="V36" s="48"/>
      <c r="W36" s="48"/>
    </row>
    <row r="37" spans="2:23" s="46" customFormat="1" ht="15" customHeight="1">
      <c r="B37" s="592" t="s">
        <v>1030</v>
      </c>
      <c r="C37" s="592"/>
      <c r="D37" s="592"/>
      <c r="E37" s="592"/>
      <c r="F37" s="592"/>
      <c r="G37" s="592"/>
      <c r="H37" s="592"/>
      <c r="I37" s="592"/>
      <c r="J37" s="592"/>
      <c r="K37" s="592"/>
      <c r="L37" s="471"/>
      <c r="M37" s="472"/>
      <c r="N37" s="472"/>
      <c r="O37" s="55">
        <f>O34+O35+O36</f>
        <v>0</v>
      </c>
      <c r="P37" s="48"/>
      <c r="Q37" s="48"/>
      <c r="R37" s="48"/>
      <c r="S37" s="48"/>
      <c r="T37" s="48"/>
      <c r="U37" s="48"/>
      <c r="V37" s="48"/>
      <c r="W37" s="48"/>
    </row>
    <row r="38" spans="2:23" s="46" customFormat="1" ht="15" customHeight="1">
      <c r="B38" s="535" t="s">
        <v>59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90">
        <f>L17</f>
        <v>0.8</v>
      </c>
      <c r="M38" s="591"/>
      <c r="N38" s="591"/>
      <c r="O38" s="418">
        <f>O37*$L$17</f>
        <v>0</v>
      </c>
      <c r="P38" s="48"/>
      <c r="Q38" s="48"/>
      <c r="R38" s="48"/>
      <c r="S38" s="48"/>
      <c r="T38" s="48"/>
      <c r="U38" s="48"/>
      <c r="V38" s="48"/>
      <c r="W38" s="48"/>
    </row>
    <row r="39" spans="2:23" s="46" customFormat="1" ht="15" customHeight="1">
      <c r="B39" s="535" t="s">
        <v>14</v>
      </c>
      <c r="C39" s="535"/>
      <c r="D39" s="535"/>
      <c r="E39" s="535"/>
      <c r="F39" s="535"/>
      <c r="G39" s="535"/>
      <c r="H39" s="535"/>
      <c r="I39" s="535"/>
      <c r="J39" s="535"/>
      <c r="K39" s="535"/>
      <c r="L39" s="588">
        <v>0.21</v>
      </c>
      <c r="M39" s="589"/>
      <c r="N39" s="589"/>
      <c r="O39" s="418">
        <f>O38*$L$18</f>
        <v>0</v>
      </c>
      <c r="P39" s="48"/>
      <c r="Q39" s="48"/>
      <c r="R39" s="48"/>
      <c r="S39" s="48"/>
      <c r="T39" s="48"/>
      <c r="U39" s="48"/>
      <c r="V39" s="48"/>
      <c r="W39" s="48"/>
    </row>
    <row r="40" spans="2:23" s="46" customFormat="1" ht="15" customHeight="1">
      <c r="B40" s="535" t="s">
        <v>60</v>
      </c>
      <c r="C40" s="535"/>
      <c r="D40" s="535"/>
      <c r="E40" s="535"/>
      <c r="F40" s="535"/>
      <c r="G40" s="535"/>
      <c r="H40" s="535"/>
      <c r="I40" s="535"/>
      <c r="J40" s="535"/>
      <c r="K40" s="535"/>
      <c r="L40" s="590">
        <f>L19</f>
        <v>0.19999999999999996</v>
      </c>
      <c r="M40" s="591"/>
      <c r="N40" s="591"/>
      <c r="O40" s="418">
        <f>O37*$L$19</f>
        <v>0</v>
      </c>
      <c r="P40" s="48"/>
      <c r="Q40" s="48"/>
      <c r="R40" s="48"/>
      <c r="S40" s="48"/>
      <c r="T40" s="48"/>
      <c r="U40" s="48"/>
      <c r="V40" s="48"/>
      <c r="W40" s="48"/>
    </row>
    <row r="41" spans="2:23" s="46" customFormat="1" ht="15" customHeight="1">
      <c r="B41" s="535" t="s">
        <v>16</v>
      </c>
      <c r="C41" s="535"/>
      <c r="D41" s="535"/>
      <c r="E41" s="535"/>
      <c r="F41" s="535"/>
      <c r="G41" s="535"/>
      <c r="H41" s="535"/>
      <c r="I41" s="535"/>
      <c r="J41" s="535"/>
      <c r="K41" s="535"/>
      <c r="L41" s="588">
        <v>0.1</v>
      </c>
      <c r="M41" s="589"/>
      <c r="N41" s="589"/>
      <c r="O41" s="418">
        <f>O40*$L$20</f>
        <v>0</v>
      </c>
      <c r="P41" s="48"/>
      <c r="Q41" s="48"/>
      <c r="R41" s="48"/>
      <c r="S41" s="48"/>
      <c r="T41" s="48"/>
      <c r="U41" s="48"/>
      <c r="V41" s="48"/>
      <c r="W41" s="48"/>
    </row>
    <row r="42" spans="2:23" s="46" customFormat="1" ht="15" customHeight="1">
      <c r="B42" s="587" t="s">
        <v>1031</v>
      </c>
      <c r="C42" s="587"/>
      <c r="D42" s="587"/>
      <c r="E42" s="587"/>
      <c r="F42" s="587"/>
      <c r="G42" s="587"/>
      <c r="H42" s="587"/>
      <c r="I42" s="587"/>
      <c r="J42" s="587"/>
      <c r="K42" s="587"/>
      <c r="L42" s="233"/>
      <c r="M42" s="233"/>
      <c r="N42" s="233"/>
      <c r="O42" s="435">
        <f>O37+O39+O41</f>
        <v>0</v>
      </c>
      <c r="P42" s="48"/>
      <c r="Q42" s="48"/>
      <c r="R42" s="48"/>
      <c r="S42" s="48"/>
      <c r="T42" s="48"/>
      <c r="U42" s="48"/>
      <c r="V42" s="48"/>
      <c r="W42" s="48"/>
    </row>
    <row r="43" spans="2:23" s="46" customFormat="1" ht="15" customHeight="1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</row>
    <row r="44" spans="2:23" s="46" customFormat="1" ht="15" customHeight="1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</row>
    <row r="45" spans="2:23" s="46" customFormat="1" ht="1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2:23" s="46" customFormat="1" ht="15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2:23" s="46" customFormat="1" ht="15" customHeigh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  <row r="48" spans="2:23" s="46" customFormat="1" ht="15" customHeight="1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</row>
    <row r="49" spans="2:23" s="46" customFormat="1" ht="15" customHeight="1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</row>
    <row r="50" spans="2:23" s="46" customFormat="1" ht="15" customHeight="1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</row>
    <row r="51" spans="2:23" s="46" customFormat="1" ht="15" customHeight="1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</row>
    <row r="52" spans="2:23" s="46" customFormat="1" ht="15" customHeight="1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</row>
    <row r="53" spans="2:23" s="46" customFormat="1" ht="15" customHeight="1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</row>
    <row r="54" spans="2:23" s="46" customFormat="1" ht="15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</row>
    <row r="55" spans="2:23" s="46" customFormat="1" ht="1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</row>
    <row r="56" spans="2:23" s="46" customFormat="1" ht="15" customHeight="1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</row>
    <row r="57" spans="2:23" s="46" customFormat="1" ht="15" customHeight="1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</row>
    <row r="58" spans="2:23" s="46" customFormat="1" ht="15" customHeight="1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</row>
    <row r="59" spans="2:23" s="46" customFormat="1" ht="15" customHeight="1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</row>
    <row r="60" spans="2:23" s="46" customFormat="1" ht="15" customHeight="1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</row>
    <row r="61" spans="2:23" s="46" customFormat="1" ht="15" customHeight="1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</row>
    <row r="62" spans="2:23" s="46" customFormat="1" ht="1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</row>
    <row r="63" spans="2:23" s="46" customFormat="1" ht="1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</row>
    <row r="64" spans="2:23" s="46" customFormat="1" ht="15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</row>
    <row r="65" spans="2:23" s="46" customFormat="1" ht="15" customHeight="1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</row>
    <row r="66" spans="2:23" s="46" customFormat="1" ht="15" customHeight="1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</row>
    <row r="67" spans="2:23" s="46" customFormat="1" ht="15" customHeight="1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</row>
    <row r="68" spans="2:23" s="46" customFormat="1" ht="15" customHeight="1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</row>
    <row r="69" spans="2:23" s="46" customFormat="1" ht="15" customHeight="1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</row>
    <row r="70" spans="2:23" s="46" customFormat="1" ht="15" customHeight="1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</row>
    <row r="71" spans="2:23" s="46" customFormat="1" ht="15" customHeight="1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2:23" s="46" customFormat="1" ht="1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</row>
    <row r="73" spans="2:23" s="46" customFormat="1" ht="15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</row>
    <row r="74" spans="2:23" s="46" customFormat="1" ht="15" customHeight="1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</row>
    <row r="75" spans="2:23" s="46" customFormat="1" ht="15" customHeight="1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  <row r="76" spans="2:23" s="46" customFormat="1" ht="1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</row>
    <row r="77" spans="2:23" s="46" customFormat="1" ht="15" customHeight="1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</row>
    <row r="78" spans="2:23" s="46" customFormat="1" ht="15" customHeight="1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</row>
    <row r="79" spans="2:23" s="46" customFormat="1" ht="15" customHeight="1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</row>
    <row r="80" spans="2:23" s="46" customFormat="1" ht="15" customHeight="1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</row>
    <row r="81" spans="2:23" s="46" customFormat="1" ht="15" customHeight="1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</row>
    <row r="82" spans="2:23" s="46" customFormat="1" ht="15" customHeight="1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</row>
    <row r="83" spans="2:23" s="46" customFormat="1" ht="15" customHeight="1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</row>
    <row r="84" spans="2:23" s="46" customFormat="1" ht="15" customHeight="1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2:23" s="46" customFormat="1" ht="15" customHeight="1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2:23" s="46" customFormat="1" ht="15" customHeight="1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2:23" s="46" customFormat="1" ht="15" customHeight="1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2:23" s="46" customFormat="1" ht="15" customHeight="1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2:23" s="46" customFormat="1" ht="15" customHeight="1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2:23" s="46" customFormat="1" ht="15" customHeight="1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2:23" s="46" customFormat="1" ht="15" customHeight="1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  <row r="92" spans="2:23" s="46" customFormat="1" ht="15" customHeight="1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</row>
    <row r="93" spans="2:23" s="46" customFormat="1" ht="15" customHeight="1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</row>
    <row r="94" spans="2:23" s="46" customFormat="1" ht="15" customHeight="1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</row>
    <row r="95" spans="2:23" s="46" customFormat="1" ht="15" customHeight="1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</row>
    <row r="96" spans="2:23" s="46" customFormat="1" ht="15" customHeight="1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</row>
    <row r="97" spans="2:23" s="46" customFormat="1" ht="15" customHeight="1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</row>
    <row r="98" spans="2:23" s="46" customFormat="1" ht="15" customHeight="1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</row>
    <row r="99" spans="2:23" s="46" customFormat="1" ht="15" customHeight="1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</row>
    <row r="100" spans="2:23" s="46" customFormat="1" ht="15" customHeight="1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</row>
    <row r="101" spans="2:23" s="46" customFormat="1" ht="15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</row>
    <row r="102" spans="2:23" s="46" customFormat="1" ht="15" customHeight="1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</row>
    <row r="103" spans="2:23" s="46" customFormat="1" ht="15" customHeight="1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</row>
    <row r="104" spans="2:23" s="46" customFormat="1" ht="15" customHeight="1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</row>
    <row r="105" spans="2:23" s="46" customFormat="1" ht="15" customHeight="1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</row>
    <row r="106" spans="2:23" s="46" customFormat="1" ht="15" customHeight="1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</row>
    <row r="107" spans="2:23" s="46" customFormat="1" ht="15" customHeight="1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</row>
    <row r="108" spans="2:23" s="46" customFormat="1" ht="15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</row>
    <row r="109" spans="2:23" s="46" customFormat="1" ht="15" customHeight="1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</row>
    <row r="110" spans="2:23" s="46" customFormat="1" ht="15" customHeight="1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</row>
    <row r="111" spans="2:23" s="46" customFormat="1" ht="15" customHeight="1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</row>
    <row r="112" spans="2:23" s="46" customFormat="1" ht="15" customHeight="1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</row>
    <row r="113" spans="2:23" s="46" customFormat="1" ht="15" customHeight="1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</row>
    <row r="114" spans="2:23" s="46" customFormat="1" ht="15" customHeight="1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</row>
    <row r="115" spans="2:23" s="46" customFormat="1" ht="15" customHeight="1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</row>
    <row r="116" spans="2:23" s="46" customFormat="1" ht="15" customHeight="1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</row>
    <row r="117" spans="2:23" s="46" customFormat="1" ht="15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</row>
    <row r="118" spans="2:23" s="46" customFormat="1" ht="15" customHeight="1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</row>
    <row r="119" spans="2:23" s="46" customFormat="1" ht="15" customHeight="1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</row>
    <row r="120" spans="2:23" s="46" customFormat="1" ht="15" customHeight="1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</row>
    <row r="121" spans="2:23" s="46" customFormat="1" ht="15" customHeight="1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</row>
    <row r="122" spans="2:23" s="46" customFormat="1" ht="15" customHeight="1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</row>
    <row r="123" spans="2:23" s="46" customFormat="1" ht="15" customHeight="1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</row>
    <row r="124" spans="2:23" s="46" customFormat="1" ht="15" customHeight="1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</row>
    <row r="125" spans="2:23" s="46" customFormat="1" ht="15" customHeight="1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</row>
    <row r="126" spans="2:23" s="46" customFormat="1" ht="15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</row>
    <row r="127" spans="2:23" s="46" customFormat="1" ht="15" customHeight="1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</row>
    <row r="128" spans="2:23" s="46" customFormat="1" ht="15" customHeight="1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</row>
    <row r="129" spans="2:23" s="46" customFormat="1" ht="15" customHeight="1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</row>
    <row r="130" spans="2:23" s="46" customFormat="1" ht="15" customHeight="1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</row>
    <row r="131" spans="2:23" s="46" customFormat="1" ht="15" customHeight="1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</row>
    <row r="132" spans="2:23" s="46" customFormat="1" ht="15" customHeight="1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</row>
    <row r="133" spans="2:23" s="46" customFormat="1" ht="15" customHeight="1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</row>
    <row r="134" spans="2:23" s="46" customFormat="1" ht="15" customHeight="1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</row>
    <row r="135" spans="2:23" s="46" customFormat="1" ht="15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</row>
    <row r="136" spans="2:23" s="46" customFormat="1" ht="15" customHeight="1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</row>
    <row r="137" spans="2:23" s="46" customFormat="1" ht="15" customHeight="1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</row>
    <row r="138" spans="2:23" s="46" customFormat="1" ht="15" customHeight="1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</row>
    <row r="139" spans="2:23" s="46" customFormat="1" ht="15" customHeight="1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</row>
    <row r="140" spans="2:23" s="46" customFormat="1" ht="15" customHeight="1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</row>
    <row r="141" spans="2:23" s="46" customFormat="1" ht="15" customHeight="1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</row>
    <row r="142" spans="2:23" s="46" customFormat="1" ht="15" customHeight="1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</row>
    <row r="143" spans="2:23" s="46" customFormat="1" ht="15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</row>
    <row r="144" spans="2:23" s="46" customFormat="1" ht="15" customHeight="1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</row>
    <row r="145" spans="2:23" s="46" customFormat="1" ht="15" customHeight="1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</row>
    <row r="146" spans="2:23" s="46" customFormat="1" ht="15" customHeight="1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</row>
    <row r="147" spans="2:23" s="46" customFormat="1" ht="15" customHeight="1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</row>
    <row r="148" spans="2:23" s="46" customFormat="1" ht="15" customHeight="1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</row>
    <row r="149" spans="2:23" s="46" customFormat="1" ht="15" customHeight="1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</row>
    <row r="150" spans="2:23" s="46" customFormat="1" ht="15" customHeight="1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</row>
    <row r="151" spans="2:23" s="46" customFormat="1" ht="15" customHeight="1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</row>
    <row r="152" spans="2:23" s="46" customFormat="1" ht="15" customHeight="1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</row>
    <row r="153" spans="2:23" s="46" customFormat="1" ht="15" customHeight="1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</row>
    <row r="154" spans="2:23" s="46" customFormat="1" ht="15" customHeight="1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</row>
    <row r="155" spans="2:23" s="46" customFormat="1" ht="15" customHeight="1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</row>
    <row r="156" spans="2:23" s="46" customFormat="1" ht="15" customHeight="1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</row>
    <row r="157" spans="2:23" s="46" customFormat="1" ht="15" customHeight="1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</row>
    <row r="158" spans="2:23" s="46" customFormat="1" ht="15" customHeight="1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</row>
    <row r="159" spans="2:23" s="46" customFormat="1" ht="15" customHeight="1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</row>
    <row r="160" spans="2:23" s="46" customFormat="1" ht="15" customHeight="1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</row>
    <row r="161" spans="2:23" s="46" customFormat="1" ht="15" customHeight="1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</row>
    <row r="162" spans="2:23" s="46" customFormat="1" ht="15" customHeight="1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</row>
    <row r="163" spans="2:23" s="46" customFormat="1" ht="15" customHeight="1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</row>
    <row r="164" spans="2:23" s="46" customFormat="1" ht="15" customHeight="1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</row>
    <row r="165" spans="2:23" s="46" customFormat="1" ht="15" customHeight="1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</row>
    <row r="166" spans="2:23" s="46" customFormat="1" ht="15" customHeight="1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</row>
    <row r="167" spans="2:23" s="46" customFormat="1" ht="15" customHeight="1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</row>
    <row r="168" spans="2:23" s="46" customFormat="1" ht="15" customHeight="1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</row>
    <row r="169" spans="2:23" s="46" customFormat="1" ht="15" customHeight="1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</row>
    <row r="170" spans="2:23" s="46" customFormat="1" ht="15" customHeight="1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</row>
    <row r="171" spans="2:23" s="46" customFormat="1" ht="15" customHeight="1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</row>
    <row r="172" spans="2:23" s="46" customFormat="1" ht="15" customHeight="1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</row>
    <row r="173" spans="2:23" s="46" customFormat="1" ht="15" customHeight="1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</row>
    <row r="174" spans="2:23" s="46" customFormat="1" ht="15" customHeight="1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</row>
    <row r="175" spans="2:23" s="46" customFormat="1" ht="15" customHeight="1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</row>
    <row r="176" spans="2:23" s="46" customFormat="1" ht="15" customHeight="1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</row>
    <row r="177" spans="2:23" s="46" customFormat="1" ht="15" customHeight="1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</row>
    <row r="178" spans="2:23" s="46" customFormat="1" ht="15" customHeight="1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</row>
    <row r="179" spans="2:23" s="46" customFormat="1" ht="15" customHeight="1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</row>
    <row r="180" spans="2:23" s="46" customFormat="1" ht="15" customHeight="1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</row>
    <row r="181" spans="2:23" s="46" customFormat="1" ht="15" customHeight="1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</row>
    <row r="182" spans="2:23" s="46" customFormat="1" ht="15" customHeight="1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</row>
    <row r="183" spans="2:23" s="46" customFormat="1" ht="15" customHeight="1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</row>
    <row r="184" spans="2:23" s="46" customFormat="1" ht="15" customHeight="1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</row>
    <row r="185" spans="2:23" s="46" customFormat="1" ht="15" customHeight="1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</row>
    <row r="186" spans="2:23" s="46" customFormat="1" ht="15" customHeight="1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</row>
    <row r="187" spans="2:23" s="46" customFormat="1" ht="15" customHeight="1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</row>
    <row r="188" spans="2:23" s="46" customFormat="1" ht="15" customHeight="1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</row>
    <row r="189" spans="2:23" s="46" customFormat="1" ht="15" customHeight="1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</row>
    <row r="190" spans="2:23" s="46" customFormat="1" ht="15" customHeight="1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</row>
    <row r="191" spans="2:23" s="46" customFormat="1" ht="15" customHeight="1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</row>
    <row r="192" spans="2:23" s="46" customFormat="1" ht="15" customHeight="1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</row>
    <row r="193" spans="2:23" s="46" customFormat="1" ht="15" customHeight="1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</row>
    <row r="194" spans="2:23" s="46" customFormat="1" ht="15" customHeight="1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</row>
    <row r="195" spans="2:23" s="46" customFormat="1" ht="15" customHeight="1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</row>
    <row r="196" spans="2:23" s="46" customFormat="1" ht="15" customHeight="1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</row>
    <row r="197" spans="2:23" s="46" customFormat="1" ht="15" customHeight="1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</row>
    <row r="198" spans="2:23" s="46" customFormat="1" ht="15" customHeight="1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</row>
    <row r="199" spans="2:23" s="46" customFormat="1" ht="15" customHeight="1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</row>
    <row r="200" spans="2:23" s="46" customFormat="1" ht="15" customHeight="1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</row>
    <row r="201" spans="2:23" s="46" customFormat="1" ht="15" customHeight="1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</row>
    <row r="202" spans="2:23" s="46" customFormat="1" ht="15" customHeight="1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</row>
    <row r="203" spans="2:23" s="46" customFormat="1" ht="15" customHeight="1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</row>
    <row r="204" spans="2:23" s="46" customFormat="1" ht="15" customHeight="1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</row>
    <row r="205" spans="2:23" s="46" customFormat="1" ht="15" customHeight="1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</row>
    <row r="206" spans="2:23" s="46" customFormat="1" ht="15" customHeight="1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</row>
    <row r="207" spans="2:23" s="46" customFormat="1" ht="15" customHeight="1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</row>
    <row r="208" spans="2:23" s="46" customFormat="1" ht="15" customHeight="1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</row>
    <row r="209" spans="2:23" s="46" customFormat="1" ht="15" customHeight="1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</row>
    <row r="210" spans="2:23" s="46" customFormat="1" ht="15" customHeight="1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</row>
    <row r="211" spans="2:23" s="46" customFormat="1" ht="15" customHeight="1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</row>
    <row r="212" spans="2:23" s="46" customFormat="1" ht="15" customHeight="1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</row>
    <row r="213" spans="2:23" s="46" customFormat="1" ht="15" customHeight="1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</row>
    <row r="214" spans="2:23" s="46" customFormat="1" ht="15" customHeight="1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</row>
    <row r="215" spans="2:23" s="46" customFormat="1" ht="15" customHeight="1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</row>
    <row r="216" spans="2:23" s="46" customFormat="1" ht="15" customHeight="1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</row>
    <row r="217" spans="2:23" s="46" customFormat="1" ht="15" customHeight="1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</row>
    <row r="218" spans="2:23" s="46" customFormat="1" ht="15" customHeight="1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</row>
    <row r="219" spans="2:23" s="46" customFormat="1" ht="15" customHeight="1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</row>
    <row r="220" spans="2:23" s="46" customFormat="1" ht="15" customHeight="1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</row>
    <row r="221" spans="2:23" s="46" customFormat="1" ht="15" customHeight="1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</row>
    <row r="222" spans="2:23" s="46" customFormat="1" ht="15" customHeight="1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</row>
    <row r="223" spans="2:23" s="46" customFormat="1" ht="15" customHeight="1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</row>
    <row r="224" spans="2:23" s="46" customFormat="1" ht="15" customHeight="1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</row>
    <row r="225" spans="2:23" s="46" customFormat="1" ht="15" customHeight="1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</row>
    <row r="226" spans="2:23" s="46" customFormat="1" ht="15" customHeight="1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</row>
    <row r="227" spans="2:23" s="46" customFormat="1" ht="15" customHeight="1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</row>
    <row r="228" spans="2:23" s="46" customFormat="1" ht="15" customHeight="1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</row>
    <row r="229" spans="2:23" s="46" customFormat="1" ht="15" customHeight="1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</row>
    <row r="230" spans="2:23" s="46" customFormat="1" ht="15" customHeight="1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</row>
    <row r="231" spans="2:23" s="46" customFormat="1" ht="15" customHeight="1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</row>
    <row r="232" spans="2:23" s="46" customFormat="1" ht="15" customHeight="1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</row>
    <row r="233" spans="2:23" s="46" customFormat="1" ht="15" customHeight="1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</row>
    <row r="234" spans="2:23" s="46" customFormat="1" ht="15" customHeight="1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</row>
    <row r="235" spans="2:23" s="46" customFormat="1" ht="15" customHeight="1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</row>
    <row r="236" spans="2:23" s="46" customFormat="1" ht="15" customHeight="1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</row>
    <row r="237" spans="2:23" s="46" customFormat="1" ht="15" customHeight="1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</row>
    <row r="238" spans="2:23" s="46" customFormat="1" ht="15" customHeight="1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</row>
    <row r="239" spans="2:23" s="46" customFormat="1" ht="15" customHeight="1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</row>
    <row r="240" spans="2:23" s="46" customFormat="1" ht="15" customHeight="1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</row>
    <row r="241" spans="2:23" s="46" customFormat="1" ht="15" customHeight="1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</row>
    <row r="242" spans="2:23" s="46" customFormat="1" ht="15" customHeight="1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</row>
    <row r="243" spans="2:23" s="46" customFormat="1" ht="15" customHeight="1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</row>
    <row r="244" spans="2:23" s="46" customFormat="1" ht="15" customHeight="1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</row>
    <row r="245" spans="2:23" s="46" customFormat="1" ht="15" customHeight="1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</row>
    <row r="246" spans="2:23" s="46" customFormat="1" ht="15" customHeight="1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</row>
    <row r="247" spans="2:23" s="46" customFormat="1" ht="15" customHeight="1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</row>
    <row r="248" spans="2:23" s="46" customFormat="1" ht="15" customHeight="1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</row>
    <row r="249" spans="2:23" s="46" customFormat="1" ht="15" customHeight="1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</row>
    <row r="250" spans="2:23" s="46" customFormat="1" ht="15" customHeight="1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</row>
    <row r="251" spans="2:23" s="46" customFormat="1" ht="15" customHeight="1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</row>
    <row r="252" spans="2:23" s="46" customFormat="1" ht="15" customHeight="1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</row>
    <row r="253" spans="2:23" s="46" customFormat="1" ht="15" customHeight="1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</row>
    <row r="254" spans="2:23" s="46" customFormat="1" ht="15" customHeight="1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</row>
    <row r="255" spans="2:23" s="46" customFormat="1" ht="15" customHeight="1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</row>
    <row r="256" spans="2:23" s="46" customFormat="1" ht="15" customHeight="1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</row>
    <row r="257" spans="2:23" s="46" customFormat="1" ht="15" customHeight="1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</row>
    <row r="258" spans="2:23" s="46" customFormat="1" ht="15" customHeight="1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</row>
    <row r="259" spans="2:23" s="46" customFormat="1" ht="15" customHeight="1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</row>
    <row r="260" spans="2:23" s="46" customFormat="1" ht="15" customHeight="1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</row>
    <row r="261" spans="2:23" s="46" customFormat="1" ht="15" customHeight="1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</row>
    <row r="262" spans="2:23" s="46" customFormat="1" ht="15" customHeight="1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</row>
    <row r="263" spans="2:23" s="46" customFormat="1" ht="15" customHeight="1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</row>
    <row r="264" spans="2:23" s="46" customFormat="1" ht="15" customHeight="1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</row>
    <row r="265" spans="2:23" s="46" customFormat="1" ht="15" customHeight="1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</row>
    <row r="266" spans="2:23" s="46" customFormat="1" ht="15" customHeight="1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</row>
    <row r="267" spans="2:23" s="46" customFormat="1" ht="15" customHeight="1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</row>
    <row r="268" spans="2:23" s="46" customFormat="1" ht="15" customHeight="1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</row>
    <row r="269" spans="2:23" s="46" customFormat="1" ht="15" customHeight="1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</row>
    <row r="270" spans="2:23" s="46" customFormat="1" ht="15" customHeight="1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</row>
    <row r="271" spans="2:23" s="46" customFormat="1" ht="15" customHeight="1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</row>
    <row r="272" spans="2:23" s="46" customFormat="1" ht="15" customHeight="1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</row>
    <row r="273" spans="2:23" s="46" customFormat="1" ht="15" customHeight="1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</row>
    <row r="274" spans="2:23" s="46" customFormat="1" ht="15" customHeight="1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</row>
    <row r="275" spans="2:23" s="46" customFormat="1" ht="15" customHeight="1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</row>
    <row r="276" spans="2:23" s="46" customFormat="1" ht="15" customHeight="1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</row>
    <row r="277" spans="2:23" s="46" customFormat="1" ht="15" customHeight="1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</row>
    <row r="278" spans="2:23" s="46" customFormat="1" ht="15" customHeight="1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</row>
    <row r="279" spans="2:23" s="46" customFormat="1" ht="15" customHeight="1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</row>
    <row r="280" spans="2:23" s="46" customFormat="1" ht="15" customHeight="1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</row>
    <row r="281" spans="2:23" s="46" customFormat="1" ht="15" customHeight="1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</row>
    <row r="282" spans="2:23" s="46" customFormat="1" ht="15" customHeight="1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</row>
    <row r="283" spans="2:23" s="46" customFormat="1" ht="15" customHeight="1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</row>
    <row r="284" spans="2:23" s="46" customFormat="1" ht="15" customHeight="1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</row>
    <row r="285" spans="2:23" s="46" customFormat="1" ht="15" customHeight="1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</row>
    <row r="286" spans="2:23" s="46" customFormat="1" ht="15" customHeight="1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</row>
    <row r="287" spans="2:23" s="46" customFormat="1" ht="15" customHeight="1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</row>
    <row r="288" spans="2:23" s="46" customFormat="1" ht="15" customHeight="1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</row>
    <row r="289" spans="2:23" s="46" customFormat="1" ht="15" customHeight="1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</row>
    <row r="290" spans="2:23" s="46" customFormat="1" ht="15" customHeight="1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</row>
    <row r="291" spans="2:23" s="46" customFormat="1" ht="15" customHeight="1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</row>
    <row r="292" spans="2:23" s="46" customFormat="1" ht="15" customHeight="1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</row>
    <row r="293" spans="2:23" s="46" customFormat="1" ht="15" customHeight="1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</row>
    <row r="294" spans="2:23" s="46" customFormat="1" ht="15" customHeight="1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</row>
    <row r="295" spans="2:23" s="46" customFormat="1" ht="15" customHeight="1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</row>
    <row r="296" spans="2:23" s="46" customFormat="1" ht="15" customHeight="1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</row>
    <row r="297" spans="2:23" s="46" customFormat="1" ht="15" customHeight="1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</row>
    <row r="298" spans="2:23" s="46" customFormat="1" ht="15" customHeight="1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</row>
    <row r="299" spans="2:23" s="46" customFormat="1" ht="15" customHeight="1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</row>
    <row r="300" spans="2:23" s="46" customFormat="1" ht="15" customHeight="1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</row>
    <row r="301" spans="2:23" s="46" customFormat="1" ht="15" customHeight="1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</row>
    <row r="302" spans="2:23" s="46" customFormat="1" ht="15" customHeight="1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</row>
    <row r="303" spans="2:23" s="46" customFormat="1" ht="15" customHeight="1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</row>
    <row r="304" spans="2:23" s="46" customFormat="1" ht="15" customHeight="1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</row>
    <row r="305" spans="2:23" s="46" customFormat="1" ht="15" customHeight="1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</row>
    <row r="306" spans="2:23" s="46" customFormat="1" ht="15" customHeight="1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</row>
    <row r="307" spans="2:23" s="46" customFormat="1" ht="15" customHeight="1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</row>
    <row r="308" spans="2:23" s="46" customFormat="1" ht="15" customHeight="1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</row>
    <row r="309" spans="2:23" s="46" customFormat="1" ht="15" customHeight="1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</row>
    <row r="310" spans="2:23" s="46" customFormat="1" ht="15" customHeight="1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</row>
    <row r="311" spans="2:23" s="46" customFormat="1" ht="15" customHeight="1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</row>
    <row r="312" spans="2:23" s="46" customFormat="1" ht="15" customHeight="1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</row>
    <row r="313" spans="2:23" s="46" customFormat="1" ht="15" customHeight="1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</row>
    <row r="314" spans="2:23" s="46" customFormat="1" ht="15" customHeight="1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</row>
    <row r="315" spans="2:23" s="46" customFormat="1" ht="15" customHeight="1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</row>
    <row r="316" spans="2:23" s="46" customFormat="1" ht="15" customHeight="1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</row>
    <row r="317" spans="2:23" s="46" customFormat="1" ht="15" customHeight="1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</row>
    <row r="318" spans="2:23" s="46" customFormat="1" ht="15" customHeight="1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</row>
    <row r="319" spans="2:23" s="46" customFormat="1" ht="15" customHeight="1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</row>
    <row r="320" spans="2:23" s="46" customFormat="1" ht="15" customHeight="1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</row>
    <row r="321" spans="2:23" s="46" customFormat="1" ht="15" customHeight="1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</row>
    <row r="322" spans="2:23" s="46" customFormat="1" ht="15" customHeight="1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</row>
    <row r="323" spans="2:23" s="46" customFormat="1" ht="15" customHeight="1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</row>
    <row r="324" spans="2:23" s="46" customFormat="1" ht="15" customHeight="1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</row>
    <row r="325" spans="2:23" s="46" customFormat="1" ht="15" customHeight="1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</row>
    <row r="326" spans="2:23" s="46" customFormat="1" ht="15" customHeight="1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</row>
    <row r="327" spans="2:23" s="46" customFormat="1" ht="15" customHeight="1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</row>
    <row r="328" spans="2:23" s="46" customFormat="1" ht="15" customHeight="1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</row>
    <row r="329" spans="2:23" s="46" customFormat="1" ht="15" customHeight="1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</row>
    <row r="330" spans="2:23" s="46" customFormat="1" ht="15" customHeight="1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</row>
    <row r="331" spans="2:23" s="46" customFormat="1" ht="15" customHeight="1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</row>
    <row r="332" spans="2:23" s="46" customFormat="1" ht="15" customHeight="1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</row>
    <row r="333" spans="2:23" s="46" customFormat="1" ht="15" customHeight="1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</row>
    <row r="334" spans="2:23" s="46" customFormat="1" ht="15" customHeight="1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</row>
    <row r="335" spans="2:23" s="46" customFormat="1" ht="15" customHeight="1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</row>
    <row r="336" spans="2:23" s="46" customFormat="1" ht="15" customHeight="1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</row>
    <row r="337" spans="2:23" s="46" customFormat="1" ht="15" customHeight="1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</row>
    <row r="338" spans="2:23" s="46" customFormat="1" ht="15" customHeight="1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</row>
    <row r="339" spans="2:23" s="46" customFormat="1" ht="15" customHeight="1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</row>
    <row r="340" spans="2:23" s="46" customFormat="1" ht="15" customHeight="1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</row>
    <row r="341" spans="2:23" s="46" customFormat="1" ht="15" customHeight="1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</row>
    <row r="342" spans="2:23" s="46" customFormat="1" ht="15" customHeight="1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</row>
    <row r="343" spans="2:23" s="46" customFormat="1" ht="15" customHeight="1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</row>
    <row r="344" spans="2:23" s="46" customFormat="1" ht="15" customHeight="1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</row>
    <row r="345" spans="2:23" s="46" customFormat="1" ht="15" customHeight="1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</row>
    <row r="346" spans="2:23" s="46" customFormat="1" ht="15" customHeight="1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</row>
    <row r="347" spans="2:23" s="46" customFormat="1" ht="15" customHeight="1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</row>
    <row r="348" spans="2:23" s="46" customFormat="1" ht="15" customHeight="1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</row>
    <row r="349" spans="2:23" s="46" customFormat="1" ht="15" customHeight="1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</row>
    <row r="350" spans="2:23" s="46" customFormat="1" ht="15" customHeight="1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</row>
    <row r="351" spans="2:23" s="46" customFormat="1" ht="15" customHeight="1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</row>
    <row r="352" spans="2:23" s="46" customFormat="1" ht="15" customHeight="1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</row>
    <row r="353" spans="2:23" s="46" customFormat="1" ht="15" customHeight="1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</row>
    <row r="354" spans="2:23" s="46" customFormat="1" ht="15" customHeight="1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</row>
    <row r="355" spans="2:23" s="46" customFormat="1" ht="15" customHeight="1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</row>
    <row r="356" spans="2:23" s="46" customFormat="1" ht="15" customHeight="1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</row>
    <row r="357" spans="2:23" s="46" customFormat="1" ht="15" customHeight="1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</row>
    <row r="358" spans="2:23" s="46" customFormat="1" ht="15" customHeight="1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</row>
    <row r="359" spans="2:23" s="46" customFormat="1" ht="15" customHeight="1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</row>
    <row r="360" spans="2:23" s="46" customFormat="1" ht="15" customHeight="1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</row>
    <row r="361" spans="2:23" s="46" customFormat="1" ht="15" customHeight="1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</row>
    <row r="362" spans="2:23" s="46" customFormat="1" ht="15" customHeight="1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</row>
    <row r="363" spans="2:23" s="46" customFormat="1" ht="15" customHeight="1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</row>
    <row r="364" spans="2:23" s="46" customFormat="1" ht="15" customHeight="1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</row>
    <row r="365" spans="2:23" s="46" customFormat="1" ht="15" customHeight="1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</row>
    <row r="366" spans="2:23" s="46" customFormat="1" ht="15" customHeight="1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</row>
    <row r="367" spans="2:23" s="46" customFormat="1" ht="15" customHeight="1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</row>
    <row r="368" spans="2:23" s="46" customFormat="1" ht="15" customHeight="1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</row>
    <row r="369" spans="2:23" s="46" customFormat="1" ht="15" customHeight="1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</row>
    <row r="370" spans="2:23" s="46" customFormat="1" ht="15" customHeight="1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</row>
    <row r="371" spans="2:23" s="46" customFormat="1" ht="15" customHeight="1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</row>
    <row r="372" spans="2:23" s="46" customFormat="1" ht="15" customHeight="1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</row>
    <row r="373" spans="2:23" s="46" customFormat="1" ht="15" customHeight="1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</row>
    <row r="374" spans="2:23" s="46" customFormat="1" ht="15" customHeight="1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</row>
    <row r="375" spans="2:23" s="46" customFormat="1" ht="15" customHeight="1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</row>
    <row r="376" spans="2:23" s="46" customFormat="1" ht="15" customHeight="1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</row>
    <row r="377" spans="2:23" s="46" customFormat="1" ht="15" customHeight="1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</row>
    <row r="378" spans="2:23" s="46" customFormat="1" ht="15" customHeight="1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</row>
    <row r="379" spans="2:23" s="46" customFormat="1" ht="15" customHeight="1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</row>
    <row r="380" spans="2:23" s="46" customFormat="1" ht="15" customHeight="1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</row>
    <row r="381" spans="2:23" s="46" customFormat="1" ht="15" customHeight="1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</row>
    <row r="382" spans="2:23" s="46" customFormat="1" ht="15" customHeight="1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</row>
    <row r="383" spans="2:23" s="46" customFormat="1" ht="15" customHeight="1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</row>
    <row r="384" spans="2:23" s="46" customFormat="1" ht="15" customHeight="1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</row>
    <row r="385" spans="2:23" s="46" customFormat="1" ht="15" customHeight="1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</row>
    <row r="386" spans="2:23" s="46" customFormat="1" ht="15" customHeight="1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</row>
    <row r="387" spans="2:23" s="46" customFormat="1" ht="15" customHeight="1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</row>
    <row r="388" spans="2:23" s="46" customFormat="1" ht="15" customHeight="1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</row>
    <row r="389" spans="2:23" s="46" customFormat="1" ht="15" customHeight="1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</row>
    <row r="390" spans="2:23" s="46" customFormat="1" ht="15" customHeight="1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</row>
    <row r="391" spans="2:23" s="46" customFormat="1" ht="15" customHeight="1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</row>
    <row r="392" spans="2:23" s="46" customFormat="1" ht="15" customHeight="1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</row>
    <row r="393" spans="2:23" s="46" customFormat="1" ht="15" customHeight="1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</row>
    <row r="394" spans="2:23" s="46" customFormat="1" ht="15" customHeight="1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</row>
    <row r="395" spans="2:23" s="46" customFormat="1" ht="15" customHeight="1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</row>
    <row r="396" spans="2:23" s="46" customFormat="1" ht="15" customHeight="1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</row>
    <row r="397" spans="2:23" s="46" customFormat="1" ht="15" customHeight="1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</row>
    <row r="398" spans="2:23" s="46" customFormat="1" ht="15" customHeight="1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</row>
    <row r="399" spans="2:23" s="46" customFormat="1" ht="15" customHeight="1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</row>
    <row r="400" spans="2:23" s="46" customFormat="1" ht="15" customHeight="1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</row>
    <row r="401" spans="2:23" s="46" customFormat="1" ht="15" customHeight="1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</row>
    <row r="402" spans="2:23" s="46" customFormat="1" ht="15" customHeight="1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</row>
    <row r="403" spans="2:23" s="46" customFormat="1" ht="15" customHeight="1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</row>
    <row r="404" spans="2:23" s="46" customFormat="1" ht="15" customHeight="1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</row>
    <row r="405" spans="2:23" s="46" customFormat="1" ht="15" customHeight="1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</row>
    <row r="406" spans="2:23" s="46" customFormat="1" ht="15" customHeight="1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</row>
    <row r="407" spans="2:23" s="46" customFormat="1" ht="15" customHeight="1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</row>
    <row r="408" spans="2:23" s="46" customFormat="1" ht="15" customHeight="1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</row>
    <row r="409" spans="2:23" s="46" customFormat="1" ht="15" customHeight="1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2:23" s="46" customFormat="1" ht="15" customHeight="1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2:23" s="46" customFormat="1" ht="15" customHeight="1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2:23" s="46" customFormat="1" ht="15" customHeight="1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2:23" s="46" customFormat="1" ht="15" customHeight="1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2:23" s="46" customFormat="1" ht="15" customHeight="1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2:23" s="46" customFormat="1" ht="15" customHeight="1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2:23" s="46" customFormat="1" ht="15" customHeight="1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2:23" s="46" customFormat="1" ht="15" customHeight="1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2:23" s="46" customFormat="1" ht="15" customHeight="1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2:23" s="46" customFormat="1" ht="15" customHeight="1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2:23" s="46" customFormat="1" ht="15" customHeight="1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2:23" s="46" customFormat="1" ht="15" customHeight="1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2:23" s="46" customFormat="1" ht="15" customHeight="1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2:23" s="46" customFormat="1" ht="15" customHeight="1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2:23" s="46" customFormat="1" ht="15" customHeight="1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2:23" s="46" customFormat="1" ht="15" customHeight="1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2:23" s="46" customFormat="1" ht="15" customHeight="1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2:23" s="46" customFormat="1" ht="15" customHeight="1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2:23" s="46" customFormat="1" ht="15" customHeight="1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2:23" s="46" customFormat="1" ht="15" customHeight="1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2:23" s="46" customFormat="1" ht="15" customHeight="1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2:23" s="46" customFormat="1" ht="15" customHeight="1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2:23" s="46" customFormat="1" ht="15" customHeight="1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2:23" s="46" customFormat="1" ht="15" customHeight="1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2:23" s="46" customFormat="1" ht="15" customHeight="1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2:23" s="46" customFormat="1" ht="15" customHeight="1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2:23" s="46" customFormat="1" ht="15" customHeight="1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2:23" s="46" customFormat="1" ht="15" customHeight="1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2:23" s="46" customFormat="1" ht="15" customHeight="1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2:23" s="46" customFormat="1" ht="15" customHeight="1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2:23" s="46" customFormat="1" ht="15" customHeight="1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2:23" s="46" customFormat="1" ht="15" customHeight="1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2:23" s="46" customFormat="1" ht="15" customHeight="1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2:23" s="46" customFormat="1" ht="15" customHeight="1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2:23" s="46" customFormat="1" ht="15" customHeight="1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2:23" s="46" customFormat="1" ht="15" customHeight="1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2:23" s="46" customFormat="1" ht="15" customHeight="1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2:23" s="46" customFormat="1" ht="15" customHeight="1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2:23" s="46" customFormat="1" ht="15" customHeight="1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2:23" s="46" customFormat="1" ht="15" customHeight="1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2:23" s="46" customFormat="1" ht="15" customHeight="1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2:23" s="46" customFormat="1" ht="15" customHeight="1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2:23" s="46" customFormat="1" ht="15" customHeight="1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2:23" s="46" customFormat="1" ht="15" customHeight="1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2:23" s="46" customFormat="1" ht="15" customHeight="1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2:23" s="46" customFormat="1" ht="15" customHeight="1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2:23" s="46" customFormat="1" ht="15" customHeight="1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2:23" s="46" customFormat="1" ht="15" customHeight="1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2:23" s="46" customFormat="1" ht="15" customHeight="1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2:23" s="46" customFormat="1" ht="15" customHeight="1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2:23" s="46" customFormat="1" ht="15" customHeight="1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2:23" s="46" customFormat="1" ht="15" customHeight="1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2:23" s="46" customFormat="1" ht="15" customHeight="1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2:23" s="46" customFormat="1" ht="15" customHeight="1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2:23" s="46" customFormat="1" ht="15" customHeight="1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2:23" s="46" customFormat="1" ht="15" customHeight="1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2:23" s="46" customFormat="1" ht="15" customHeight="1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2:23" s="46" customFormat="1" ht="15" customHeight="1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2:23" s="46" customFormat="1" ht="15" customHeight="1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2:23" s="46" customFormat="1" ht="15" customHeight="1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2:23" s="46" customFormat="1" ht="15" customHeight="1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2:23" s="46" customFormat="1" ht="15" customHeight="1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2:23" s="46" customFormat="1" ht="15" customHeight="1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2:23" s="46" customFormat="1" ht="15" customHeight="1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2:23" s="46" customFormat="1" ht="15" customHeight="1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2:23" s="46" customFormat="1" ht="15" customHeight="1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2:23" s="46" customFormat="1" ht="15" customHeight="1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2:23" s="46" customFormat="1" ht="15" customHeight="1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2:23" s="46" customFormat="1" ht="15" customHeight="1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2:23" s="46" customFormat="1" ht="15" customHeight="1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2:23" s="46" customFormat="1" ht="15" customHeight="1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2:23" s="46" customFormat="1" ht="15" customHeight="1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2:23" s="46" customFormat="1" ht="15" customHeight="1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2:23" s="46" customFormat="1" ht="15" customHeight="1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2:23" s="46" customFormat="1" ht="15" customHeight="1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2:23" s="46" customFormat="1" ht="15" customHeight="1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2:23" s="46" customFormat="1" ht="15" customHeight="1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2:23" s="46" customFormat="1" ht="15" customHeight="1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2:23" s="46" customFormat="1" ht="15" customHeight="1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2:23" s="46" customFormat="1" ht="15" customHeight="1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2:23" s="46" customFormat="1" ht="15" customHeight="1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2:23" s="46" customFormat="1" ht="15" customHeight="1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2:23" s="46" customFormat="1" ht="15" customHeight="1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2:23" s="46" customFormat="1" ht="15" customHeight="1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2:23" s="46" customFormat="1" ht="15" customHeight="1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2:23" s="46" customFormat="1" ht="15" customHeight="1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2:23" s="46" customFormat="1" ht="15" customHeight="1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2:23" s="46" customFormat="1" ht="15" customHeight="1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2:23" s="46" customFormat="1" ht="15" customHeight="1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2:23" s="46" customFormat="1" ht="15" customHeight="1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2:23" s="46" customFormat="1" ht="15" customHeight="1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2:23" s="46" customFormat="1" ht="15" customHeight="1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2:23" s="46" customFormat="1" ht="15" customHeight="1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2:23" s="46" customFormat="1" ht="15" customHeight="1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2:23" s="46" customFormat="1" ht="15" customHeight="1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2:23" s="46" customFormat="1" ht="15" customHeight="1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2:23" s="46" customFormat="1" ht="15" customHeight="1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2:23" s="46" customFormat="1" ht="15" customHeight="1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2:23" s="46" customFormat="1" ht="15" customHeight="1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2:23" s="46" customFormat="1" ht="15" customHeight="1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2:23" s="46" customFormat="1" ht="15" customHeight="1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2:23" s="46" customFormat="1" ht="15" customHeight="1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2:23" s="46" customFormat="1" ht="15" customHeight="1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2:23" s="46" customFormat="1" ht="15" customHeight="1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2:23" s="46" customFormat="1" ht="15" customHeight="1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2:23" s="46" customFormat="1" ht="15" customHeight="1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2:23" s="46" customFormat="1" ht="15" customHeight="1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2:23" s="46" customFormat="1" ht="15" customHeight="1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2:23" s="46" customFormat="1" ht="15" customHeight="1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2:23" s="46" customFormat="1" ht="15" customHeight="1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2:23" s="46" customFormat="1" ht="15" customHeight="1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2:23" s="46" customFormat="1" ht="15" customHeight="1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2:23" s="46" customFormat="1" ht="15" customHeight="1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2:23" s="46" customFormat="1" ht="15" customHeight="1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2:23" s="46" customFormat="1" ht="15" customHeight="1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2:23" s="46" customFormat="1" ht="15" customHeight="1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2:23" s="46" customFormat="1" ht="15" customHeight="1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2:23" s="46" customFormat="1" ht="15" customHeight="1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2:23" s="46" customFormat="1" ht="15" customHeight="1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2:23" s="46" customFormat="1" ht="15" customHeight="1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2:23" s="46" customFormat="1" ht="15" customHeight="1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2:23" s="46" customFormat="1" ht="15" customHeight="1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2:23" s="46" customFormat="1" ht="15" customHeight="1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2:23" s="46" customFormat="1" ht="15" customHeight="1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2:23" s="46" customFormat="1" ht="15" customHeight="1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2:23" s="46" customFormat="1" ht="15" customHeight="1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2:23" s="46" customFormat="1" ht="15" customHeight="1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2:23" s="46" customFormat="1" ht="15" customHeight="1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2:23" s="46" customFormat="1" ht="15" customHeight="1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2:23" s="46" customFormat="1" ht="15" customHeight="1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2:23" s="46" customFormat="1" ht="15" customHeight="1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2:23" s="46" customFormat="1" ht="15" customHeight="1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2:23" s="46" customFormat="1" ht="15" customHeight="1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</sheetData>
  <mergeCells count="47">
    <mergeCell ref="W17:W20"/>
    <mergeCell ref="B20:K20"/>
    <mergeCell ref="L20:N20"/>
    <mergeCell ref="B16:K16"/>
    <mergeCell ref="B17:K17"/>
    <mergeCell ref="L17:N17"/>
    <mergeCell ref="B21:K21"/>
    <mergeCell ref="B18:K18"/>
    <mergeCell ref="L18:N18"/>
    <mergeCell ref="B19:K19"/>
    <mergeCell ref="L19:N19"/>
    <mergeCell ref="B12:K12"/>
    <mergeCell ref="B13:K13"/>
    <mergeCell ref="W14:W15"/>
    <mergeCell ref="B14:K14"/>
    <mergeCell ref="L14:N14"/>
    <mergeCell ref="B15:K15"/>
    <mergeCell ref="L15:N15"/>
    <mergeCell ref="B10:K10"/>
    <mergeCell ref="B11:K11"/>
    <mergeCell ref="B6:K6"/>
    <mergeCell ref="B9:K9"/>
    <mergeCell ref="B1:W1"/>
    <mergeCell ref="B5:K5"/>
    <mergeCell ref="C7:K7"/>
    <mergeCell ref="B26:K26"/>
    <mergeCell ref="B27:K27"/>
    <mergeCell ref="C28:K28"/>
    <mergeCell ref="B30:K30"/>
    <mergeCell ref="B31:K31"/>
    <mergeCell ref="B32:K32"/>
    <mergeCell ref="B33:K33"/>
    <mergeCell ref="B34:K34"/>
    <mergeCell ref="B35:K35"/>
    <mergeCell ref="L35:N35"/>
    <mergeCell ref="B36:K36"/>
    <mergeCell ref="L36:N36"/>
    <mergeCell ref="B37:K37"/>
    <mergeCell ref="B38:K38"/>
    <mergeCell ref="L38:N38"/>
    <mergeCell ref="B42:K42"/>
    <mergeCell ref="B39:K39"/>
    <mergeCell ref="L39:N39"/>
    <mergeCell ref="B40:K40"/>
    <mergeCell ref="L40:N40"/>
    <mergeCell ref="B41:K41"/>
    <mergeCell ref="L41:N41"/>
  </mergeCells>
  <conditionalFormatting sqref="O26:O42">
    <cfRule type="cellIs" dxfId="122" priority="1" operator="equal">
      <formula>0</formula>
    </cfRule>
  </conditionalFormatting>
  <conditionalFormatting sqref="O5:V21">
    <cfRule type="cellIs" dxfId="121" priority="2" operator="equal">
      <formula>0</formula>
    </cfRule>
  </conditionalFormatting>
  <printOptions horizontalCentered="1"/>
  <pageMargins left="0.511811023622047" right="0.511811023622047" top="0.55118110236220497" bottom="0.55118110236220497" header="0.31496062992126" footer="0.31496062992126"/>
  <pageSetup paperSize="9" scale="4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-0.249977111117893"/>
    <pageSetUpPr fitToPage="1"/>
  </sheetPr>
  <dimension ref="A1:O515"/>
  <sheetViews>
    <sheetView showGridLines="0" workbookViewId="0">
      <selection activeCell="D17" sqref="D17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5.33203125" style="48" customWidth="1"/>
    <col min="4" max="6" width="5.6640625" style="48" customWidth="1"/>
    <col min="7" max="7" width="7.33203125" style="48" customWidth="1"/>
    <col min="8" max="15" width="5.6640625" style="48" customWidth="1"/>
    <col min="16" max="18" width="3.33203125" style="48" customWidth="1"/>
    <col min="19" max="16384" width="11.44140625" style="48"/>
  </cols>
  <sheetData>
    <row r="1" spans="2:15" ht="15" customHeight="1">
      <c r="B1" s="597" t="s">
        <v>796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</row>
    <row r="2" spans="2:15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15" ht="22.5" customHeight="1">
      <c r="B3" s="760" t="s">
        <v>98</v>
      </c>
      <c r="C3" s="760"/>
      <c r="D3" s="760"/>
      <c r="E3" s="760"/>
      <c r="F3" s="760"/>
      <c r="G3" s="760"/>
      <c r="H3" s="760"/>
      <c r="I3" s="760"/>
      <c r="J3" s="760"/>
      <c r="K3" s="760"/>
      <c r="L3" s="603" t="s">
        <v>99</v>
      </c>
      <c r="M3" s="603"/>
      <c r="N3" s="603"/>
      <c r="O3" s="604"/>
    </row>
    <row r="4" spans="2:15" ht="15" customHeight="1">
      <c r="B4" s="51" t="s">
        <v>797</v>
      </c>
      <c r="C4" s="535" t="s">
        <v>798</v>
      </c>
      <c r="D4" s="535"/>
      <c r="E4" s="535"/>
      <c r="F4" s="535"/>
      <c r="G4" s="535"/>
      <c r="H4" s="535"/>
      <c r="I4" s="535"/>
      <c r="J4" s="535"/>
      <c r="K4" s="535"/>
      <c r="L4" s="754">
        <f>'F.1. Eq_Tecno_Soft'!I19</f>
        <v>0</v>
      </c>
      <c r="M4" s="754"/>
      <c r="N4" s="754"/>
      <c r="O4" s="754"/>
    </row>
    <row r="5" spans="2:15" ht="15" customHeight="1">
      <c r="B5" s="51" t="s">
        <v>799</v>
      </c>
      <c r="C5" s="535" t="s">
        <v>800</v>
      </c>
      <c r="D5" s="535"/>
      <c r="E5" s="535"/>
      <c r="F5" s="535"/>
      <c r="G5" s="535"/>
      <c r="H5" s="535"/>
      <c r="I5" s="535"/>
      <c r="J5" s="535"/>
      <c r="K5" s="535"/>
      <c r="L5" s="754">
        <f>'F.2 Inventario'!F27/'Caracteristicas Contrato'!J8</f>
        <v>0</v>
      </c>
      <c r="M5" s="754"/>
      <c r="N5" s="754"/>
      <c r="O5" s="754"/>
    </row>
    <row r="6" spans="2:15" ht="15" customHeight="1">
      <c r="B6" s="51" t="s">
        <v>801</v>
      </c>
      <c r="C6" s="535" t="s">
        <v>802</v>
      </c>
      <c r="D6" s="535"/>
      <c r="E6" s="535"/>
      <c r="F6" s="535"/>
      <c r="G6" s="535"/>
      <c r="H6" s="535"/>
      <c r="I6" s="535"/>
      <c r="J6" s="535"/>
      <c r="K6" s="535"/>
      <c r="L6" s="754">
        <f>'F.3 ServiciosProfesionales'!F127</f>
        <v>0</v>
      </c>
      <c r="M6" s="754"/>
      <c r="N6" s="754"/>
      <c r="O6" s="754"/>
    </row>
    <row r="7" spans="2:15" ht="15" customHeight="1">
      <c r="B7" s="51" t="s">
        <v>803</v>
      </c>
      <c r="C7" s="535" t="s">
        <v>804</v>
      </c>
      <c r="D7" s="535"/>
      <c r="E7" s="535"/>
      <c r="F7" s="535"/>
      <c r="G7" s="535"/>
      <c r="H7" s="535"/>
      <c r="I7" s="535"/>
      <c r="J7" s="535"/>
      <c r="K7" s="535"/>
      <c r="L7" s="754">
        <f>'F.4 Otros Costes'!H16</f>
        <v>0</v>
      </c>
      <c r="M7" s="754"/>
      <c r="N7" s="754"/>
      <c r="O7" s="754"/>
    </row>
    <row r="8" spans="2:15" s="46" customFormat="1" ht="15" customHeight="1">
      <c r="B8" s="592" t="s">
        <v>1106</v>
      </c>
      <c r="C8" s="592"/>
      <c r="D8" s="53"/>
      <c r="E8" s="54"/>
      <c r="F8" s="54"/>
      <c r="G8" s="54"/>
      <c r="H8" s="55"/>
      <c r="I8" s="55"/>
      <c r="J8" s="55"/>
      <c r="K8" s="55"/>
      <c r="L8" s="648">
        <f>SUM(L4:O7)</f>
        <v>0</v>
      </c>
      <c r="M8" s="648"/>
      <c r="N8" s="648"/>
      <c r="O8" s="648"/>
    </row>
    <row r="9" spans="2:15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2:15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2:15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2:15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2:15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2:15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2:15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2:15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2:15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</row>
    <row r="18" spans="2:15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2:15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2:15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</row>
    <row r="21" spans="2:15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2:15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2:15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2:15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2:15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2:15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2:15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5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2:15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2:15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2:15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2:15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2:15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2:15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2:15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15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2:15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2:15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2:15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2:15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2:15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2:15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2:15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2:15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2:15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2:15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  <row r="61" spans="2:15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  <row r="62" spans="2:15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15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  <row r="64" spans="2:15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5" spans="2:15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5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  <row r="67" spans="2:15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2:15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2:15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5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</row>
    <row r="71" spans="2:15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  <row r="72" spans="2:15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2:15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  <row r="74" spans="2:15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  <row r="75" spans="2:15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  <row r="76" spans="2:15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2:15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2:15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2:15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2:15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5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2:15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  <row r="83" spans="2:15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2:15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  <row r="85" spans="2:15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  <row r="86" spans="2:15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  <row r="87" spans="2:15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  <row r="88" spans="2:15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  <row r="89" spans="2:15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2:15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  <row r="91" spans="2:15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  <row r="92" spans="2:15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2:15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  <row r="94" spans="2:15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2:15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2:15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2:15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5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0" spans="2:15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2:15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2:15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2:15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2:15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2:15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2:15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2:15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2:15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2:15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2:15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2:15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5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2:15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2:15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2:15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2:15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2:15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2:15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2:15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2:15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  <row r="125" spans="2:15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2:15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2:15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2:15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  <row r="129" spans="2:15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  <row r="130" spans="2:15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  <row r="131" spans="2:15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  <row r="132" spans="2:15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</row>
    <row r="133" spans="2:15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  <row r="134" spans="2:15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</row>
    <row r="135" spans="2:15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5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  <row r="137" spans="2:15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  <row r="138" spans="2:15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  <row r="139" spans="2:15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  <row r="140" spans="2:15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</row>
    <row r="141" spans="2:15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  <row r="142" spans="2:15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  <row r="143" spans="2:15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2:15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  <row r="145" spans="2:15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  <row r="146" spans="2:15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  <row r="147" spans="2:15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  <row r="148" spans="2:15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  <row r="149" spans="2:15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  <row r="150" spans="2:15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2:15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2:15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  <row r="153" spans="2:15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</row>
    <row r="154" spans="2:15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  <row r="155" spans="2:15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  <row r="156" spans="2:15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2:15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2:15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2:15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2:15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  <row r="161" spans="2:15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  <row r="162" spans="2:15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  <row r="163" spans="2:15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</row>
    <row r="164" spans="2:15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  <row r="165" spans="2:15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  <row r="166" spans="2:15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  <row r="167" spans="2:15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  <row r="168" spans="2:15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2:15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2:15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2:15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  <row r="172" spans="2:15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2:15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  <row r="174" spans="2:15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2:15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2:15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2:15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2:15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2:15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</row>
    <row r="180" spans="2:15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</row>
    <row r="181" spans="2:15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2" spans="2:15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</row>
    <row r="183" spans="2:15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</row>
    <row r="184" spans="2:15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</row>
    <row r="185" spans="2:15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  <row r="186" spans="2:15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  <row r="187" spans="2:15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  <row r="188" spans="2:15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  <row r="189" spans="2:15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</row>
    <row r="190" spans="2:15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</row>
    <row r="191" spans="2:15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  <row r="192" spans="2:15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  <row r="193" spans="2:15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</row>
    <row r="194" spans="2:15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</row>
    <row r="195" spans="2:15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</row>
    <row r="196" spans="2:15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</row>
    <row r="197" spans="2:15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</row>
    <row r="198" spans="2:15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  <row r="199" spans="2:15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</row>
    <row r="200" spans="2:15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  <row r="201" spans="2:15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  <row r="202" spans="2:15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</row>
    <row r="203" spans="2:15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  <row r="204" spans="2:15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</row>
    <row r="205" spans="2:15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</row>
    <row r="206" spans="2:15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  <row r="207" spans="2:15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2:15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</row>
    <row r="209" spans="2:15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2:15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</row>
    <row r="211" spans="2:15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2:15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</row>
    <row r="213" spans="2:15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</row>
    <row r="214" spans="2:15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</row>
    <row r="215" spans="2:15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</row>
    <row r="216" spans="2:15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</row>
    <row r="217" spans="2:15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2:15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2:15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  <row r="220" spans="2:15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2:15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2:15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</row>
    <row r="223" spans="2:15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</row>
    <row r="224" spans="2:15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</row>
    <row r="225" spans="2:15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</row>
    <row r="226" spans="2:15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</row>
    <row r="227" spans="2:15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</row>
    <row r="228" spans="2:15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</row>
    <row r="229" spans="2:15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2:15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2:15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2:15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2:15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2:15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2:15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2:15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2:15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2:15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2:15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</row>
    <row r="240" spans="2:15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</row>
    <row r="241" spans="2:15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2:15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2:15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2:15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2:15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2:15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2:15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2:15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2:15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2:15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2:15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</row>
    <row r="252" spans="2:15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</row>
    <row r="253" spans="2:15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</row>
    <row r="254" spans="2:15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2:15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2:15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2:15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2:15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2:15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2:15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2:15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2:15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2:15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2:15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2:15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6" spans="2:15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</row>
    <row r="267" spans="2:15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</row>
    <row r="268" spans="2:15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</row>
    <row r="269" spans="2:15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</row>
    <row r="270" spans="2:15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</row>
    <row r="271" spans="2:15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</row>
    <row r="272" spans="2:15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</row>
    <row r="273" spans="2:15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</row>
    <row r="274" spans="2:15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</row>
    <row r="275" spans="2:15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</row>
    <row r="276" spans="2:15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</row>
    <row r="277" spans="2:15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</row>
    <row r="278" spans="2:15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2:15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2:15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</row>
    <row r="281" spans="2:15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</row>
    <row r="282" spans="2:15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2:15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2:15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</row>
    <row r="285" spans="2:15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</row>
    <row r="286" spans="2:15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</row>
    <row r="287" spans="2:15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</row>
    <row r="288" spans="2:15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</row>
    <row r="289" spans="2:15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</row>
    <row r="290" spans="2:15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</row>
    <row r="291" spans="2:15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</row>
    <row r="292" spans="2:15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</row>
    <row r="293" spans="2:15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</row>
    <row r="294" spans="2:15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5" spans="2:15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</row>
    <row r="296" spans="2:15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</row>
    <row r="297" spans="2:15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</row>
    <row r="298" spans="2:15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</row>
    <row r="299" spans="2:15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</row>
    <row r="300" spans="2:15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2:15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2:15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</row>
    <row r="303" spans="2:15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</row>
    <row r="304" spans="2:15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</row>
    <row r="305" spans="2:15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</row>
    <row r="306" spans="2:15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</row>
    <row r="307" spans="2:15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</row>
    <row r="308" spans="2:15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</row>
    <row r="309" spans="2:15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</row>
    <row r="310" spans="2:15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2:15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2:15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2:15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2:15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2:15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2:15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2:15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2:15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2:15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2:15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2:15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2:15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2:15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2:15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2:15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2:15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2:15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2:15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2:15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2:15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2:15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2:15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2:15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2:15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2:15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2:15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2:15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2:15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2:15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2:15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2:15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</row>
    <row r="343" spans="2:15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</row>
    <row r="344" spans="2:15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2:15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2:15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2:15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2:15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2:15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2:15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2:15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2:15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2:15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2:15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5" spans="2:15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</row>
    <row r="356" spans="2:15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</row>
    <row r="357" spans="2:15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</row>
    <row r="358" spans="2:15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</row>
    <row r="359" spans="2:15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</row>
    <row r="360" spans="2:15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</row>
    <row r="361" spans="2:15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</row>
    <row r="362" spans="2:15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</row>
    <row r="363" spans="2:15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</row>
    <row r="364" spans="2:15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</row>
    <row r="365" spans="2:15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</row>
    <row r="366" spans="2:15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2:15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2:15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</row>
    <row r="369" spans="2:15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</row>
    <row r="370" spans="2:15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</row>
    <row r="371" spans="2:15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</row>
    <row r="372" spans="2:15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</row>
    <row r="373" spans="2:15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</row>
    <row r="374" spans="2:15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</row>
    <row r="375" spans="2:15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</row>
    <row r="376" spans="2:15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</row>
    <row r="377" spans="2:15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</row>
    <row r="378" spans="2:15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</row>
    <row r="379" spans="2:15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</row>
    <row r="380" spans="2:15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</row>
    <row r="381" spans="2:15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</row>
    <row r="382" spans="2:15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</row>
    <row r="383" spans="2:15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</row>
    <row r="384" spans="2:15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</row>
    <row r="385" spans="2:15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</row>
    <row r="386" spans="2:15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</row>
    <row r="387" spans="2:15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</row>
    <row r="388" spans="2:15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</row>
    <row r="389" spans="2:15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</row>
    <row r="390" spans="2:15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</row>
    <row r="391" spans="2:15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</row>
    <row r="392" spans="2:15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</row>
    <row r="393" spans="2:15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</row>
    <row r="394" spans="2:15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</row>
    <row r="395" spans="2:15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</row>
    <row r="396" spans="2:15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</row>
    <row r="397" spans="2:15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</row>
    <row r="398" spans="2:15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</row>
    <row r="399" spans="2:15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</row>
    <row r="400" spans="2:15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2:15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2:15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</row>
    <row r="403" spans="2:15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</row>
    <row r="404" spans="2:15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2:15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2:15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2:15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2:15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2:15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2:15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2:15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2:15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2:15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2:15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2:15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2:15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2:15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2:15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2:15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2:15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2:15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2:15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2:15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2:15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2:15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2:15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2:15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2:15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2:15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2:15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2:15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2:15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2:15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2:15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2:15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2:15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2:15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2:15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2:15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2:15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2:15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2:15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2:15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2:15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2:15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2:15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2:15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2:15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2:15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2:15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2:15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2:15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2:15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2:15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2:15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2:15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2:15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2:15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2:15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2:15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2:15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2:15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2:15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2:15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2:15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2:15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2:15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2:15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2:15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2:15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2:15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2:15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2:15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2:15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2:15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2:15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2:15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2:15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2:15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2:15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2:15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2:15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3" spans="2:15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</row>
    <row r="484" spans="2:15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</row>
    <row r="485" spans="2:15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</row>
    <row r="486" spans="2:15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</row>
    <row r="487" spans="2:15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</row>
    <row r="488" spans="2:15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</row>
    <row r="489" spans="2:15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</row>
    <row r="490" spans="2:15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</row>
    <row r="491" spans="2:15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</row>
    <row r="492" spans="2:15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</row>
    <row r="493" spans="2:15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</row>
    <row r="494" spans="2:15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</row>
    <row r="495" spans="2:15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</row>
    <row r="496" spans="2:15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</row>
    <row r="497" spans="2:15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</row>
    <row r="498" spans="2:15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2:15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2:15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</row>
    <row r="501" spans="2:15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</row>
    <row r="502" spans="2:15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</row>
    <row r="503" spans="2:15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</row>
    <row r="504" spans="2:15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</row>
    <row r="505" spans="2:15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</row>
    <row r="506" spans="2:15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</row>
    <row r="507" spans="2:15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</row>
    <row r="508" spans="2:15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</row>
    <row r="509" spans="2:15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</row>
    <row r="510" spans="2:15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</row>
    <row r="511" spans="2:15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</row>
    <row r="512" spans="2:15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</row>
    <row r="513" spans="2:15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</row>
    <row r="514" spans="2:15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</row>
    <row r="515" spans="2:15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</row>
  </sheetData>
  <mergeCells count="13">
    <mergeCell ref="B8:C8"/>
    <mergeCell ref="L8:O8"/>
    <mergeCell ref="C5:K5"/>
    <mergeCell ref="L5:O5"/>
    <mergeCell ref="C6:K6"/>
    <mergeCell ref="L6:O6"/>
    <mergeCell ref="C7:K7"/>
    <mergeCell ref="L7:O7"/>
    <mergeCell ref="B1:O1"/>
    <mergeCell ref="B3:K3"/>
    <mergeCell ref="L3:O3"/>
    <mergeCell ref="C4:K4"/>
    <mergeCell ref="L4:O4"/>
  </mergeCells>
  <pageMargins left="0.511811023622047" right="0.511811023622047" top="0.55118110236220497" bottom="0.55118110236220497" header="0.31496062992126" footer="0.31496062992126"/>
  <pageSetup paperSize="9" scale="78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-0.249977111117893"/>
  </sheetPr>
  <dimension ref="A1:M19"/>
  <sheetViews>
    <sheetView workbookViewId="0">
      <selection activeCell="D31" sqref="D31"/>
    </sheetView>
  </sheetViews>
  <sheetFormatPr baseColWidth="10" defaultColWidth="11.44140625" defaultRowHeight="13.2"/>
  <cols>
    <col min="1" max="1" width="15.6640625" style="1" customWidth="1"/>
    <col min="2" max="2" width="2.33203125" style="1" customWidth="1"/>
    <col min="3" max="3" width="11.33203125" style="2" customWidth="1"/>
    <col min="4" max="4" width="67.6640625" style="3" customWidth="1"/>
    <col min="5" max="5" width="22.88671875" style="2" customWidth="1"/>
    <col min="6" max="6" width="15.6640625" style="4" customWidth="1"/>
    <col min="7" max="7" width="19.44140625" style="1" customWidth="1"/>
    <col min="8" max="8" width="15" style="1" customWidth="1"/>
    <col min="9" max="9" width="20.5546875" style="1" customWidth="1"/>
    <col min="10" max="16384" width="11.44140625" style="1"/>
  </cols>
  <sheetData>
    <row r="1" spans="1:13" ht="15" customHeight="1">
      <c r="A1" s="39"/>
      <c r="B1" s="22"/>
      <c r="C1" s="761" t="s">
        <v>805</v>
      </c>
      <c r="D1" s="761"/>
      <c r="E1" s="761"/>
      <c r="F1" s="761"/>
      <c r="G1" s="761"/>
      <c r="H1" s="761"/>
      <c r="I1" s="762"/>
      <c r="J1" s="18"/>
      <c r="K1" s="18"/>
      <c r="L1" s="18"/>
      <c r="M1" s="18"/>
    </row>
    <row r="2" spans="1:13" ht="43.2">
      <c r="A2" s="40" t="s">
        <v>576</v>
      </c>
      <c r="B2" s="23"/>
      <c r="C2" s="5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6" t="s">
        <v>562</v>
      </c>
      <c r="J2" s="19"/>
      <c r="K2" s="19"/>
      <c r="L2" s="19"/>
      <c r="M2" s="42"/>
    </row>
    <row r="3" spans="1:13" ht="15" customHeight="1">
      <c r="A3" s="256"/>
      <c r="B3" s="26"/>
      <c r="C3" s="256"/>
      <c r="D3" s="256" t="s">
        <v>806</v>
      </c>
      <c r="E3" s="256"/>
      <c r="F3" s="256"/>
      <c r="G3" s="256"/>
      <c r="H3" s="524">
        <f>'Caracteristicas Contrato'!E16</f>
        <v>0.05</v>
      </c>
      <c r="I3" s="256"/>
      <c r="J3" s="20"/>
      <c r="K3"/>
      <c r="L3"/>
      <c r="M3"/>
    </row>
    <row r="4" spans="1:13" ht="15" customHeight="1">
      <c r="A4" s="41"/>
      <c r="B4" s="27"/>
      <c r="C4" s="514">
        <f>M9</f>
        <v>0</v>
      </c>
      <c r="D4" s="7" t="s">
        <v>807</v>
      </c>
      <c r="E4" s="12">
        <v>120</v>
      </c>
      <c r="F4" s="9">
        <v>1</v>
      </c>
      <c r="G4" s="8">
        <f>E4/F4</f>
        <v>120</v>
      </c>
      <c r="H4" s="8">
        <f>IF(C4&gt;0,-PMT($H$3,F4,E4)-G4,0)</f>
        <v>0</v>
      </c>
      <c r="I4" s="8">
        <f>C4*(G4+H4)</f>
        <v>0</v>
      </c>
      <c r="J4" s="21"/>
      <c r="K4" s="43"/>
      <c r="L4" s="44" t="s">
        <v>112</v>
      </c>
      <c r="M4" s="511">
        <f>'C.1.1.Vestuario_Equip'!K4</f>
        <v>0</v>
      </c>
    </row>
    <row r="5" spans="1:13" ht="15" customHeight="1">
      <c r="A5" s="41"/>
      <c r="B5" s="27"/>
      <c r="C5" s="278"/>
      <c r="D5" s="256" t="s">
        <v>808</v>
      </c>
      <c r="E5" s="279"/>
      <c r="F5" s="256"/>
      <c r="G5" s="256"/>
      <c r="H5" s="256"/>
      <c r="I5" s="256"/>
      <c r="J5" s="21"/>
      <c r="K5" s="43"/>
      <c r="L5" s="44" t="s">
        <v>566</v>
      </c>
      <c r="M5" s="511">
        <f>'C.1.1.Vestuario_Equip'!K5</f>
        <v>0</v>
      </c>
    </row>
    <row r="6" spans="1:13" ht="15" customHeight="1">
      <c r="A6" s="41">
        <v>2</v>
      </c>
      <c r="B6" s="27"/>
      <c r="C6" s="514">
        <f>(M4/10)*A6+M5+M6</f>
        <v>0</v>
      </c>
      <c r="D6" s="7" t="s">
        <v>809</v>
      </c>
      <c r="E6" s="12">
        <v>250</v>
      </c>
      <c r="F6" s="9">
        <v>4</v>
      </c>
      <c r="G6" s="8">
        <f t="shared" ref="G6:G8" si="0">E6/F6</f>
        <v>62.5</v>
      </c>
      <c r="H6" s="8">
        <f t="shared" ref="H6:H8" si="1">IF(C6&gt;0,-PMT($H$3,F6,E6)-G6,0)</f>
        <v>0</v>
      </c>
      <c r="I6" s="8">
        <f t="shared" ref="I6:I8" si="2">C6*(G6+H6)</f>
        <v>0</v>
      </c>
      <c r="J6" s="21"/>
      <c r="K6" s="43"/>
      <c r="L6" s="44" t="s">
        <v>568</v>
      </c>
      <c r="M6" s="511">
        <f>'C.1.1.Vestuario_Equip'!K6</f>
        <v>0</v>
      </c>
    </row>
    <row r="7" spans="1:13" ht="15" customHeight="1">
      <c r="A7" s="41">
        <v>2</v>
      </c>
      <c r="B7" s="27"/>
      <c r="C7" s="514">
        <f>(M4/10)*A7</f>
        <v>0</v>
      </c>
      <c r="D7" s="7" t="s">
        <v>810</v>
      </c>
      <c r="E7" s="12">
        <v>450</v>
      </c>
      <c r="F7" s="9">
        <v>4</v>
      </c>
      <c r="G7" s="8">
        <f t="shared" si="0"/>
        <v>112.5</v>
      </c>
      <c r="H7" s="8">
        <f t="shared" si="1"/>
        <v>0</v>
      </c>
      <c r="I7" s="8">
        <f t="shared" si="2"/>
        <v>0</v>
      </c>
      <c r="J7" s="21"/>
      <c r="K7" s="18"/>
      <c r="L7" s="18"/>
      <c r="M7" s="18"/>
    </row>
    <row r="8" spans="1:13" ht="15" customHeight="1">
      <c r="A8" s="41">
        <v>2</v>
      </c>
      <c r="B8" s="27"/>
      <c r="C8" s="514">
        <f>C7+C6</f>
        <v>0</v>
      </c>
      <c r="D8" s="7" t="s">
        <v>811</v>
      </c>
      <c r="E8" s="12">
        <v>180</v>
      </c>
      <c r="F8" s="9">
        <v>1</v>
      </c>
      <c r="G8" s="8">
        <f t="shared" si="0"/>
        <v>180</v>
      </c>
      <c r="H8" s="8">
        <f t="shared" si="1"/>
        <v>0</v>
      </c>
      <c r="I8" s="8">
        <f t="shared" si="2"/>
        <v>0</v>
      </c>
      <c r="J8" s="21"/>
      <c r="K8" s="18"/>
      <c r="L8" s="18"/>
      <c r="M8" s="18"/>
    </row>
    <row r="9" spans="1:13" ht="15" customHeight="1">
      <c r="A9" s="41"/>
      <c r="C9" s="278"/>
      <c r="D9" s="256" t="s">
        <v>812</v>
      </c>
      <c r="E9" s="279"/>
      <c r="F9" s="256"/>
      <c r="G9" s="256"/>
      <c r="H9" s="256"/>
      <c r="I9" s="256"/>
      <c r="J9" s="21"/>
      <c r="K9" s="43"/>
      <c r="L9" s="44" t="s">
        <v>813</v>
      </c>
      <c r="M9" s="511">
        <f>SUM('B.1.Vehículos'!A7:A16)+SUM('B.1.Vehículos'!A18:A24)+SUM('B.1.Vehículos'!A26:A27)+SUM('B.1.Vehículos'!A29:A35)+SUM('B.1.Vehículos'!A37:A46)</f>
        <v>0</v>
      </c>
    </row>
    <row r="10" spans="1:13" ht="15" customHeight="1">
      <c r="A10" s="41">
        <v>1</v>
      </c>
      <c r="C10" s="514">
        <f>(M4/10)*A10+M5+M6</f>
        <v>0</v>
      </c>
      <c r="D10" s="7" t="s">
        <v>814</v>
      </c>
      <c r="E10" s="12">
        <v>750</v>
      </c>
      <c r="F10" s="9">
        <v>4</v>
      </c>
      <c r="G10" s="8">
        <f t="shared" ref="G10:G11" si="3">E10/F10</f>
        <v>187.5</v>
      </c>
      <c r="H10" s="8">
        <f t="shared" ref="H10:H11" si="4">IF(C10&gt;0,-PMT($H$3,F10,E10)-G10,0)</f>
        <v>0</v>
      </c>
      <c r="I10" s="8">
        <f t="shared" ref="I10:I11" si="5">C10*(G10+H10)</f>
        <v>0</v>
      </c>
      <c r="K10" s="43"/>
      <c r="L10" s="44" t="s">
        <v>815</v>
      </c>
      <c r="M10" s="511">
        <f>D.1_2_Locales_Inst!A4+D.1_2_Locales_Inst!A5+D.1_2_Locales_Inst!A6</f>
        <v>0</v>
      </c>
    </row>
    <row r="11" spans="1:13" ht="15" customHeight="1">
      <c r="A11" s="41">
        <v>1</v>
      </c>
      <c r="C11" s="514">
        <f>M10</f>
        <v>0</v>
      </c>
      <c r="D11" s="7" t="s">
        <v>816</v>
      </c>
      <c r="E11" s="12">
        <v>750</v>
      </c>
      <c r="F11" s="9">
        <v>1</v>
      </c>
      <c r="G11" s="8">
        <f t="shared" si="3"/>
        <v>750</v>
      </c>
      <c r="H11" s="8">
        <f t="shared" si="4"/>
        <v>0</v>
      </c>
      <c r="I11" s="8">
        <f t="shared" si="5"/>
        <v>0</v>
      </c>
    </row>
    <row r="12" spans="1:13" ht="15" customHeight="1">
      <c r="A12" s="41"/>
      <c r="C12" s="278"/>
      <c r="D12" s="256" t="s">
        <v>817</v>
      </c>
      <c r="E12" s="279"/>
      <c r="F12" s="256"/>
      <c r="G12" s="256"/>
      <c r="H12" s="256"/>
      <c r="I12" s="256"/>
    </row>
    <row r="13" spans="1:13" ht="15" customHeight="1">
      <c r="A13" s="41"/>
      <c r="C13" s="514">
        <f>C10</f>
        <v>0</v>
      </c>
      <c r="D13" s="7" t="s">
        <v>818</v>
      </c>
      <c r="E13" s="12">
        <v>200</v>
      </c>
      <c r="F13" s="9">
        <v>1</v>
      </c>
      <c r="G13" s="8">
        <f t="shared" ref="G13:G18" si="6">E13/F13</f>
        <v>200</v>
      </c>
      <c r="H13" s="8">
        <f t="shared" ref="H13:H18" si="7">IF(C13&gt;0,-PMT($H$3,F13,E13)-G13,0)</f>
        <v>0</v>
      </c>
      <c r="I13" s="8">
        <f t="shared" ref="I13:I18" si="8">C13*(G13+H13)</f>
        <v>0</v>
      </c>
    </row>
    <row r="14" spans="1:13" ht="15" customHeight="1">
      <c r="A14" s="41"/>
      <c r="C14" s="11">
        <f>M6</f>
        <v>0</v>
      </c>
      <c r="D14" s="7" t="s">
        <v>819</v>
      </c>
      <c r="E14" s="12">
        <v>25</v>
      </c>
      <c r="F14" s="9">
        <v>1</v>
      </c>
      <c r="G14" s="8">
        <f t="shared" si="6"/>
        <v>25</v>
      </c>
      <c r="H14" s="8">
        <f t="shared" si="7"/>
        <v>0</v>
      </c>
      <c r="I14" s="8">
        <f t="shared" si="8"/>
        <v>0</v>
      </c>
    </row>
    <row r="15" spans="1:13" ht="15" customHeight="1">
      <c r="A15" s="41"/>
      <c r="C15" s="11">
        <f>M6</f>
        <v>0</v>
      </c>
      <c r="D15" s="7" t="s">
        <v>820</v>
      </c>
      <c r="E15" s="12">
        <v>75</v>
      </c>
      <c r="F15" s="9">
        <v>1</v>
      </c>
      <c r="G15" s="8">
        <f t="shared" si="6"/>
        <v>75</v>
      </c>
      <c r="H15" s="8">
        <f t="shared" si="7"/>
        <v>0</v>
      </c>
      <c r="I15" s="8">
        <f t="shared" si="8"/>
        <v>0</v>
      </c>
    </row>
    <row r="16" spans="1:13" ht="15" customHeight="1">
      <c r="A16" s="41"/>
      <c r="C16" s="11">
        <f>M6</f>
        <v>0</v>
      </c>
      <c r="D16" s="7" t="s">
        <v>821</v>
      </c>
      <c r="E16" s="12">
        <v>150</v>
      </c>
      <c r="F16" s="9">
        <v>1</v>
      </c>
      <c r="G16" s="8">
        <f t="shared" si="6"/>
        <v>150</v>
      </c>
      <c r="H16" s="8">
        <f t="shared" si="7"/>
        <v>0</v>
      </c>
      <c r="I16" s="8">
        <f t="shared" si="8"/>
        <v>0</v>
      </c>
    </row>
    <row r="17" spans="1:12" ht="15" customHeight="1">
      <c r="A17" s="41"/>
      <c r="C17" s="11">
        <v>1</v>
      </c>
      <c r="D17" s="7" t="s">
        <v>822</v>
      </c>
      <c r="E17" s="525">
        <f>0.0075*CanonAnual!O26</f>
        <v>0</v>
      </c>
      <c r="F17" s="9">
        <v>1</v>
      </c>
      <c r="G17" s="8">
        <f t="shared" si="6"/>
        <v>0</v>
      </c>
      <c r="H17" s="8">
        <f t="shared" si="7"/>
        <v>0</v>
      </c>
      <c r="I17" s="8">
        <f t="shared" si="8"/>
        <v>0</v>
      </c>
      <c r="J17" s="3"/>
      <c r="K17" s="2"/>
      <c r="L17" s="4"/>
    </row>
    <row r="18" spans="1:12" ht="15" customHeight="1">
      <c r="A18" s="41"/>
      <c r="C18" s="16">
        <v>0</v>
      </c>
      <c r="D18" s="13" t="s">
        <v>1087</v>
      </c>
      <c r="E18" s="526">
        <f>0.105*CanonAnual!O26</f>
        <v>0</v>
      </c>
      <c r="F18" s="15">
        <v>4</v>
      </c>
      <c r="G18" s="8">
        <f t="shared" si="6"/>
        <v>0</v>
      </c>
      <c r="H18" s="8">
        <f t="shared" si="7"/>
        <v>0</v>
      </c>
      <c r="I18" s="8">
        <f t="shared" si="8"/>
        <v>0</v>
      </c>
      <c r="J18" s="3"/>
      <c r="K18" s="2"/>
      <c r="L18" s="4"/>
    </row>
    <row r="19" spans="1:12" ht="15" customHeight="1">
      <c r="A19" s="41"/>
      <c r="C19" s="280"/>
      <c r="D19" s="281"/>
      <c r="E19" s="281"/>
      <c r="F19" s="280"/>
      <c r="G19" s="282" t="s">
        <v>51</v>
      </c>
      <c r="H19" s="282"/>
      <c r="I19" s="283">
        <f>SUM(I4:I18)</f>
        <v>0</v>
      </c>
    </row>
  </sheetData>
  <mergeCells count="1">
    <mergeCell ref="C1:I1"/>
  </mergeCells>
  <pageMargins left="0.7" right="0.7" top="0.75" bottom="0.75" header="0.3" footer="0.3"/>
  <pageSetup paperSize="9" scale="91" orientation="landscape"/>
  <colBreaks count="1" manualBreakCount="1">
    <brk id="9" max="17" man="1"/>
  </colBreak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-0.249977111117893"/>
  </sheetPr>
  <dimension ref="A1:G30"/>
  <sheetViews>
    <sheetView workbookViewId="0">
      <selection activeCell="D35" sqref="D35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67.6640625" style="3" customWidth="1"/>
    <col min="4" max="4" width="17" style="2" customWidth="1"/>
    <col min="5" max="5" width="15.6640625" style="4" customWidth="1"/>
    <col min="6" max="6" width="21.5546875" style="1" customWidth="1"/>
    <col min="7" max="16384" width="11.44140625" style="1"/>
  </cols>
  <sheetData>
    <row r="1" spans="1:7" ht="15" customHeight="1">
      <c r="A1" s="22"/>
      <c r="B1" s="755" t="s">
        <v>823</v>
      </c>
      <c r="C1" s="756"/>
      <c r="D1" s="756"/>
      <c r="E1" s="756"/>
      <c r="F1" s="757"/>
      <c r="G1" s="18"/>
    </row>
    <row r="2" spans="1:7" ht="14.4">
      <c r="A2" s="23"/>
      <c r="B2" s="24" t="s">
        <v>557</v>
      </c>
      <c r="C2" s="6" t="s">
        <v>297</v>
      </c>
      <c r="D2" s="6" t="s">
        <v>558</v>
      </c>
      <c r="E2" s="6" t="s">
        <v>824</v>
      </c>
      <c r="F2" s="25" t="s">
        <v>562</v>
      </c>
      <c r="G2" s="19"/>
    </row>
    <row r="3" spans="1:7" ht="15" customHeight="1">
      <c r="A3" s="26"/>
      <c r="B3" s="268"/>
      <c r="C3" s="256" t="s">
        <v>825</v>
      </c>
      <c r="D3" s="256"/>
      <c r="E3" s="256"/>
      <c r="F3" s="270"/>
      <c r="G3" s="20"/>
    </row>
    <row r="4" spans="1:7" ht="15" customHeight="1">
      <c r="A4" s="27"/>
      <c r="B4" s="515">
        <v>0</v>
      </c>
      <c r="C4" s="7" t="s">
        <v>826</v>
      </c>
      <c r="D4" s="8">
        <v>0.9</v>
      </c>
      <c r="E4" s="9" t="s">
        <v>827</v>
      </c>
      <c r="F4" s="35">
        <f>D4*B4</f>
        <v>0</v>
      </c>
      <c r="G4" s="21"/>
    </row>
    <row r="5" spans="1:7" ht="15" customHeight="1">
      <c r="A5" s="27"/>
      <c r="B5" s="515">
        <v>0</v>
      </c>
      <c r="C5" s="7" t="s">
        <v>828</v>
      </c>
      <c r="D5" s="8">
        <v>1.2</v>
      </c>
      <c r="E5" s="9" t="s">
        <v>827</v>
      </c>
      <c r="F5" s="35">
        <f>D5*B5</f>
        <v>0</v>
      </c>
      <c r="G5" s="21"/>
    </row>
    <row r="6" spans="1:7" ht="15" customHeight="1">
      <c r="A6" s="27"/>
      <c r="B6" s="516"/>
      <c r="C6" s="256" t="s">
        <v>829</v>
      </c>
      <c r="D6" s="256"/>
      <c r="E6" s="256"/>
      <c r="F6" s="270"/>
      <c r="G6" s="21"/>
    </row>
    <row r="7" spans="1:7" ht="15" customHeight="1">
      <c r="A7" s="27"/>
      <c r="B7" s="517">
        <v>0</v>
      </c>
      <c r="C7" s="7" t="s">
        <v>830</v>
      </c>
      <c r="D7" s="8">
        <v>102</v>
      </c>
      <c r="E7" s="9" t="s">
        <v>831</v>
      </c>
      <c r="F7" s="35">
        <f>D7*B7</f>
        <v>0</v>
      </c>
      <c r="G7" s="21"/>
    </row>
    <row r="8" spans="1:7" ht="15" customHeight="1">
      <c r="A8" s="27"/>
      <c r="B8" s="517">
        <v>0</v>
      </c>
      <c r="C8" s="7" t="s">
        <v>832</v>
      </c>
      <c r="D8" s="8">
        <v>132</v>
      </c>
      <c r="E8" s="9" t="s">
        <v>831</v>
      </c>
      <c r="F8" s="35">
        <f>D8*B8</f>
        <v>0</v>
      </c>
      <c r="G8" s="21"/>
    </row>
    <row r="9" spans="1:7" ht="15" customHeight="1">
      <c r="A9" s="27"/>
      <c r="B9" s="518"/>
      <c r="C9" s="256" t="s">
        <v>833</v>
      </c>
      <c r="D9" s="256"/>
      <c r="E9" s="256"/>
      <c r="F9" s="270"/>
      <c r="G9" s="21"/>
    </row>
    <row r="10" spans="1:7" ht="15" customHeight="1">
      <c r="A10" s="27"/>
      <c r="B10" s="517">
        <v>0</v>
      </c>
      <c r="C10" s="7" t="s">
        <v>834</v>
      </c>
      <c r="D10" s="8">
        <v>36</v>
      </c>
      <c r="E10" s="9" t="s">
        <v>831</v>
      </c>
      <c r="F10" s="35">
        <f>D10*B10</f>
        <v>0</v>
      </c>
      <c r="G10" s="21"/>
    </row>
    <row r="11" spans="1:7" ht="15" customHeight="1">
      <c r="A11" s="27"/>
      <c r="B11" s="517">
        <v>0</v>
      </c>
      <c r="C11" s="7" t="s">
        <v>835</v>
      </c>
      <c r="D11" s="8">
        <v>42</v>
      </c>
      <c r="E11" s="9" t="s">
        <v>831</v>
      </c>
      <c r="F11" s="35">
        <f>D11*B11</f>
        <v>0</v>
      </c>
      <c r="G11" s="21"/>
    </row>
    <row r="12" spans="1:7" ht="15" customHeight="1">
      <c r="B12" s="466"/>
      <c r="C12" s="256" t="s">
        <v>1055</v>
      </c>
      <c r="D12" s="256"/>
      <c r="E12" s="256"/>
      <c r="F12" s="270"/>
      <c r="G12" s="21"/>
    </row>
    <row r="13" spans="1:7" ht="15" customHeight="1">
      <c r="B13" s="465">
        <v>0</v>
      </c>
      <c r="C13" s="7" t="s">
        <v>1056</v>
      </c>
      <c r="D13" s="8">
        <v>90</v>
      </c>
      <c r="E13" s="9" t="s">
        <v>1057</v>
      </c>
      <c r="F13" s="35">
        <f>D13*B13</f>
        <v>0</v>
      </c>
    </row>
    <row r="14" spans="1:7" ht="15" customHeight="1">
      <c r="B14" s="465">
        <v>0</v>
      </c>
      <c r="C14" s="7" t="s">
        <v>1058</v>
      </c>
      <c r="D14" s="8">
        <v>120</v>
      </c>
      <c r="E14" s="9" t="s">
        <v>1057</v>
      </c>
      <c r="F14" s="35">
        <f>D14*B14</f>
        <v>0</v>
      </c>
    </row>
    <row r="15" spans="1:7" ht="15" customHeight="1">
      <c r="B15" s="466"/>
      <c r="C15" s="256" t="s">
        <v>1088</v>
      </c>
      <c r="D15" s="256"/>
      <c r="E15" s="256"/>
      <c r="F15" s="270"/>
    </row>
    <row r="16" spans="1:7" ht="15" customHeight="1">
      <c r="B16" s="465">
        <v>0</v>
      </c>
      <c r="C16" s="7" t="s">
        <v>826</v>
      </c>
      <c r="D16" s="8">
        <v>0.4</v>
      </c>
      <c r="E16" s="9" t="s">
        <v>827</v>
      </c>
      <c r="F16" s="35">
        <f>D16*B16</f>
        <v>0</v>
      </c>
    </row>
    <row r="17" spans="2:7" ht="15" customHeight="1">
      <c r="B17" s="465"/>
      <c r="C17" s="7"/>
      <c r="D17" s="8"/>
      <c r="E17" s="9" t="s">
        <v>831</v>
      </c>
      <c r="F17" s="35">
        <f>D17*B17</f>
        <v>0</v>
      </c>
    </row>
    <row r="18" spans="2:7" ht="15" customHeight="1">
      <c r="B18" s="466"/>
      <c r="C18" s="256" t="s">
        <v>836</v>
      </c>
      <c r="D18" s="256"/>
      <c r="E18" s="256"/>
      <c r="F18" s="270"/>
    </row>
    <row r="19" spans="2:7" ht="15" customHeight="1">
      <c r="B19" s="465">
        <f>B7</f>
        <v>0</v>
      </c>
      <c r="C19" s="7" t="s">
        <v>837</v>
      </c>
      <c r="D19" s="8">
        <v>12</v>
      </c>
      <c r="E19" s="9" t="s">
        <v>831</v>
      </c>
      <c r="F19" s="35">
        <f>D19*B19</f>
        <v>0</v>
      </c>
    </row>
    <row r="20" spans="2:7" ht="15" customHeight="1">
      <c r="B20" s="465">
        <v>0</v>
      </c>
      <c r="C20" s="7" t="s">
        <v>838</v>
      </c>
      <c r="D20" s="8">
        <v>18</v>
      </c>
      <c r="E20" s="9" t="s">
        <v>831</v>
      </c>
      <c r="F20" s="35">
        <f>D20*B20</f>
        <v>0</v>
      </c>
    </row>
    <row r="21" spans="2:7" ht="15" customHeight="1">
      <c r="B21" s="466"/>
      <c r="C21" s="256" t="s">
        <v>839</v>
      </c>
      <c r="D21" s="256"/>
      <c r="E21" s="256"/>
      <c r="F21" s="270"/>
    </row>
    <row r="22" spans="2:7" ht="15" customHeight="1">
      <c r="B22" s="465">
        <v>0</v>
      </c>
      <c r="C22" s="7" t="s">
        <v>840</v>
      </c>
      <c r="D22" s="8">
        <v>0.36</v>
      </c>
      <c r="E22" s="9" t="s">
        <v>789</v>
      </c>
      <c r="F22" s="35">
        <f>D22*B22</f>
        <v>0</v>
      </c>
    </row>
    <row r="23" spans="2:7" ht="15" customHeight="1">
      <c r="B23" s="465">
        <v>0</v>
      </c>
      <c r="C23" s="7" t="s">
        <v>841</v>
      </c>
      <c r="D23" s="8">
        <v>0.6</v>
      </c>
      <c r="E23" s="9" t="s">
        <v>789</v>
      </c>
      <c r="F23" s="35">
        <f>D23*B23</f>
        <v>0</v>
      </c>
      <c r="G23" s="3"/>
    </row>
    <row r="24" spans="2:7" ht="15" customHeight="1">
      <c r="B24" s="466"/>
      <c r="C24" s="256" t="s">
        <v>842</v>
      </c>
      <c r="D24" s="256"/>
      <c r="E24" s="256"/>
      <c r="F24" s="270"/>
      <c r="G24" s="3"/>
    </row>
    <row r="25" spans="2:7" ht="15" customHeight="1">
      <c r="B25" s="465">
        <v>0</v>
      </c>
      <c r="C25" s="7" t="s">
        <v>843</v>
      </c>
      <c r="D25" s="8"/>
      <c r="E25" s="9" t="s">
        <v>789</v>
      </c>
      <c r="F25" s="35"/>
      <c r="G25" s="3"/>
    </row>
    <row r="26" spans="2:7" ht="15" customHeight="1">
      <c r="B26" s="465">
        <v>0</v>
      </c>
      <c r="C26" s="7" t="s">
        <v>844</v>
      </c>
      <c r="D26" s="8"/>
      <c r="E26" s="9" t="s">
        <v>789</v>
      </c>
      <c r="F26" s="35"/>
      <c r="G26" s="3"/>
    </row>
    <row r="27" spans="2:7" ht="15" customHeight="1">
      <c r="B27" s="261"/>
      <c r="C27" s="284" t="s">
        <v>51</v>
      </c>
      <c r="D27" s="262"/>
      <c r="E27" s="263"/>
      <c r="F27" s="266">
        <f>SUM(F4:F26)</f>
        <v>0</v>
      </c>
      <c r="G27" s="3"/>
    </row>
    <row r="28" spans="2:7" ht="15" customHeight="1">
      <c r="G28" s="3"/>
    </row>
    <row r="29" spans="2:7" ht="15" customHeight="1">
      <c r="G29" s="3"/>
    </row>
    <row r="30" spans="2:7" ht="15" customHeight="1">
      <c r="G30" s="3"/>
    </row>
  </sheetData>
  <mergeCells count="1">
    <mergeCell ref="B1:F1"/>
  </mergeCells>
  <pageMargins left="0.7" right="0.7" top="0.75" bottom="0.75" header="0.3" footer="0.3"/>
  <pageSetup paperSize="9" orientation="landscape"/>
  <colBreaks count="1" manualBreakCount="1">
    <brk id="6" max="1048575" man="1"/>
  </colBreaks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-0.249977111117893"/>
  </sheetPr>
  <dimension ref="A1:G130"/>
  <sheetViews>
    <sheetView zoomScale="90" zoomScaleNormal="90" workbookViewId="0">
      <selection activeCell="F109" sqref="F109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53.44140625" style="3" customWidth="1"/>
    <col min="4" max="4" width="10.44140625" style="2" customWidth="1"/>
    <col min="5" max="5" width="15.6640625" style="4" customWidth="1"/>
    <col min="6" max="6" width="21.6640625" style="1" customWidth="1"/>
    <col min="7" max="16384" width="11.44140625" style="1"/>
  </cols>
  <sheetData>
    <row r="1" spans="1:7" ht="15" customHeight="1">
      <c r="A1" s="22"/>
      <c r="B1" s="755" t="s">
        <v>845</v>
      </c>
      <c r="C1" s="756"/>
      <c r="D1" s="756"/>
      <c r="E1" s="756"/>
      <c r="F1" s="757"/>
      <c r="G1" s="18"/>
    </row>
    <row r="2" spans="1:7" ht="14.4">
      <c r="A2" s="23"/>
      <c r="B2" s="24" t="s">
        <v>557</v>
      </c>
      <c r="C2" s="6" t="s">
        <v>297</v>
      </c>
      <c r="D2" s="6" t="s">
        <v>558</v>
      </c>
      <c r="E2" s="6" t="s">
        <v>824</v>
      </c>
      <c r="F2" s="25" t="s">
        <v>562</v>
      </c>
      <c r="G2" s="19"/>
    </row>
    <row r="3" spans="1:7" ht="15" customHeight="1">
      <c r="A3" s="26"/>
      <c r="B3" s="255"/>
      <c r="C3" s="256" t="s">
        <v>846</v>
      </c>
      <c r="D3" s="256"/>
      <c r="E3" s="256"/>
      <c r="F3" s="270"/>
      <c r="G3" s="20"/>
    </row>
    <row r="4" spans="1:7" ht="15" customHeight="1">
      <c r="A4" s="27"/>
      <c r="B4" s="28"/>
      <c r="C4" s="29" t="s">
        <v>847</v>
      </c>
      <c r="D4" s="30"/>
      <c r="E4" s="31"/>
      <c r="F4" s="32">
        <f>SUM(F6:F19)</f>
        <v>0</v>
      </c>
      <c r="G4" s="21"/>
    </row>
    <row r="5" spans="1:7" ht="15" customHeight="1">
      <c r="A5" s="27"/>
      <c r="B5" s="33"/>
      <c r="C5" s="34" t="s">
        <v>848</v>
      </c>
      <c r="D5" s="8"/>
      <c r="E5" s="9"/>
      <c r="F5" s="35"/>
      <c r="G5" s="21"/>
    </row>
    <row r="6" spans="1:7" ht="15" customHeight="1">
      <c r="A6" s="27"/>
      <c r="B6" s="33"/>
      <c r="C6" s="7" t="s">
        <v>849</v>
      </c>
      <c r="D6" s="8">
        <v>63.34</v>
      </c>
      <c r="E6" s="9" t="s">
        <v>850</v>
      </c>
      <c r="F6" s="35">
        <f>D6*B6</f>
        <v>0</v>
      </c>
      <c r="G6" s="21"/>
    </row>
    <row r="7" spans="1:7" ht="15" customHeight="1">
      <c r="A7" s="27"/>
      <c r="B7" s="33"/>
      <c r="C7" s="7" t="s">
        <v>851</v>
      </c>
      <c r="D7" s="8">
        <v>37.11</v>
      </c>
      <c r="E7" s="9" t="s">
        <v>850</v>
      </c>
      <c r="F7" s="35">
        <f t="shared" ref="F7:F11" si="0">D7*B7</f>
        <v>0</v>
      </c>
      <c r="G7" s="21"/>
    </row>
    <row r="8" spans="1:7" ht="15" customHeight="1">
      <c r="A8" s="27"/>
      <c r="B8" s="33"/>
      <c r="C8" s="7" t="s">
        <v>852</v>
      </c>
      <c r="D8" s="8">
        <v>26.53</v>
      </c>
      <c r="E8" s="9" t="s">
        <v>850</v>
      </c>
      <c r="F8" s="35">
        <f t="shared" si="0"/>
        <v>0</v>
      </c>
      <c r="G8" s="21"/>
    </row>
    <row r="9" spans="1:7" ht="15" customHeight="1">
      <c r="A9" s="27"/>
      <c r="B9" s="33"/>
      <c r="C9" s="7" t="s">
        <v>853</v>
      </c>
      <c r="D9" s="8">
        <v>25.92</v>
      </c>
      <c r="E9" s="9" t="s">
        <v>850</v>
      </c>
      <c r="F9" s="35">
        <f t="shared" si="0"/>
        <v>0</v>
      </c>
      <c r="G9" s="21"/>
    </row>
    <row r="10" spans="1:7" ht="15" customHeight="1">
      <c r="A10" s="27"/>
      <c r="B10" s="33"/>
      <c r="C10" s="7" t="s">
        <v>854</v>
      </c>
      <c r="D10" s="8">
        <v>19.71</v>
      </c>
      <c r="E10" s="9" t="s">
        <v>850</v>
      </c>
      <c r="F10" s="35">
        <f t="shared" si="0"/>
        <v>0</v>
      </c>
      <c r="G10" s="21"/>
    </row>
    <row r="11" spans="1:7" ht="15" customHeight="1">
      <c r="A11" s="27"/>
      <c r="B11" s="33"/>
      <c r="C11" s="7" t="s">
        <v>855</v>
      </c>
      <c r="D11" s="8">
        <v>73.209999999999994</v>
      </c>
      <c r="E11" s="9" t="s">
        <v>850</v>
      </c>
      <c r="F11" s="35">
        <f t="shared" si="0"/>
        <v>0</v>
      </c>
      <c r="G11" s="21"/>
    </row>
    <row r="12" spans="1:7" ht="15" customHeight="1">
      <c r="A12" s="27"/>
      <c r="B12" s="33"/>
      <c r="C12" s="34" t="s">
        <v>856</v>
      </c>
      <c r="D12" s="8"/>
      <c r="E12" s="9"/>
      <c r="F12" s="35"/>
      <c r="G12" s="21"/>
    </row>
    <row r="13" spans="1:7" ht="15" customHeight="1">
      <c r="A13" s="27"/>
      <c r="B13" s="33"/>
      <c r="C13" s="7" t="s">
        <v>849</v>
      </c>
      <c r="D13" s="8">
        <v>63.34</v>
      </c>
      <c r="E13" s="9" t="s">
        <v>850</v>
      </c>
      <c r="F13" s="35">
        <f t="shared" ref="F13:F18" si="1">D13*B13</f>
        <v>0</v>
      </c>
      <c r="G13" s="21"/>
    </row>
    <row r="14" spans="1:7" ht="15" customHeight="1">
      <c r="A14" s="27"/>
      <c r="B14" s="33"/>
      <c r="C14" s="7" t="s">
        <v>851</v>
      </c>
      <c r="D14" s="8">
        <v>37.11</v>
      </c>
      <c r="E14" s="9" t="s">
        <v>850</v>
      </c>
      <c r="F14" s="35">
        <f t="shared" si="1"/>
        <v>0</v>
      </c>
      <c r="G14" s="21"/>
    </row>
    <row r="15" spans="1:7" ht="15" customHeight="1">
      <c r="A15" s="27"/>
      <c r="B15" s="33"/>
      <c r="C15" s="7" t="s">
        <v>852</v>
      </c>
      <c r="D15" s="8">
        <v>26.53</v>
      </c>
      <c r="E15" s="9" t="s">
        <v>850</v>
      </c>
      <c r="F15" s="35">
        <f t="shared" si="1"/>
        <v>0</v>
      </c>
      <c r="G15" s="21"/>
    </row>
    <row r="16" spans="1:7" ht="15" customHeight="1">
      <c r="A16" s="27"/>
      <c r="B16" s="33"/>
      <c r="C16" s="7" t="s">
        <v>853</v>
      </c>
      <c r="D16" s="8">
        <v>25.92</v>
      </c>
      <c r="E16" s="9" t="s">
        <v>850</v>
      </c>
      <c r="F16" s="35">
        <f t="shared" si="1"/>
        <v>0</v>
      </c>
      <c r="G16" s="21"/>
    </row>
    <row r="17" spans="1:7" ht="15" customHeight="1">
      <c r="A17" s="27"/>
      <c r="B17" s="33"/>
      <c r="C17" s="7" t="s">
        <v>854</v>
      </c>
      <c r="D17" s="8">
        <v>19.71</v>
      </c>
      <c r="E17" s="9" t="s">
        <v>850</v>
      </c>
      <c r="F17" s="35">
        <f t="shared" si="1"/>
        <v>0</v>
      </c>
      <c r="G17" s="21"/>
    </row>
    <row r="18" spans="1:7" ht="15" customHeight="1">
      <c r="A18" s="27"/>
      <c r="B18" s="33"/>
      <c r="C18" s="7" t="s">
        <v>855</v>
      </c>
      <c r="D18" s="8">
        <v>73.209999999999994</v>
      </c>
      <c r="E18" s="9" t="s">
        <v>850</v>
      </c>
      <c r="F18" s="35">
        <f t="shared" si="1"/>
        <v>0</v>
      </c>
      <c r="G18" s="21"/>
    </row>
    <row r="19" spans="1:7" ht="15" customHeight="1">
      <c r="A19" s="27"/>
      <c r="B19" s="33"/>
      <c r="C19" s="34" t="s">
        <v>857</v>
      </c>
      <c r="D19" s="8"/>
      <c r="E19" s="9"/>
      <c r="F19" s="36"/>
      <c r="G19" s="21"/>
    </row>
    <row r="20" spans="1:7" ht="15" customHeight="1">
      <c r="A20" s="27"/>
      <c r="B20" s="28"/>
      <c r="C20" s="29" t="s">
        <v>858</v>
      </c>
      <c r="D20" s="30"/>
      <c r="E20" s="31"/>
      <c r="F20" s="32">
        <f>SUM(F21:F24)</f>
        <v>0</v>
      </c>
      <c r="G20" s="21"/>
    </row>
    <row r="21" spans="1:7" ht="15" customHeight="1">
      <c r="A21" s="27"/>
      <c r="B21" s="33"/>
      <c r="C21" s="7" t="s">
        <v>859</v>
      </c>
      <c r="D21" s="8"/>
      <c r="E21" s="9"/>
      <c r="F21" s="35">
        <f t="shared" ref="F21:F24" si="2">D21*B21</f>
        <v>0</v>
      </c>
      <c r="G21" s="21"/>
    </row>
    <row r="22" spans="1:7" ht="15" customHeight="1">
      <c r="A22" s="27"/>
      <c r="B22" s="33"/>
      <c r="C22" s="7" t="s">
        <v>860</v>
      </c>
      <c r="D22" s="8"/>
      <c r="E22" s="9"/>
      <c r="F22" s="35">
        <f t="shared" si="2"/>
        <v>0</v>
      </c>
      <c r="G22" s="21"/>
    </row>
    <row r="23" spans="1:7" ht="15" customHeight="1">
      <c r="A23" s="27"/>
      <c r="B23" s="37"/>
      <c r="C23" s="7" t="s">
        <v>861</v>
      </c>
      <c r="D23" s="14"/>
      <c r="E23" s="15"/>
      <c r="F23" s="35">
        <v>0</v>
      </c>
      <c r="G23" s="21"/>
    </row>
    <row r="24" spans="1:7" ht="15" customHeight="1">
      <c r="A24" s="27"/>
      <c r="B24" s="37"/>
      <c r="C24" s="7" t="s">
        <v>862</v>
      </c>
      <c r="D24" s="14"/>
      <c r="E24" s="15"/>
      <c r="F24" s="35">
        <f t="shared" si="2"/>
        <v>0</v>
      </c>
      <c r="G24" s="21"/>
    </row>
    <row r="25" spans="1:7" ht="15" customHeight="1">
      <c r="A25" s="27"/>
      <c r="B25" s="285"/>
      <c r="C25" s="256" t="s">
        <v>863</v>
      </c>
      <c r="D25" s="256"/>
      <c r="E25" s="256"/>
      <c r="F25" s="270"/>
      <c r="G25" s="21"/>
    </row>
    <row r="26" spans="1:7" ht="15" customHeight="1">
      <c r="A26" s="27"/>
      <c r="B26" s="28"/>
      <c r="C26" s="29" t="s">
        <v>847</v>
      </c>
      <c r="D26" s="30"/>
      <c r="E26" s="31"/>
      <c r="F26" s="32">
        <f>SUM(F28:F41)</f>
        <v>0</v>
      </c>
      <c r="G26" s="21"/>
    </row>
    <row r="27" spans="1:7" ht="15" customHeight="1">
      <c r="A27" s="27"/>
      <c r="B27" s="33"/>
      <c r="C27" s="34" t="s">
        <v>848</v>
      </c>
      <c r="D27" s="8"/>
      <c r="E27" s="9"/>
      <c r="F27" s="35"/>
      <c r="G27" s="21"/>
    </row>
    <row r="28" spans="1:7" ht="15" customHeight="1">
      <c r="A28" s="27"/>
      <c r="B28" s="33"/>
      <c r="C28" s="7" t="s">
        <v>849</v>
      </c>
      <c r="D28" s="8">
        <v>63.34</v>
      </c>
      <c r="E28" s="9" t="s">
        <v>850</v>
      </c>
      <c r="F28" s="35">
        <f t="shared" ref="F28:F33" si="3">D28*B28</f>
        <v>0</v>
      </c>
      <c r="G28" s="21"/>
    </row>
    <row r="29" spans="1:7" ht="15" customHeight="1">
      <c r="A29" s="27"/>
      <c r="B29" s="33"/>
      <c r="C29" s="7" t="s">
        <v>851</v>
      </c>
      <c r="D29" s="8">
        <v>37.11</v>
      </c>
      <c r="E29" s="9" t="s">
        <v>850</v>
      </c>
      <c r="F29" s="35">
        <f t="shared" si="3"/>
        <v>0</v>
      </c>
      <c r="G29" s="21"/>
    </row>
    <row r="30" spans="1:7" ht="15" customHeight="1">
      <c r="A30" s="27"/>
      <c r="B30" s="33"/>
      <c r="C30" s="7" t="s">
        <v>852</v>
      </c>
      <c r="D30" s="8">
        <v>26.53</v>
      </c>
      <c r="E30" s="9" t="s">
        <v>850</v>
      </c>
      <c r="F30" s="35">
        <f t="shared" si="3"/>
        <v>0</v>
      </c>
      <c r="G30" s="21"/>
    </row>
    <row r="31" spans="1:7" ht="15" customHeight="1">
      <c r="A31" s="27"/>
      <c r="B31" s="33"/>
      <c r="C31" s="7" t="s">
        <v>853</v>
      </c>
      <c r="D31" s="8">
        <v>25.92</v>
      </c>
      <c r="E31" s="9" t="s">
        <v>850</v>
      </c>
      <c r="F31" s="35">
        <f t="shared" si="3"/>
        <v>0</v>
      </c>
      <c r="G31" s="21"/>
    </row>
    <row r="32" spans="1:7" ht="15" customHeight="1">
      <c r="A32" s="27"/>
      <c r="B32" s="33"/>
      <c r="C32" s="7" t="s">
        <v>854</v>
      </c>
      <c r="D32" s="8">
        <v>19.71</v>
      </c>
      <c r="E32" s="9" t="s">
        <v>850</v>
      </c>
      <c r="F32" s="35">
        <f t="shared" si="3"/>
        <v>0</v>
      </c>
      <c r="G32" s="21"/>
    </row>
    <row r="33" spans="1:7" ht="15" customHeight="1">
      <c r="A33" s="27"/>
      <c r="B33" s="33"/>
      <c r="C33" s="7" t="s">
        <v>864</v>
      </c>
      <c r="D33" s="8">
        <v>73.209999999999994</v>
      </c>
      <c r="E33" s="9" t="s">
        <v>850</v>
      </c>
      <c r="F33" s="35">
        <f t="shared" si="3"/>
        <v>0</v>
      </c>
      <c r="G33" s="21"/>
    </row>
    <row r="34" spans="1:7" ht="15" customHeight="1">
      <c r="A34" s="27"/>
      <c r="B34" s="33"/>
      <c r="C34" s="34" t="s">
        <v>856</v>
      </c>
      <c r="D34" s="8"/>
      <c r="E34" s="9"/>
      <c r="F34" s="35"/>
      <c r="G34" s="21"/>
    </row>
    <row r="35" spans="1:7" ht="15" customHeight="1">
      <c r="A35" s="27"/>
      <c r="B35" s="33"/>
      <c r="C35" s="7" t="s">
        <v>849</v>
      </c>
      <c r="D35" s="8">
        <v>63.34</v>
      </c>
      <c r="E35" s="9" t="s">
        <v>850</v>
      </c>
      <c r="F35" s="35">
        <f t="shared" ref="F35:F40" si="4">D35*B35</f>
        <v>0</v>
      </c>
      <c r="G35" s="21"/>
    </row>
    <row r="36" spans="1:7" ht="15" customHeight="1">
      <c r="A36" s="27"/>
      <c r="B36" s="33"/>
      <c r="C36" s="7" t="s">
        <v>851</v>
      </c>
      <c r="D36" s="8">
        <v>37.11</v>
      </c>
      <c r="E36" s="9" t="s">
        <v>850</v>
      </c>
      <c r="F36" s="35">
        <f t="shared" si="4"/>
        <v>0</v>
      </c>
      <c r="G36" s="21"/>
    </row>
    <row r="37" spans="1:7" ht="15" customHeight="1">
      <c r="A37" s="27"/>
      <c r="B37" s="33"/>
      <c r="C37" s="7" t="s">
        <v>852</v>
      </c>
      <c r="D37" s="8">
        <v>26.53</v>
      </c>
      <c r="E37" s="9" t="s">
        <v>850</v>
      </c>
      <c r="F37" s="35">
        <f t="shared" si="4"/>
        <v>0</v>
      </c>
      <c r="G37" s="21"/>
    </row>
    <row r="38" spans="1:7" ht="15" customHeight="1">
      <c r="A38" s="27"/>
      <c r="B38" s="33"/>
      <c r="C38" s="7" t="s">
        <v>853</v>
      </c>
      <c r="D38" s="8">
        <v>25.92</v>
      </c>
      <c r="E38" s="9" t="s">
        <v>850</v>
      </c>
      <c r="F38" s="35">
        <f t="shared" si="4"/>
        <v>0</v>
      </c>
      <c r="G38" s="21"/>
    </row>
    <row r="39" spans="1:7" ht="15" customHeight="1">
      <c r="A39" s="27"/>
      <c r="B39" s="33"/>
      <c r="C39" s="7" t="s">
        <v>854</v>
      </c>
      <c r="D39" s="8">
        <v>19.71</v>
      </c>
      <c r="E39" s="9" t="s">
        <v>850</v>
      </c>
      <c r="F39" s="35">
        <f t="shared" si="4"/>
        <v>0</v>
      </c>
      <c r="G39" s="21"/>
    </row>
    <row r="40" spans="1:7" ht="15" customHeight="1">
      <c r="A40" s="27"/>
      <c r="B40" s="33"/>
      <c r="C40" s="7" t="s">
        <v>864</v>
      </c>
      <c r="D40" s="8">
        <v>73.209999999999994</v>
      </c>
      <c r="E40" s="9" t="s">
        <v>850</v>
      </c>
      <c r="F40" s="35">
        <f t="shared" si="4"/>
        <v>0</v>
      </c>
      <c r="G40" s="21"/>
    </row>
    <row r="41" spans="1:7" ht="15" customHeight="1">
      <c r="A41" s="27"/>
      <c r="B41" s="33"/>
      <c r="C41" s="34" t="s">
        <v>857</v>
      </c>
      <c r="D41" s="8"/>
      <c r="E41" s="9"/>
      <c r="F41" s="36"/>
      <c r="G41" s="21"/>
    </row>
    <row r="42" spans="1:7" ht="15" customHeight="1">
      <c r="A42" s="27"/>
      <c r="B42" s="28"/>
      <c r="C42" s="29" t="s">
        <v>858</v>
      </c>
      <c r="D42" s="30"/>
      <c r="E42" s="31"/>
      <c r="F42" s="32">
        <f>SUM(F43:F45)</f>
        <v>0</v>
      </c>
      <c r="G42" s="21"/>
    </row>
    <row r="43" spans="1:7" ht="15" customHeight="1">
      <c r="A43" s="27"/>
      <c r="B43" s="33"/>
      <c r="C43" s="7" t="s">
        <v>865</v>
      </c>
      <c r="D43" s="8"/>
      <c r="E43" s="9"/>
      <c r="F43" s="35">
        <v>0</v>
      </c>
      <c r="G43" s="21"/>
    </row>
    <row r="44" spans="1:7" ht="15" customHeight="1">
      <c r="A44" s="27"/>
      <c r="B44" s="33"/>
      <c r="C44" s="7" t="s">
        <v>866</v>
      </c>
      <c r="D44" s="8"/>
      <c r="E44" s="9"/>
      <c r="F44" s="35">
        <v>0</v>
      </c>
      <c r="G44" s="21"/>
    </row>
    <row r="45" spans="1:7" ht="15" customHeight="1">
      <c r="A45" s="27"/>
      <c r="B45" s="37"/>
      <c r="C45" s="7" t="s">
        <v>867</v>
      </c>
      <c r="D45" s="14"/>
      <c r="E45" s="15"/>
      <c r="F45" s="38">
        <v>0</v>
      </c>
      <c r="G45" s="21"/>
    </row>
    <row r="46" spans="1:7" ht="15" customHeight="1">
      <c r="B46" s="286"/>
      <c r="C46" s="256" t="s">
        <v>868</v>
      </c>
      <c r="D46" s="256"/>
      <c r="E46" s="256"/>
      <c r="F46" s="270"/>
      <c r="G46" s="21"/>
    </row>
    <row r="47" spans="1:7" ht="15" customHeight="1">
      <c r="A47" s="27"/>
      <c r="B47" s="28"/>
      <c r="C47" s="29" t="s">
        <v>847</v>
      </c>
      <c r="D47" s="30"/>
      <c r="E47" s="31"/>
      <c r="F47" s="32">
        <f>SUM(F49:F62)</f>
        <v>0</v>
      </c>
      <c r="G47" s="21"/>
    </row>
    <row r="48" spans="1:7" ht="15" customHeight="1">
      <c r="A48" s="27"/>
      <c r="B48" s="33"/>
      <c r="C48" s="34" t="s">
        <v>848</v>
      </c>
      <c r="D48" s="8"/>
      <c r="E48" s="9"/>
      <c r="F48" s="35"/>
      <c r="G48" s="21"/>
    </row>
    <row r="49" spans="1:7" ht="15" customHeight="1">
      <c r="A49" s="27"/>
      <c r="B49" s="33"/>
      <c r="C49" s="7" t="s">
        <v>849</v>
      </c>
      <c r="D49" s="8">
        <v>63.34</v>
      </c>
      <c r="E49" s="9" t="s">
        <v>850</v>
      </c>
      <c r="F49" s="35">
        <f t="shared" ref="F49:F54" si="5">D49*B49</f>
        <v>0</v>
      </c>
      <c r="G49" s="21"/>
    </row>
    <row r="50" spans="1:7" ht="15" customHeight="1">
      <c r="A50" s="27"/>
      <c r="B50" s="33"/>
      <c r="C50" s="7" t="s">
        <v>851</v>
      </c>
      <c r="D50" s="8">
        <v>37.11</v>
      </c>
      <c r="E50" s="9" t="s">
        <v>850</v>
      </c>
      <c r="F50" s="35">
        <f t="shared" si="5"/>
        <v>0</v>
      </c>
      <c r="G50" s="21"/>
    </row>
    <row r="51" spans="1:7" ht="15" customHeight="1">
      <c r="A51" s="27"/>
      <c r="B51" s="33"/>
      <c r="C51" s="7" t="s">
        <v>852</v>
      </c>
      <c r="D51" s="8">
        <v>26.53</v>
      </c>
      <c r="E51" s="9" t="s">
        <v>850</v>
      </c>
      <c r="F51" s="35">
        <f t="shared" si="5"/>
        <v>0</v>
      </c>
      <c r="G51" s="21"/>
    </row>
    <row r="52" spans="1:7" ht="15" customHeight="1">
      <c r="A52" s="27"/>
      <c r="B52" s="33"/>
      <c r="C52" s="7" t="s">
        <v>853</v>
      </c>
      <c r="D52" s="8">
        <v>25.92</v>
      </c>
      <c r="E52" s="9" t="s">
        <v>850</v>
      </c>
      <c r="F52" s="35">
        <f t="shared" si="5"/>
        <v>0</v>
      </c>
      <c r="G52" s="21"/>
    </row>
    <row r="53" spans="1:7" ht="15" customHeight="1">
      <c r="A53" s="27"/>
      <c r="B53" s="33"/>
      <c r="C53" s="7" t="s">
        <v>854</v>
      </c>
      <c r="D53" s="8">
        <v>19.71</v>
      </c>
      <c r="E53" s="9" t="s">
        <v>850</v>
      </c>
      <c r="F53" s="35">
        <f t="shared" si="5"/>
        <v>0</v>
      </c>
      <c r="G53" s="21"/>
    </row>
    <row r="54" spans="1:7" ht="15" customHeight="1">
      <c r="A54" s="27"/>
      <c r="B54" s="33"/>
      <c r="C54" s="7" t="s">
        <v>864</v>
      </c>
      <c r="D54" s="8">
        <v>73.209999999999994</v>
      </c>
      <c r="E54" s="9" t="s">
        <v>850</v>
      </c>
      <c r="F54" s="35">
        <f t="shared" si="5"/>
        <v>0</v>
      </c>
      <c r="G54" s="21"/>
    </row>
    <row r="55" spans="1:7" ht="15" customHeight="1">
      <c r="A55" s="27"/>
      <c r="B55" s="33"/>
      <c r="C55" s="34" t="s">
        <v>856</v>
      </c>
      <c r="D55" s="8"/>
      <c r="E55" s="9"/>
      <c r="F55" s="35"/>
      <c r="G55" s="21"/>
    </row>
    <row r="56" spans="1:7" ht="15" customHeight="1">
      <c r="A56" s="27"/>
      <c r="B56" s="33"/>
      <c r="C56" s="7" t="s">
        <v>849</v>
      </c>
      <c r="D56" s="8">
        <v>63.34</v>
      </c>
      <c r="E56" s="9" t="s">
        <v>850</v>
      </c>
      <c r="F56" s="35">
        <f t="shared" ref="F56:F61" si="6">D56*B56</f>
        <v>0</v>
      </c>
      <c r="G56" s="21"/>
    </row>
    <row r="57" spans="1:7" ht="15" customHeight="1">
      <c r="A57" s="27"/>
      <c r="B57" s="33"/>
      <c r="C57" s="7" t="s">
        <v>851</v>
      </c>
      <c r="D57" s="8">
        <v>37.11</v>
      </c>
      <c r="E57" s="9" t="s">
        <v>850</v>
      </c>
      <c r="F57" s="35">
        <f t="shared" si="6"/>
        <v>0</v>
      </c>
      <c r="G57" s="21"/>
    </row>
    <row r="58" spans="1:7" ht="15" customHeight="1">
      <c r="A58" s="27"/>
      <c r="B58" s="33"/>
      <c r="C58" s="7" t="s">
        <v>852</v>
      </c>
      <c r="D58" s="8">
        <v>26.53</v>
      </c>
      <c r="E58" s="9" t="s">
        <v>850</v>
      </c>
      <c r="F58" s="35">
        <f t="shared" si="6"/>
        <v>0</v>
      </c>
      <c r="G58" s="21"/>
    </row>
    <row r="59" spans="1:7" ht="15" customHeight="1">
      <c r="A59" s="27"/>
      <c r="B59" s="33"/>
      <c r="C59" s="7" t="s">
        <v>853</v>
      </c>
      <c r="D59" s="8">
        <v>25.92</v>
      </c>
      <c r="E59" s="9" t="s">
        <v>850</v>
      </c>
      <c r="F59" s="35">
        <f t="shared" si="6"/>
        <v>0</v>
      </c>
      <c r="G59" s="21"/>
    </row>
    <row r="60" spans="1:7" ht="15" customHeight="1">
      <c r="A60" s="27"/>
      <c r="B60" s="33"/>
      <c r="C60" s="7" t="s">
        <v>854</v>
      </c>
      <c r="D60" s="8">
        <v>19.71</v>
      </c>
      <c r="E60" s="9" t="s">
        <v>850</v>
      </c>
      <c r="F60" s="35">
        <f t="shared" si="6"/>
        <v>0</v>
      </c>
      <c r="G60" s="21"/>
    </row>
    <row r="61" spans="1:7" ht="15" customHeight="1">
      <c r="A61" s="27"/>
      <c r="B61" s="33"/>
      <c r="C61" s="7" t="s">
        <v>864</v>
      </c>
      <c r="D61" s="8">
        <v>73.209999999999994</v>
      </c>
      <c r="E61" s="9" t="s">
        <v>850</v>
      </c>
      <c r="F61" s="35">
        <f t="shared" si="6"/>
        <v>0</v>
      </c>
      <c r="G61" s="21"/>
    </row>
    <row r="62" spans="1:7" ht="15" customHeight="1">
      <c r="A62" s="27"/>
      <c r="B62" s="33"/>
      <c r="C62" s="34" t="s">
        <v>857</v>
      </c>
      <c r="D62" s="8"/>
      <c r="E62" s="9"/>
      <c r="F62" s="36"/>
      <c r="G62" s="21"/>
    </row>
    <row r="63" spans="1:7" ht="15" customHeight="1">
      <c r="A63" s="27"/>
      <c r="B63" s="28"/>
      <c r="C63" s="29" t="s">
        <v>858</v>
      </c>
      <c r="D63" s="30"/>
      <c r="E63" s="31"/>
      <c r="F63" s="32">
        <f>SUM(F64:F66)</f>
        <v>0</v>
      </c>
      <c r="G63" s="21"/>
    </row>
    <row r="64" spans="1:7" ht="15" customHeight="1">
      <c r="A64" s="27"/>
      <c r="B64" s="33"/>
      <c r="C64" s="7" t="s">
        <v>869</v>
      </c>
      <c r="D64" s="8"/>
      <c r="E64" s="9"/>
      <c r="F64" s="35">
        <v>0</v>
      </c>
      <c r="G64" s="21"/>
    </row>
    <row r="65" spans="1:7" ht="15" customHeight="1">
      <c r="A65" s="27"/>
      <c r="B65" s="33"/>
      <c r="C65" s="7" t="s">
        <v>870</v>
      </c>
      <c r="D65" s="8"/>
      <c r="E65" s="9"/>
      <c r="F65" s="35">
        <v>0</v>
      </c>
      <c r="G65" s="21"/>
    </row>
    <row r="66" spans="1:7" ht="15" customHeight="1">
      <c r="A66" s="27"/>
      <c r="B66" s="37"/>
      <c r="C66" s="7" t="s">
        <v>867</v>
      </c>
      <c r="D66" s="14"/>
      <c r="E66" s="15"/>
      <c r="F66" s="38">
        <v>0</v>
      </c>
      <c r="G66" s="21"/>
    </row>
    <row r="67" spans="1:7" ht="15" customHeight="1">
      <c r="B67" s="286"/>
      <c r="C67" s="256" t="s">
        <v>871</v>
      </c>
      <c r="D67" s="256"/>
      <c r="E67" s="256"/>
      <c r="F67" s="270"/>
    </row>
    <row r="68" spans="1:7" ht="15" customHeight="1">
      <c r="A68" s="27"/>
      <c r="B68" s="28"/>
      <c r="C68" s="29" t="s">
        <v>847</v>
      </c>
      <c r="D68" s="30"/>
      <c r="E68" s="31"/>
      <c r="F68" s="32">
        <f>SUM(F70:F83)</f>
        <v>0</v>
      </c>
      <c r="G68" s="21"/>
    </row>
    <row r="69" spans="1:7" ht="15" customHeight="1">
      <c r="A69" s="27"/>
      <c r="B69" s="33"/>
      <c r="C69" s="34" t="s">
        <v>848</v>
      </c>
      <c r="D69" s="8"/>
      <c r="E69" s="9"/>
      <c r="F69" s="35"/>
      <c r="G69" s="21"/>
    </row>
    <row r="70" spans="1:7" ht="15" customHeight="1">
      <c r="A70" s="27"/>
      <c r="B70" s="33"/>
      <c r="C70" s="7" t="s">
        <v>849</v>
      </c>
      <c r="D70" s="8">
        <v>63.34</v>
      </c>
      <c r="E70" s="9" t="s">
        <v>850</v>
      </c>
      <c r="F70" s="35">
        <f t="shared" ref="F70:F75" si="7">D70*B70</f>
        <v>0</v>
      </c>
      <c r="G70" s="21"/>
    </row>
    <row r="71" spans="1:7" ht="15" customHeight="1">
      <c r="A71" s="27"/>
      <c r="B71" s="33"/>
      <c r="C71" s="7" t="s">
        <v>851</v>
      </c>
      <c r="D71" s="8">
        <v>37.11</v>
      </c>
      <c r="E71" s="9" t="s">
        <v>850</v>
      </c>
      <c r="F71" s="35">
        <f t="shared" si="7"/>
        <v>0</v>
      </c>
      <c r="G71" s="21"/>
    </row>
    <row r="72" spans="1:7" ht="15" customHeight="1">
      <c r="A72" s="27"/>
      <c r="B72" s="33"/>
      <c r="C72" s="7" t="s">
        <v>852</v>
      </c>
      <c r="D72" s="8">
        <v>26.53</v>
      </c>
      <c r="E72" s="9" t="s">
        <v>850</v>
      </c>
      <c r="F72" s="35">
        <f t="shared" si="7"/>
        <v>0</v>
      </c>
      <c r="G72" s="21"/>
    </row>
    <row r="73" spans="1:7" ht="15" customHeight="1">
      <c r="A73" s="27"/>
      <c r="B73" s="33"/>
      <c r="C73" s="7" t="s">
        <v>853</v>
      </c>
      <c r="D73" s="8">
        <v>25.92</v>
      </c>
      <c r="E73" s="9" t="s">
        <v>850</v>
      </c>
      <c r="F73" s="35">
        <f t="shared" si="7"/>
        <v>0</v>
      </c>
      <c r="G73" s="21"/>
    </row>
    <row r="74" spans="1:7" ht="15" customHeight="1">
      <c r="A74" s="27"/>
      <c r="B74" s="33"/>
      <c r="C74" s="7" t="s">
        <v>854</v>
      </c>
      <c r="D74" s="8">
        <v>19.71</v>
      </c>
      <c r="E74" s="9" t="s">
        <v>850</v>
      </c>
      <c r="F74" s="35">
        <f t="shared" si="7"/>
        <v>0</v>
      </c>
      <c r="G74" s="21"/>
    </row>
    <row r="75" spans="1:7" ht="15" customHeight="1">
      <c r="A75" s="27"/>
      <c r="B75" s="33"/>
      <c r="C75" s="7" t="s">
        <v>864</v>
      </c>
      <c r="D75" s="8">
        <v>73.209999999999994</v>
      </c>
      <c r="E75" s="9" t="s">
        <v>850</v>
      </c>
      <c r="F75" s="35">
        <f t="shared" si="7"/>
        <v>0</v>
      </c>
      <c r="G75" s="21"/>
    </row>
    <row r="76" spans="1:7" ht="15" customHeight="1">
      <c r="A76" s="27"/>
      <c r="B76" s="33"/>
      <c r="C76" s="34" t="s">
        <v>856</v>
      </c>
      <c r="D76" s="8"/>
      <c r="E76" s="9"/>
      <c r="F76" s="35"/>
      <c r="G76" s="21"/>
    </row>
    <row r="77" spans="1:7" ht="15" customHeight="1">
      <c r="A77" s="27"/>
      <c r="B77" s="33"/>
      <c r="C77" s="7" t="s">
        <v>849</v>
      </c>
      <c r="D77" s="8">
        <v>63.34</v>
      </c>
      <c r="E77" s="9" t="s">
        <v>850</v>
      </c>
      <c r="F77" s="35">
        <f t="shared" ref="F77:F82" si="8">D77*B77</f>
        <v>0</v>
      </c>
      <c r="G77" s="21"/>
    </row>
    <row r="78" spans="1:7" ht="15" customHeight="1">
      <c r="A78" s="27"/>
      <c r="B78" s="33"/>
      <c r="C78" s="7" t="s">
        <v>851</v>
      </c>
      <c r="D78" s="8">
        <v>37.11</v>
      </c>
      <c r="E78" s="9" t="s">
        <v>850</v>
      </c>
      <c r="F78" s="35">
        <f t="shared" si="8"/>
        <v>0</v>
      </c>
      <c r="G78" s="21"/>
    </row>
    <row r="79" spans="1:7" ht="15" customHeight="1">
      <c r="A79" s="27"/>
      <c r="B79" s="33"/>
      <c r="C79" s="7" t="s">
        <v>852</v>
      </c>
      <c r="D79" s="8">
        <v>26.53</v>
      </c>
      <c r="E79" s="9" t="s">
        <v>850</v>
      </c>
      <c r="F79" s="35">
        <f t="shared" si="8"/>
        <v>0</v>
      </c>
      <c r="G79" s="21"/>
    </row>
    <row r="80" spans="1:7" ht="15" customHeight="1">
      <c r="A80" s="27"/>
      <c r="B80" s="33"/>
      <c r="C80" s="7" t="s">
        <v>853</v>
      </c>
      <c r="D80" s="8">
        <v>25.92</v>
      </c>
      <c r="E80" s="9" t="s">
        <v>850</v>
      </c>
      <c r="F80" s="35">
        <f t="shared" si="8"/>
        <v>0</v>
      </c>
      <c r="G80" s="21"/>
    </row>
    <row r="81" spans="1:7" ht="15" customHeight="1">
      <c r="A81" s="27"/>
      <c r="B81" s="33"/>
      <c r="C81" s="7" t="s">
        <v>854</v>
      </c>
      <c r="D81" s="8">
        <v>19.71</v>
      </c>
      <c r="E81" s="9" t="s">
        <v>850</v>
      </c>
      <c r="F81" s="35">
        <f t="shared" si="8"/>
        <v>0</v>
      </c>
      <c r="G81" s="21"/>
    </row>
    <row r="82" spans="1:7" ht="15" customHeight="1">
      <c r="A82" s="27"/>
      <c r="B82" s="33"/>
      <c r="C82" s="7" t="s">
        <v>864</v>
      </c>
      <c r="D82" s="8">
        <v>73.209999999999994</v>
      </c>
      <c r="E82" s="9" t="s">
        <v>850</v>
      </c>
      <c r="F82" s="35">
        <f t="shared" si="8"/>
        <v>0</v>
      </c>
      <c r="G82" s="21"/>
    </row>
    <row r="83" spans="1:7" ht="15" customHeight="1">
      <c r="A83" s="27"/>
      <c r="B83" s="33"/>
      <c r="C83" s="34" t="s">
        <v>857</v>
      </c>
      <c r="D83" s="8"/>
      <c r="E83" s="9"/>
      <c r="F83" s="36">
        <v>0</v>
      </c>
      <c r="G83" s="21"/>
    </row>
    <row r="84" spans="1:7" ht="15" customHeight="1">
      <c r="A84" s="27"/>
      <c r="B84" s="28"/>
      <c r="C84" s="29" t="s">
        <v>858</v>
      </c>
      <c r="D84" s="30"/>
      <c r="E84" s="31"/>
      <c r="F84" s="32">
        <f>SUM(F85:F87)</f>
        <v>0</v>
      </c>
      <c r="G84" s="21"/>
    </row>
    <row r="85" spans="1:7" ht="15" customHeight="1">
      <c r="A85" s="27"/>
      <c r="B85" s="33"/>
      <c r="C85" s="7" t="s">
        <v>872</v>
      </c>
      <c r="D85" s="8"/>
      <c r="E85" s="9"/>
      <c r="F85" s="35">
        <v>0</v>
      </c>
      <c r="G85" s="21"/>
    </row>
    <row r="86" spans="1:7" ht="15" customHeight="1">
      <c r="A86" s="27"/>
      <c r="B86" s="33"/>
      <c r="C86" s="7" t="s">
        <v>873</v>
      </c>
      <c r="D86" s="8"/>
      <c r="E86" s="9"/>
      <c r="F86" s="35">
        <v>0</v>
      </c>
      <c r="G86" s="21"/>
    </row>
    <row r="87" spans="1:7" ht="15" customHeight="1">
      <c r="A87" s="27"/>
      <c r="B87" s="37"/>
      <c r="C87" s="7" t="s">
        <v>867</v>
      </c>
      <c r="D87" s="14"/>
      <c r="E87" s="15"/>
      <c r="F87" s="38">
        <v>0</v>
      </c>
      <c r="G87" s="21"/>
    </row>
    <row r="88" spans="1:7" ht="15" customHeight="1">
      <c r="B88" s="286"/>
      <c r="C88" s="256" t="s">
        <v>874</v>
      </c>
      <c r="D88" s="256"/>
      <c r="E88" s="256"/>
      <c r="F88" s="270"/>
    </row>
    <row r="89" spans="1:7" ht="15" customHeight="1">
      <c r="A89" s="27"/>
      <c r="B89" s="28"/>
      <c r="C89" s="29" t="s">
        <v>847</v>
      </c>
      <c r="D89" s="30"/>
      <c r="E89" s="31"/>
      <c r="F89" s="32">
        <f>SUM(F91:F104)</f>
        <v>0</v>
      </c>
      <c r="G89" s="21"/>
    </row>
    <row r="90" spans="1:7" ht="15" customHeight="1">
      <c r="A90" s="27"/>
      <c r="B90" s="33"/>
      <c r="C90" s="34" t="s">
        <v>848</v>
      </c>
      <c r="D90" s="8"/>
      <c r="E90" s="9"/>
      <c r="F90" s="35"/>
      <c r="G90" s="21"/>
    </row>
    <row r="91" spans="1:7" ht="15" customHeight="1">
      <c r="A91" s="27"/>
      <c r="B91" s="33"/>
      <c r="C91" s="7" t="s">
        <v>849</v>
      </c>
      <c r="D91" s="8">
        <v>63.34</v>
      </c>
      <c r="E91" s="9" t="s">
        <v>850</v>
      </c>
      <c r="F91" s="35">
        <f>D91*B91</f>
        <v>0</v>
      </c>
      <c r="G91" s="21"/>
    </row>
    <row r="92" spans="1:7" ht="15" customHeight="1">
      <c r="A92" s="27"/>
      <c r="B92" s="33"/>
      <c r="C92" s="7" t="s">
        <v>851</v>
      </c>
      <c r="D92" s="8">
        <v>37.11</v>
      </c>
      <c r="E92" s="9" t="s">
        <v>850</v>
      </c>
      <c r="F92" s="35">
        <f t="shared" ref="F92:F96" si="9">D92*B92</f>
        <v>0</v>
      </c>
      <c r="G92" s="21"/>
    </row>
    <row r="93" spans="1:7" ht="15" customHeight="1">
      <c r="A93" s="27"/>
      <c r="B93" s="33"/>
      <c r="C93" s="7" t="s">
        <v>852</v>
      </c>
      <c r="D93" s="8">
        <v>26.53</v>
      </c>
      <c r="E93" s="9" t="s">
        <v>850</v>
      </c>
      <c r="F93" s="35">
        <f t="shared" si="9"/>
        <v>0</v>
      </c>
      <c r="G93" s="21"/>
    </row>
    <row r="94" spans="1:7" ht="15" customHeight="1">
      <c r="A94" s="27"/>
      <c r="B94" s="33"/>
      <c r="C94" s="7" t="s">
        <v>853</v>
      </c>
      <c r="D94" s="8">
        <v>25.92</v>
      </c>
      <c r="E94" s="9" t="s">
        <v>850</v>
      </c>
      <c r="F94" s="35">
        <f t="shared" si="9"/>
        <v>0</v>
      </c>
      <c r="G94" s="21"/>
    </row>
    <row r="95" spans="1:7" ht="15" customHeight="1">
      <c r="A95" s="27"/>
      <c r="B95" s="33"/>
      <c r="C95" s="7" t="s">
        <v>854</v>
      </c>
      <c r="D95" s="8">
        <v>19.71</v>
      </c>
      <c r="E95" s="9" t="s">
        <v>850</v>
      </c>
      <c r="F95" s="35">
        <f t="shared" si="9"/>
        <v>0</v>
      </c>
      <c r="G95" s="21"/>
    </row>
    <row r="96" spans="1:7" ht="15" customHeight="1">
      <c r="A96" s="27"/>
      <c r="B96" s="33"/>
      <c r="C96" s="7" t="s">
        <v>864</v>
      </c>
      <c r="D96" s="8">
        <v>73.209999999999994</v>
      </c>
      <c r="E96" s="9" t="s">
        <v>850</v>
      </c>
      <c r="F96" s="35">
        <f t="shared" si="9"/>
        <v>0</v>
      </c>
      <c r="G96" s="21"/>
    </row>
    <row r="97" spans="1:7" ht="15" customHeight="1">
      <c r="A97" s="27"/>
      <c r="B97" s="33"/>
      <c r="C97" s="34" t="s">
        <v>856</v>
      </c>
      <c r="D97" s="8"/>
      <c r="E97" s="9"/>
      <c r="F97" s="35"/>
      <c r="G97" s="21"/>
    </row>
    <row r="98" spans="1:7" ht="15" customHeight="1">
      <c r="A98" s="27"/>
      <c r="B98" s="33"/>
      <c r="C98" s="7" t="s">
        <v>849</v>
      </c>
      <c r="D98" s="8">
        <v>63.34</v>
      </c>
      <c r="E98" s="9" t="s">
        <v>850</v>
      </c>
      <c r="F98" s="35">
        <f t="shared" ref="F98:F103" si="10">D98*B98</f>
        <v>0</v>
      </c>
      <c r="G98" s="21"/>
    </row>
    <row r="99" spans="1:7" ht="15" customHeight="1">
      <c r="A99" s="27"/>
      <c r="B99" s="33"/>
      <c r="C99" s="7" t="s">
        <v>851</v>
      </c>
      <c r="D99" s="8">
        <v>37.11</v>
      </c>
      <c r="E99" s="9" t="s">
        <v>850</v>
      </c>
      <c r="F99" s="35">
        <f t="shared" si="10"/>
        <v>0</v>
      </c>
      <c r="G99" s="21"/>
    </row>
    <row r="100" spans="1:7" ht="15" customHeight="1">
      <c r="A100" s="27"/>
      <c r="B100" s="33"/>
      <c r="C100" s="7" t="s">
        <v>852</v>
      </c>
      <c r="D100" s="8">
        <v>26.53</v>
      </c>
      <c r="E100" s="9" t="s">
        <v>850</v>
      </c>
      <c r="F100" s="35">
        <f t="shared" si="10"/>
        <v>0</v>
      </c>
      <c r="G100" s="21"/>
    </row>
    <row r="101" spans="1:7" ht="15" customHeight="1">
      <c r="A101" s="27"/>
      <c r="B101" s="33"/>
      <c r="C101" s="7" t="s">
        <v>853</v>
      </c>
      <c r="D101" s="8">
        <v>25.92</v>
      </c>
      <c r="E101" s="9" t="s">
        <v>850</v>
      </c>
      <c r="F101" s="35">
        <f t="shared" si="10"/>
        <v>0</v>
      </c>
      <c r="G101" s="21"/>
    </row>
    <row r="102" spans="1:7" ht="15" customHeight="1">
      <c r="A102" s="27"/>
      <c r="B102" s="33"/>
      <c r="C102" s="7" t="s">
        <v>854</v>
      </c>
      <c r="D102" s="8">
        <v>19.71</v>
      </c>
      <c r="E102" s="9" t="s">
        <v>850</v>
      </c>
      <c r="F102" s="35">
        <f t="shared" si="10"/>
        <v>0</v>
      </c>
      <c r="G102" s="21"/>
    </row>
    <row r="103" spans="1:7" ht="15" customHeight="1">
      <c r="A103" s="27"/>
      <c r="B103" s="33"/>
      <c r="C103" s="7" t="s">
        <v>864</v>
      </c>
      <c r="D103" s="8">
        <v>73.209999999999994</v>
      </c>
      <c r="E103" s="9" t="s">
        <v>850</v>
      </c>
      <c r="F103" s="35">
        <f t="shared" si="10"/>
        <v>0</v>
      </c>
      <c r="G103" s="21"/>
    </row>
    <row r="104" spans="1:7" ht="15" customHeight="1">
      <c r="A104" s="27"/>
      <c r="B104" s="33"/>
      <c r="C104" s="34" t="s">
        <v>857</v>
      </c>
      <c r="D104" s="8"/>
      <c r="E104" s="9"/>
      <c r="F104" s="35"/>
      <c r="G104" s="21"/>
    </row>
    <row r="105" spans="1:7" ht="15" customHeight="1">
      <c r="A105" s="27"/>
      <c r="B105" s="28"/>
      <c r="C105" s="29" t="s">
        <v>858</v>
      </c>
      <c r="D105" s="30"/>
      <c r="E105" s="31"/>
      <c r="F105" s="32">
        <f>SUM(F106:F109)</f>
        <v>0</v>
      </c>
      <c r="G105" s="21"/>
    </row>
    <row r="106" spans="1:7" ht="15" customHeight="1">
      <c r="A106" s="27"/>
      <c r="B106" s="33"/>
      <c r="C106" s="7" t="s">
        <v>872</v>
      </c>
      <c r="D106" s="8"/>
      <c r="E106" s="9"/>
      <c r="F106" s="35">
        <v>0</v>
      </c>
      <c r="G106" s="21"/>
    </row>
    <row r="107" spans="1:7" ht="15" customHeight="1">
      <c r="A107" s="27"/>
      <c r="B107" s="33"/>
      <c r="C107" s="7" t="s">
        <v>873</v>
      </c>
      <c r="D107" s="8"/>
      <c r="E107" s="9"/>
      <c r="F107" s="35">
        <v>0</v>
      </c>
      <c r="G107" s="21"/>
    </row>
    <row r="108" spans="1:7" ht="15" customHeight="1">
      <c r="A108" s="27"/>
      <c r="B108" s="37"/>
      <c r="C108" s="7" t="s">
        <v>875</v>
      </c>
      <c r="D108" s="14"/>
      <c r="E108" s="15"/>
      <c r="F108" s="38">
        <v>0</v>
      </c>
      <c r="G108" s="21"/>
    </row>
    <row r="109" spans="1:7" ht="15" customHeight="1">
      <c r="A109" s="27"/>
      <c r="B109" s="37"/>
      <c r="C109" s="7" t="s">
        <v>867</v>
      </c>
      <c r="D109" s="14"/>
      <c r="E109" s="15"/>
      <c r="F109" s="38">
        <v>0</v>
      </c>
      <c r="G109" s="21"/>
    </row>
    <row r="110" spans="1:7" ht="15" customHeight="1">
      <c r="B110" s="286"/>
      <c r="C110" s="256" t="s">
        <v>876</v>
      </c>
      <c r="D110" s="256"/>
      <c r="E110" s="256"/>
      <c r="F110" s="270"/>
    </row>
    <row r="111" spans="1:7" ht="15" customHeight="1">
      <c r="A111" s="27"/>
      <c r="B111" s="28"/>
      <c r="C111" s="29" t="s">
        <v>657</v>
      </c>
      <c r="D111" s="30"/>
      <c r="E111" s="31"/>
      <c r="F111" s="32">
        <f>SUM(F113:F126)</f>
        <v>0</v>
      </c>
      <c r="G111" s="21"/>
    </row>
    <row r="112" spans="1:7" ht="15" customHeight="1">
      <c r="A112" s="27"/>
      <c r="B112" s="33"/>
      <c r="C112" s="34" t="s">
        <v>848</v>
      </c>
      <c r="D112" s="8"/>
      <c r="E112" s="9"/>
      <c r="F112" s="35"/>
      <c r="G112" s="21"/>
    </row>
    <row r="113" spans="1:7" ht="15" customHeight="1">
      <c r="A113" s="27"/>
      <c r="B113" s="33"/>
      <c r="C113" s="7" t="s">
        <v>849</v>
      </c>
      <c r="D113" s="8">
        <v>63.34</v>
      </c>
      <c r="E113" s="9" t="s">
        <v>850</v>
      </c>
      <c r="F113" s="35">
        <f t="shared" ref="F113:F125" si="11">D113*B113</f>
        <v>0</v>
      </c>
      <c r="G113" s="21"/>
    </row>
    <row r="114" spans="1:7" ht="15" customHeight="1">
      <c r="A114" s="27"/>
      <c r="B114" s="33"/>
      <c r="C114" s="7" t="s">
        <v>851</v>
      </c>
      <c r="D114" s="8">
        <v>37.11</v>
      </c>
      <c r="E114" s="9" t="s">
        <v>850</v>
      </c>
      <c r="F114" s="35">
        <f t="shared" si="11"/>
        <v>0</v>
      </c>
      <c r="G114" s="21"/>
    </row>
    <row r="115" spans="1:7" ht="15" customHeight="1">
      <c r="A115" s="27"/>
      <c r="B115" s="33"/>
      <c r="C115" s="7" t="s">
        <v>852</v>
      </c>
      <c r="D115" s="8">
        <v>26.53</v>
      </c>
      <c r="E115" s="9" t="s">
        <v>850</v>
      </c>
      <c r="F115" s="35">
        <f t="shared" si="11"/>
        <v>0</v>
      </c>
      <c r="G115" s="21"/>
    </row>
    <row r="116" spans="1:7" ht="15" customHeight="1">
      <c r="A116" s="27"/>
      <c r="B116" s="33"/>
      <c r="C116" s="7" t="s">
        <v>853</v>
      </c>
      <c r="D116" s="8">
        <v>25.92</v>
      </c>
      <c r="E116" s="9" t="s">
        <v>850</v>
      </c>
      <c r="F116" s="35">
        <f t="shared" si="11"/>
        <v>0</v>
      </c>
      <c r="G116" s="21"/>
    </row>
    <row r="117" spans="1:7" ht="15" customHeight="1">
      <c r="A117" s="27"/>
      <c r="B117" s="33"/>
      <c r="C117" s="7" t="s">
        <v>854</v>
      </c>
      <c r="D117" s="8">
        <v>19.71</v>
      </c>
      <c r="E117" s="9" t="s">
        <v>850</v>
      </c>
      <c r="F117" s="35">
        <f t="shared" si="11"/>
        <v>0</v>
      </c>
      <c r="G117" s="21"/>
    </row>
    <row r="118" spans="1:7" ht="15" customHeight="1">
      <c r="A118" s="27"/>
      <c r="B118" s="33"/>
      <c r="C118" s="7" t="s">
        <v>864</v>
      </c>
      <c r="D118" s="8">
        <v>73.209999999999994</v>
      </c>
      <c r="E118" s="9" t="s">
        <v>850</v>
      </c>
      <c r="F118" s="35">
        <f t="shared" si="11"/>
        <v>0</v>
      </c>
      <c r="G118" s="21"/>
    </row>
    <row r="119" spans="1:7" ht="15" customHeight="1">
      <c r="A119" s="27"/>
      <c r="B119" s="33"/>
      <c r="C119" s="34" t="s">
        <v>856</v>
      </c>
      <c r="D119" s="8"/>
      <c r="E119" s="9"/>
      <c r="F119" s="35"/>
      <c r="G119" s="21"/>
    </row>
    <row r="120" spans="1:7" ht="15" customHeight="1">
      <c r="A120" s="27"/>
      <c r="B120" s="33"/>
      <c r="C120" s="7" t="s">
        <v>849</v>
      </c>
      <c r="D120" s="8">
        <v>63.34</v>
      </c>
      <c r="E120" s="9" t="s">
        <v>850</v>
      </c>
      <c r="F120" s="35">
        <f t="shared" si="11"/>
        <v>0</v>
      </c>
      <c r="G120" s="21"/>
    </row>
    <row r="121" spans="1:7" ht="15" customHeight="1">
      <c r="A121" s="27"/>
      <c r="B121" s="33"/>
      <c r="C121" s="7" t="s">
        <v>851</v>
      </c>
      <c r="D121" s="8">
        <v>37.11</v>
      </c>
      <c r="E121" s="9" t="s">
        <v>850</v>
      </c>
      <c r="F121" s="35">
        <f t="shared" si="11"/>
        <v>0</v>
      </c>
      <c r="G121" s="21"/>
    </row>
    <row r="122" spans="1:7" ht="15" customHeight="1">
      <c r="A122" s="27"/>
      <c r="B122" s="33"/>
      <c r="C122" s="7" t="s">
        <v>852</v>
      </c>
      <c r="D122" s="8">
        <v>26.53</v>
      </c>
      <c r="E122" s="9" t="s">
        <v>850</v>
      </c>
      <c r="F122" s="35">
        <f t="shared" si="11"/>
        <v>0</v>
      </c>
      <c r="G122" s="21"/>
    </row>
    <row r="123" spans="1:7" ht="15" customHeight="1">
      <c r="A123" s="27"/>
      <c r="B123" s="33"/>
      <c r="C123" s="7" t="s">
        <v>853</v>
      </c>
      <c r="D123" s="8">
        <v>25.92</v>
      </c>
      <c r="E123" s="9" t="s">
        <v>850</v>
      </c>
      <c r="F123" s="35">
        <f t="shared" si="11"/>
        <v>0</v>
      </c>
      <c r="G123" s="21"/>
    </row>
    <row r="124" spans="1:7" ht="15" customHeight="1">
      <c r="A124" s="27"/>
      <c r="B124" s="33"/>
      <c r="C124" s="7" t="s">
        <v>854</v>
      </c>
      <c r="D124" s="8">
        <v>19.71</v>
      </c>
      <c r="E124" s="9" t="s">
        <v>850</v>
      </c>
      <c r="F124" s="35">
        <f t="shared" si="11"/>
        <v>0</v>
      </c>
      <c r="G124" s="21"/>
    </row>
    <row r="125" spans="1:7" ht="15" customHeight="1">
      <c r="A125" s="27"/>
      <c r="B125" s="33"/>
      <c r="C125" s="7" t="s">
        <v>864</v>
      </c>
      <c r="D125" s="8">
        <v>73.209999999999994</v>
      </c>
      <c r="E125" s="9" t="s">
        <v>850</v>
      </c>
      <c r="F125" s="35">
        <f t="shared" si="11"/>
        <v>0</v>
      </c>
      <c r="G125" s="21"/>
    </row>
    <row r="126" spans="1:7" ht="15" hidden="1" customHeight="1">
      <c r="A126" s="27"/>
      <c r="B126" s="33"/>
      <c r="C126" s="34" t="s">
        <v>857</v>
      </c>
      <c r="D126" s="8"/>
      <c r="E126" s="9"/>
      <c r="F126" s="35"/>
      <c r="G126" s="21"/>
    </row>
    <row r="127" spans="1:7" ht="15" customHeight="1">
      <c r="B127" s="261"/>
      <c r="C127" s="284" t="s">
        <v>51</v>
      </c>
      <c r="D127" s="262"/>
      <c r="E127" s="263"/>
      <c r="F127" s="266">
        <f>F111+F105+F89+F84+F68+F63+F47+F42+F26+F20+F4</f>
        <v>0</v>
      </c>
      <c r="G127" s="3"/>
    </row>
    <row r="128" spans="1:7" ht="15" customHeight="1">
      <c r="G128" s="3"/>
    </row>
    <row r="129" spans="7:7" ht="15" customHeight="1">
      <c r="G129" s="3"/>
    </row>
    <row r="130" spans="7:7" ht="15" customHeight="1">
      <c r="G130" s="3"/>
    </row>
  </sheetData>
  <mergeCells count="1">
    <mergeCell ref="B1:F1"/>
  </mergeCells>
  <conditionalFormatting sqref="F6:F19 F21:F24">
    <cfRule type="cellIs" dxfId="2" priority="1" operator="equal">
      <formula>0</formula>
    </cfRule>
  </conditionalFormatting>
  <conditionalFormatting sqref="F28:F40 F43:F45 F49:F61 F64:F66 F70:F82 F85:F87 F91:F103 F106:F109 F113:F125">
    <cfRule type="cellIs" dxfId="1" priority="3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73" orientation="portrait" r:id="rId1"/>
  <rowBreaks count="1" manualBreakCount="1">
    <brk id="66" max="5" man="1"/>
  </rowBreaks>
  <colBreaks count="1" manualBreakCount="1">
    <brk id="6" max="1048575" man="1"/>
  </col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-0.249977111117893"/>
  </sheetPr>
  <dimension ref="B1:I16"/>
  <sheetViews>
    <sheetView workbookViewId="0">
      <selection activeCell="D22" sqref="D22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62.88671875" style="3" customWidth="1"/>
    <col min="4" max="4" width="14.109375" style="2" customWidth="1"/>
    <col min="5" max="5" width="15.6640625" style="4" customWidth="1"/>
    <col min="6" max="6" width="11.44140625" style="1"/>
    <col min="7" max="7" width="15" style="1" customWidth="1"/>
    <col min="8" max="8" width="19.5546875" style="1" customWidth="1"/>
    <col min="9" max="16384" width="11.44140625" style="1"/>
  </cols>
  <sheetData>
    <row r="1" spans="2:9" ht="15" customHeight="1">
      <c r="B1" s="761" t="s">
        <v>804</v>
      </c>
      <c r="C1" s="761"/>
      <c r="D1" s="761"/>
      <c r="E1" s="761"/>
      <c r="F1" s="761"/>
      <c r="G1" s="761"/>
      <c r="H1" s="762"/>
      <c r="I1" s="18"/>
    </row>
    <row r="2" spans="2:9" ht="43.2">
      <c r="B2" s="5" t="s">
        <v>557</v>
      </c>
      <c r="C2" s="6" t="s">
        <v>297</v>
      </c>
      <c r="D2" s="6" t="s">
        <v>558</v>
      </c>
      <c r="E2" s="6" t="s">
        <v>559</v>
      </c>
      <c r="F2" s="6" t="s">
        <v>560</v>
      </c>
      <c r="G2" s="6" t="s">
        <v>561</v>
      </c>
      <c r="H2" s="6" t="s">
        <v>562</v>
      </c>
      <c r="I2" s="19"/>
    </row>
    <row r="3" spans="2:9" ht="15" customHeight="1">
      <c r="B3" s="256"/>
      <c r="C3" s="256" t="s">
        <v>877</v>
      </c>
      <c r="D3" s="256"/>
      <c r="E3" s="256"/>
      <c r="F3" s="256"/>
      <c r="G3" s="256"/>
      <c r="H3" s="256"/>
      <c r="I3" s="20"/>
    </row>
    <row r="4" spans="2:9" ht="15" customHeight="1">
      <c r="B4" s="7"/>
      <c r="C4" s="7"/>
      <c r="D4" s="8"/>
      <c r="E4" s="9">
        <v>4</v>
      </c>
      <c r="F4" s="8">
        <f t="shared" ref="F4:F7" si="0">D4/E4</f>
        <v>0</v>
      </c>
      <c r="G4" s="10"/>
      <c r="H4" s="8">
        <f t="shared" ref="H4:H5" si="1">B4*F4</f>
        <v>0</v>
      </c>
      <c r="I4" s="21"/>
    </row>
    <row r="5" spans="2:9" ht="15" customHeight="1">
      <c r="B5" s="7"/>
      <c r="C5" s="7"/>
      <c r="D5" s="8"/>
      <c r="E5" s="9">
        <v>4</v>
      </c>
      <c r="F5" s="8">
        <f t="shared" si="0"/>
        <v>0</v>
      </c>
      <c r="G5" s="10"/>
      <c r="H5" s="8">
        <f t="shared" si="1"/>
        <v>0</v>
      </c>
      <c r="I5" s="21"/>
    </row>
    <row r="6" spans="2:9" ht="15" customHeight="1">
      <c r="B6" s="256"/>
      <c r="C6" s="256" t="s">
        <v>878</v>
      </c>
      <c r="D6" s="256"/>
      <c r="E6" s="256"/>
      <c r="F6" s="256"/>
      <c r="G6" s="256"/>
      <c r="H6" s="256"/>
      <c r="I6" s="21"/>
    </row>
    <row r="7" spans="2:9" ht="15" customHeight="1">
      <c r="B7" s="11">
        <v>0</v>
      </c>
      <c r="C7" s="7" t="s">
        <v>879</v>
      </c>
      <c r="D7" s="8">
        <v>0</v>
      </c>
      <c r="E7" s="9">
        <v>1</v>
      </c>
      <c r="F7" s="8">
        <f t="shared" si="0"/>
        <v>0</v>
      </c>
      <c r="G7" s="10"/>
      <c r="H7" s="12">
        <v>0</v>
      </c>
      <c r="I7" s="21"/>
    </row>
    <row r="8" spans="2:9" ht="15" customHeight="1">
      <c r="B8" s="13"/>
      <c r="C8" s="13"/>
      <c r="D8" s="14"/>
      <c r="E8" s="15"/>
      <c r="F8" s="14"/>
      <c r="G8" s="13"/>
      <c r="H8" s="14"/>
      <c r="I8" s="21"/>
    </row>
    <row r="9" spans="2:9" ht="15" customHeight="1">
      <c r="B9" s="256"/>
      <c r="C9" s="256" t="s">
        <v>657</v>
      </c>
      <c r="D9" s="256"/>
      <c r="E9" s="256"/>
      <c r="F9" s="256"/>
      <c r="G9" s="256"/>
      <c r="H9" s="256"/>
    </row>
    <row r="10" spans="2:9" ht="15" customHeight="1">
      <c r="B10" s="11">
        <v>0</v>
      </c>
      <c r="C10" s="7" t="s">
        <v>880</v>
      </c>
      <c r="D10" s="8"/>
      <c r="E10" s="9">
        <v>1</v>
      </c>
      <c r="F10" s="8">
        <f>D10/E10</f>
        <v>0</v>
      </c>
      <c r="G10" s="10"/>
      <c r="H10" s="12">
        <v>0</v>
      </c>
    </row>
    <row r="11" spans="2:9" ht="15" customHeight="1">
      <c r="B11" s="16">
        <v>0</v>
      </c>
      <c r="C11" s="13" t="s">
        <v>881</v>
      </c>
      <c r="D11" s="14">
        <f>19.75*5*7+25</f>
        <v>716.25</v>
      </c>
      <c r="E11" s="15">
        <v>1</v>
      </c>
      <c r="F11" s="14"/>
      <c r="G11" s="13"/>
      <c r="H11" s="17">
        <f>D11*B11</f>
        <v>0</v>
      </c>
    </row>
    <row r="12" spans="2:9" ht="15" customHeight="1">
      <c r="B12" s="16"/>
      <c r="C12" s="13"/>
      <c r="D12" s="14"/>
      <c r="E12" s="15"/>
      <c r="F12" s="14"/>
      <c r="G12" s="13"/>
      <c r="H12" s="17"/>
    </row>
    <row r="13" spans="2:9" ht="15" customHeight="1">
      <c r="B13" s="16"/>
      <c r="C13" s="13"/>
      <c r="D13" s="14"/>
      <c r="E13" s="15"/>
      <c r="F13" s="14"/>
      <c r="G13" s="13"/>
      <c r="H13" s="17"/>
    </row>
    <row r="14" spans="2:9" ht="15" customHeight="1">
      <c r="B14" s="16"/>
      <c r="C14" s="13"/>
      <c r="D14" s="14"/>
      <c r="E14" s="15"/>
      <c r="F14" s="14"/>
      <c r="G14" s="13"/>
      <c r="H14" s="17"/>
    </row>
    <row r="15" spans="2:9" ht="15" customHeight="1">
      <c r="B15" s="16"/>
      <c r="C15" s="13"/>
      <c r="D15" s="14"/>
      <c r="E15" s="15"/>
      <c r="F15" s="14"/>
      <c r="G15" s="13"/>
      <c r="H15" s="17"/>
    </row>
    <row r="16" spans="2:9" ht="15" customHeight="1">
      <c r="B16" s="280"/>
      <c r="C16" s="281"/>
      <c r="D16" s="281"/>
      <c r="E16" s="280"/>
      <c r="F16" s="282" t="s">
        <v>51</v>
      </c>
      <c r="G16" s="282"/>
      <c r="H16" s="283">
        <f>SUM(H4:H15)</f>
        <v>0</v>
      </c>
    </row>
  </sheetData>
  <mergeCells count="1">
    <mergeCell ref="B1:H1"/>
  </mergeCells>
  <conditionalFormatting sqref="H4:H5 H7:H8 H10:H11">
    <cfRule type="cellIs" dxfId="0" priority="1" operator="equal">
      <formula>0</formula>
    </cfRule>
  </conditionalFormatting>
  <pageMargins left="0.7" right="0.7" top="0.75" bottom="0.75" header="0.3" footer="0.3"/>
  <pageSetup paperSize="9" scale="91" orientation="landscape"/>
  <colBreaks count="1" manualBreakCount="1">
    <brk id="8" max="17" man="1"/>
  </colBreak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Z562"/>
  <sheetViews>
    <sheetView showGridLines="0" workbookViewId="0">
      <selection activeCell="AD3" sqref="AD3"/>
    </sheetView>
  </sheetViews>
  <sheetFormatPr baseColWidth="10" defaultColWidth="11.44140625" defaultRowHeight="14.4"/>
  <cols>
    <col min="1" max="1" width="5.33203125" style="46" customWidth="1"/>
    <col min="2" max="2" width="4.6640625" style="151" customWidth="1"/>
    <col min="3" max="10" width="3.33203125" style="48" customWidth="1"/>
    <col min="11" max="11" width="26" style="48" customWidth="1"/>
    <col min="12" max="29" width="3.33203125" style="48" customWidth="1"/>
    <col min="30" max="16384" width="11.44140625" style="48"/>
  </cols>
  <sheetData>
    <row r="1" spans="2:26" ht="15" customHeight="1">
      <c r="B1" s="597" t="s">
        <v>61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</row>
    <row r="2" spans="2:26" ht="3.75" customHeight="1">
      <c r="B2" s="208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2:26" ht="30" customHeight="1">
      <c r="B3" s="601" t="s">
        <v>62</v>
      </c>
      <c r="C3" s="601"/>
      <c r="D3" s="601"/>
      <c r="E3" s="601"/>
      <c r="F3" s="601"/>
      <c r="G3" s="601"/>
      <c r="H3" s="601"/>
      <c r="I3" s="601"/>
      <c r="J3" s="601"/>
      <c r="K3" s="601"/>
      <c r="L3" s="602" t="s">
        <v>63</v>
      </c>
      <c r="M3" s="603"/>
      <c r="N3" s="603"/>
      <c r="O3" s="604"/>
      <c r="P3" s="602" t="s">
        <v>64</v>
      </c>
      <c r="Q3" s="603"/>
      <c r="R3" s="603"/>
      <c r="S3" s="603"/>
      <c r="T3" s="604"/>
      <c r="U3" s="602" t="s">
        <v>65</v>
      </c>
      <c r="V3" s="603"/>
      <c r="W3" s="603"/>
      <c r="X3" s="603"/>
      <c r="Y3" s="603"/>
      <c r="Z3" s="604"/>
    </row>
    <row r="4" spans="2:26" ht="15" customHeight="1">
      <c r="B4" s="605" t="s">
        <v>66</v>
      </c>
      <c r="C4" s="605"/>
      <c r="D4" s="605"/>
      <c r="E4" s="605"/>
      <c r="F4" s="605"/>
      <c r="G4" s="605"/>
      <c r="H4" s="605"/>
      <c r="I4" s="605"/>
      <c r="J4" s="605"/>
      <c r="K4" s="606"/>
      <c r="L4" s="607"/>
      <c r="M4" s="608"/>
      <c r="N4" s="608"/>
      <c r="O4" s="609"/>
      <c r="P4" s="610" t="s">
        <v>67</v>
      </c>
      <c r="Q4" s="611"/>
      <c r="R4" s="611"/>
      <c r="S4" s="611"/>
      <c r="T4" s="612"/>
      <c r="U4" s="613">
        <f>SUM(U5:Z7)</f>
        <v>0</v>
      </c>
      <c r="V4" s="614"/>
      <c r="W4" s="614"/>
      <c r="X4" s="614"/>
      <c r="Y4" s="614"/>
      <c r="Z4" s="615"/>
    </row>
    <row r="5" spans="2:26" ht="15" customHeight="1">
      <c r="B5" s="210"/>
      <c r="C5" s="616" t="s">
        <v>68</v>
      </c>
      <c r="D5" s="617"/>
      <c r="E5" s="617"/>
      <c r="F5" s="617"/>
      <c r="G5" s="617"/>
      <c r="H5" s="617"/>
      <c r="I5" s="617"/>
      <c r="J5" s="617"/>
      <c r="K5" s="618"/>
      <c r="L5" s="619">
        <v>0</v>
      </c>
      <c r="M5" s="620"/>
      <c r="N5" s="620"/>
      <c r="O5" s="621"/>
      <c r="P5" s="622">
        <v>6.3</v>
      </c>
      <c r="Q5" s="623"/>
      <c r="R5" s="623"/>
      <c r="S5" s="623"/>
      <c r="T5" s="624"/>
      <c r="U5" s="625">
        <f>P5*L5</f>
        <v>0</v>
      </c>
      <c r="V5" s="626"/>
      <c r="W5" s="626"/>
      <c r="X5" s="626"/>
      <c r="Y5" s="626"/>
      <c r="Z5" s="627"/>
    </row>
    <row r="6" spans="2:26" ht="15" customHeight="1">
      <c r="B6" s="210"/>
      <c r="C6" s="616" t="s">
        <v>69</v>
      </c>
      <c r="D6" s="617"/>
      <c r="E6" s="617"/>
      <c r="F6" s="617"/>
      <c r="G6" s="617"/>
      <c r="H6" s="617"/>
      <c r="I6" s="617"/>
      <c r="J6" s="617"/>
      <c r="K6" s="618"/>
      <c r="L6" s="619">
        <v>0</v>
      </c>
      <c r="M6" s="620"/>
      <c r="N6" s="620"/>
      <c r="O6" s="621"/>
      <c r="P6" s="622">
        <v>6.3</v>
      </c>
      <c r="Q6" s="623"/>
      <c r="R6" s="623"/>
      <c r="S6" s="623"/>
      <c r="T6" s="624"/>
      <c r="U6" s="625">
        <f>P6*L6</f>
        <v>0</v>
      </c>
      <c r="V6" s="626"/>
      <c r="W6" s="626"/>
      <c r="X6" s="626"/>
      <c r="Y6" s="626"/>
      <c r="Z6" s="627"/>
    </row>
    <row r="7" spans="2:26" ht="15" hidden="1" customHeight="1">
      <c r="B7" s="210"/>
      <c r="C7" s="628"/>
      <c r="D7" s="629"/>
      <c r="E7" s="629"/>
      <c r="F7" s="629"/>
      <c r="G7" s="629"/>
      <c r="H7" s="629"/>
      <c r="I7" s="629"/>
      <c r="J7" s="629"/>
      <c r="K7" s="630"/>
      <c r="L7" s="631"/>
      <c r="M7" s="632"/>
      <c r="N7" s="632"/>
      <c r="O7" s="633"/>
      <c r="P7" s="625"/>
      <c r="Q7" s="626"/>
      <c r="R7" s="626"/>
      <c r="S7" s="626"/>
      <c r="T7" s="627"/>
      <c r="U7" s="625"/>
      <c r="V7" s="626"/>
      <c r="W7" s="626"/>
      <c r="X7" s="626"/>
      <c r="Y7" s="626"/>
      <c r="Z7" s="627"/>
    </row>
    <row r="8" spans="2:26" ht="15" customHeight="1">
      <c r="B8" s="605" t="s">
        <v>70</v>
      </c>
      <c r="C8" s="605"/>
      <c r="D8" s="605"/>
      <c r="E8" s="605"/>
      <c r="F8" s="605"/>
      <c r="G8" s="605"/>
      <c r="H8" s="605"/>
      <c r="I8" s="605"/>
      <c r="J8" s="605"/>
      <c r="K8" s="606"/>
      <c r="L8" s="634"/>
      <c r="M8" s="635"/>
      <c r="N8" s="635"/>
      <c r="O8" s="636"/>
      <c r="P8" s="610"/>
      <c r="Q8" s="611"/>
      <c r="R8" s="611"/>
      <c r="S8" s="611"/>
      <c r="T8" s="612"/>
      <c r="U8" s="613">
        <f>SUM(U9:Z11)</f>
        <v>0</v>
      </c>
      <c r="V8" s="614"/>
      <c r="W8" s="614"/>
      <c r="X8" s="614"/>
      <c r="Y8" s="614"/>
      <c r="Z8" s="615"/>
    </row>
    <row r="9" spans="2:26" ht="15" customHeight="1">
      <c r="B9" s="210"/>
      <c r="C9" s="616" t="s">
        <v>71</v>
      </c>
      <c r="D9" s="617"/>
      <c r="E9" s="617"/>
      <c r="F9" s="617"/>
      <c r="G9" s="617"/>
      <c r="H9" s="617"/>
      <c r="I9" s="617"/>
      <c r="J9" s="617"/>
      <c r="K9" s="618"/>
      <c r="L9" s="619">
        <v>0</v>
      </c>
      <c r="M9" s="620"/>
      <c r="N9" s="620"/>
      <c r="O9" s="621"/>
      <c r="P9" s="622">
        <v>85</v>
      </c>
      <c r="Q9" s="623"/>
      <c r="R9" s="623"/>
      <c r="S9" s="623"/>
      <c r="T9" s="624"/>
      <c r="U9" s="625">
        <f t="shared" ref="U9:U11" si="0">P9*L9</f>
        <v>0</v>
      </c>
      <c r="V9" s="626"/>
      <c r="W9" s="626"/>
      <c r="X9" s="626"/>
      <c r="Y9" s="626"/>
      <c r="Z9" s="627"/>
    </row>
    <row r="10" spans="2:26" ht="15" customHeight="1">
      <c r="B10" s="210"/>
      <c r="C10" s="616" t="s">
        <v>72</v>
      </c>
      <c r="D10" s="617"/>
      <c r="E10" s="617"/>
      <c r="F10" s="617"/>
      <c r="G10" s="617"/>
      <c r="H10" s="617"/>
      <c r="I10" s="617"/>
      <c r="J10" s="617"/>
      <c r="K10" s="618"/>
      <c r="L10" s="619">
        <v>0</v>
      </c>
      <c r="M10" s="620"/>
      <c r="N10" s="620"/>
      <c r="O10" s="621"/>
      <c r="P10" s="622">
        <v>35</v>
      </c>
      <c r="Q10" s="623"/>
      <c r="R10" s="623"/>
      <c r="S10" s="623"/>
      <c r="T10" s="624"/>
      <c r="U10" s="625">
        <f t="shared" si="0"/>
        <v>0</v>
      </c>
      <c r="V10" s="626"/>
      <c r="W10" s="626"/>
      <c r="X10" s="626"/>
      <c r="Y10" s="626"/>
      <c r="Z10" s="627"/>
    </row>
    <row r="11" spans="2:26" ht="15" customHeight="1">
      <c r="B11" s="210"/>
      <c r="C11" s="616" t="s">
        <v>73</v>
      </c>
      <c r="D11" s="617"/>
      <c r="E11" s="617"/>
      <c r="F11" s="617"/>
      <c r="G11" s="617"/>
      <c r="H11" s="617"/>
      <c r="I11" s="617"/>
      <c r="J11" s="617"/>
      <c r="K11" s="618"/>
      <c r="L11" s="619">
        <v>0</v>
      </c>
      <c r="M11" s="620"/>
      <c r="N11" s="620"/>
      <c r="O11" s="621"/>
      <c r="P11" s="622">
        <v>12</v>
      </c>
      <c r="Q11" s="623"/>
      <c r="R11" s="623"/>
      <c r="S11" s="623"/>
      <c r="T11" s="624"/>
      <c r="U11" s="625">
        <f t="shared" si="0"/>
        <v>0</v>
      </c>
      <c r="V11" s="626"/>
      <c r="W11" s="626"/>
      <c r="X11" s="626"/>
      <c r="Y11" s="626"/>
      <c r="Z11" s="627"/>
    </row>
    <row r="12" spans="2:26" ht="15" customHeight="1">
      <c r="B12" s="605" t="s">
        <v>74</v>
      </c>
      <c r="C12" s="605"/>
      <c r="D12" s="605"/>
      <c r="E12" s="605"/>
      <c r="F12" s="605"/>
      <c r="G12" s="605"/>
      <c r="H12" s="605"/>
      <c r="I12" s="605"/>
      <c r="J12" s="605"/>
      <c r="K12" s="606"/>
      <c r="L12" s="634"/>
      <c r="M12" s="635"/>
      <c r="N12" s="635"/>
      <c r="O12" s="636"/>
      <c r="P12" s="610"/>
      <c r="Q12" s="611"/>
      <c r="R12" s="611"/>
      <c r="S12" s="611"/>
      <c r="T12" s="612"/>
      <c r="U12" s="613">
        <f>SUM(U13:Z16)</f>
        <v>0</v>
      </c>
      <c r="V12" s="614"/>
      <c r="W12" s="614"/>
      <c r="X12" s="614"/>
      <c r="Y12" s="614"/>
      <c r="Z12" s="615"/>
    </row>
    <row r="13" spans="2:26" ht="15" customHeight="1">
      <c r="B13" s="210"/>
      <c r="C13" s="616" t="s">
        <v>75</v>
      </c>
      <c r="D13" s="617"/>
      <c r="E13" s="617"/>
      <c r="F13" s="617"/>
      <c r="G13" s="617"/>
      <c r="H13" s="617"/>
      <c r="I13" s="617"/>
      <c r="J13" s="617"/>
      <c r="K13" s="618"/>
      <c r="L13" s="619">
        <v>0</v>
      </c>
      <c r="M13" s="620"/>
      <c r="N13" s="620"/>
      <c r="O13" s="621"/>
      <c r="P13" s="622">
        <v>0.01</v>
      </c>
      <c r="Q13" s="623"/>
      <c r="R13" s="623"/>
      <c r="S13" s="623"/>
      <c r="T13" s="624"/>
      <c r="U13" s="625">
        <f t="shared" ref="U13:U16" si="1">P13*L13</f>
        <v>0</v>
      </c>
      <c r="V13" s="626"/>
      <c r="W13" s="626"/>
      <c r="X13" s="626"/>
      <c r="Y13" s="626"/>
      <c r="Z13" s="627"/>
    </row>
    <row r="14" spans="2:26" ht="15" customHeight="1">
      <c r="B14" s="210"/>
      <c r="C14" s="616" t="s">
        <v>76</v>
      </c>
      <c r="D14" s="617"/>
      <c r="E14" s="617"/>
      <c r="F14" s="617"/>
      <c r="G14" s="617"/>
      <c r="H14" s="617"/>
      <c r="I14" s="617"/>
      <c r="J14" s="617"/>
      <c r="K14" s="618"/>
      <c r="L14" s="619">
        <v>0</v>
      </c>
      <c r="M14" s="620"/>
      <c r="N14" s="620"/>
      <c r="O14" s="621"/>
      <c r="P14" s="622">
        <v>0.02</v>
      </c>
      <c r="Q14" s="623"/>
      <c r="R14" s="623"/>
      <c r="S14" s="623"/>
      <c r="T14" s="624"/>
      <c r="U14" s="625">
        <f t="shared" si="1"/>
        <v>0</v>
      </c>
      <c r="V14" s="626"/>
      <c r="W14" s="626"/>
      <c r="X14" s="626"/>
      <c r="Y14" s="626"/>
      <c r="Z14" s="627"/>
    </row>
    <row r="15" spans="2:26" ht="15" customHeight="1">
      <c r="B15" s="210"/>
      <c r="C15" s="616" t="s">
        <v>77</v>
      </c>
      <c r="D15" s="617"/>
      <c r="E15" s="617"/>
      <c r="F15" s="617"/>
      <c r="G15" s="617"/>
      <c r="H15" s="617"/>
      <c r="I15" s="617"/>
      <c r="J15" s="617"/>
      <c r="K15" s="618"/>
      <c r="L15" s="619">
        <v>0</v>
      </c>
      <c r="M15" s="620"/>
      <c r="N15" s="620"/>
      <c r="O15" s="621"/>
      <c r="P15" s="622">
        <v>0.2</v>
      </c>
      <c r="Q15" s="623"/>
      <c r="R15" s="623"/>
      <c r="S15" s="623"/>
      <c r="T15" s="624"/>
      <c r="U15" s="625">
        <f t="shared" ref="U15" si="2">P15*L15</f>
        <v>0</v>
      </c>
      <c r="V15" s="626"/>
      <c r="W15" s="626"/>
      <c r="X15" s="626"/>
      <c r="Y15" s="626"/>
      <c r="Z15" s="627"/>
    </row>
    <row r="16" spans="2:26" ht="15" customHeight="1">
      <c r="B16" s="210"/>
      <c r="C16" s="616" t="s">
        <v>78</v>
      </c>
      <c r="D16" s="617"/>
      <c r="E16" s="617"/>
      <c r="F16" s="617"/>
      <c r="G16" s="617"/>
      <c r="H16" s="617"/>
      <c r="I16" s="617"/>
      <c r="J16" s="617"/>
      <c r="K16" s="618"/>
      <c r="L16" s="619">
        <v>0</v>
      </c>
      <c r="M16" s="620"/>
      <c r="N16" s="620"/>
      <c r="O16" s="621"/>
      <c r="P16" s="622">
        <v>12</v>
      </c>
      <c r="Q16" s="623"/>
      <c r="R16" s="623"/>
      <c r="S16" s="623"/>
      <c r="T16" s="624"/>
      <c r="U16" s="625">
        <f t="shared" si="1"/>
        <v>0</v>
      </c>
      <c r="V16" s="626"/>
      <c r="W16" s="626"/>
      <c r="X16" s="626"/>
      <c r="Y16" s="626"/>
      <c r="Z16" s="627"/>
    </row>
    <row r="17" spans="2:26" ht="15" customHeight="1">
      <c r="B17" s="209" t="s">
        <v>79</v>
      </c>
      <c r="C17" s="211"/>
      <c r="D17" s="211"/>
      <c r="E17" s="211"/>
      <c r="F17" s="211"/>
      <c r="G17" s="211"/>
      <c r="H17" s="211"/>
      <c r="I17" s="211"/>
      <c r="J17" s="211"/>
      <c r="K17" s="212"/>
      <c r="L17" s="213"/>
      <c r="M17" s="214"/>
      <c r="N17" s="214"/>
      <c r="O17" s="215"/>
      <c r="P17" s="610"/>
      <c r="Q17" s="611"/>
      <c r="R17" s="611"/>
      <c r="S17" s="611"/>
      <c r="T17" s="612"/>
      <c r="U17" s="613">
        <f>SUM(U18:Z21)</f>
        <v>0</v>
      </c>
      <c r="V17" s="614"/>
      <c r="W17" s="614"/>
      <c r="X17" s="614"/>
      <c r="Y17" s="614"/>
      <c r="Z17" s="615"/>
    </row>
    <row r="18" spans="2:26" ht="15" customHeight="1">
      <c r="B18" s="210"/>
      <c r="C18" s="616" t="s">
        <v>80</v>
      </c>
      <c r="D18" s="617"/>
      <c r="E18" s="617"/>
      <c r="F18" s="617"/>
      <c r="G18" s="617"/>
      <c r="H18" s="617"/>
      <c r="I18" s="617"/>
      <c r="J18" s="617"/>
      <c r="K18" s="618"/>
      <c r="L18" s="619">
        <v>0</v>
      </c>
      <c r="M18" s="620"/>
      <c r="N18" s="620"/>
      <c r="O18" s="621"/>
      <c r="P18" s="622">
        <v>25.32</v>
      </c>
      <c r="Q18" s="623"/>
      <c r="R18" s="623"/>
      <c r="S18" s="623"/>
      <c r="T18" s="624"/>
      <c r="U18" s="625">
        <f t="shared" ref="U18:U19" si="3">P18*L18</f>
        <v>0</v>
      </c>
      <c r="V18" s="626"/>
      <c r="W18" s="626"/>
      <c r="X18" s="626"/>
      <c r="Y18" s="626"/>
      <c r="Z18" s="627"/>
    </row>
    <row r="19" spans="2:26" ht="15" customHeight="1">
      <c r="B19" s="210"/>
      <c r="C19" s="616" t="s">
        <v>68</v>
      </c>
      <c r="D19" s="617"/>
      <c r="E19" s="617"/>
      <c r="F19" s="617"/>
      <c r="G19" s="617"/>
      <c r="H19" s="617"/>
      <c r="I19" s="617"/>
      <c r="J19" s="617"/>
      <c r="K19" s="618"/>
      <c r="L19" s="619">
        <v>0</v>
      </c>
      <c r="M19" s="620"/>
      <c r="N19" s="620"/>
      <c r="O19" s="621"/>
      <c r="P19" s="622">
        <v>32.85</v>
      </c>
      <c r="Q19" s="623"/>
      <c r="R19" s="623"/>
      <c r="S19" s="623"/>
      <c r="T19" s="624"/>
      <c r="U19" s="625">
        <f t="shared" si="3"/>
        <v>0</v>
      </c>
      <c r="V19" s="626"/>
      <c r="W19" s="626"/>
      <c r="X19" s="626"/>
      <c r="Y19" s="626"/>
      <c r="Z19" s="627"/>
    </row>
    <row r="20" spans="2:26" ht="15" hidden="1" customHeight="1">
      <c r="B20" s="210"/>
      <c r="C20" s="628"/>
      <c r="D20" s="629"/>
      <c r="E20" s="629"/>
      <c r="F20" s="629"/>
      <c r="G20" s="629"/>
      <c r="H20" s="629"/>
      <c r="I20" s="629"/>
      <c r="J20" s="629"/>
      <c r="K20" s="630"/>
      <c r="L20" s="631"/>
      <c r="M20" s="632"/>
      <c r="N20" s="632"/>
      <c r="O20" s="633"/>
      <c r="P20" s="625"/>
      <c r="Q20" s="626"/>
      <c r="R20" s="626"/>
      <c r="S20" s="626"/>
      <c r="T20" s="627"/>
      <c r="U20" s="625"/>
      <c r="V20" s="626"/>
      <c r="W20" s="626"/>
      <c r="X20" s="626"/>
      <c r="Y20" s="626"/>
      <c r="Z20" s="627"/>
    </row>
    <row r="21" spans="2:26" ht="15" hidden="1" customHeight="1">
      <c r="B21" s="210"/>
      <c r="C21" s="628"/>
      <c r="D21" s="629"/>
      <c r="E21" s="629"/>
      <c r="F21" s="629"/>
      <c r="G21" s="629"/>
      <c r="H21" s="629"/>
      <c r="I21" s="629"/>
      <c r="J21" s="629"/>
      <c r="K21" s="630"/>
      <c r="L21" s="631"/>
      <c r="M21" s="632"/>
      <c r="N21" s="632"/>
      <c r="O21" s="633"/>
      <c r="P21" s="625"/>
      <c r="Q21" s="626"/>
      <c r="R21" s="626"/>
      <c r="S21" s="626"/>
      <c r="T21" s="627"/>
      <c r="U21" s="625"/>
      <c r="V21" s="626"/>
      <c r="W21" s="626"/>
      <c r="X21" s="626"/>
      <c r="Y21" s="626"/>
      <c r="Z21" s="627"/>
    </row>
    <row r="22" spans="2:26" ht="15" customHeight="1">
      <c r="B22" s="209" t="s">
        <v>81</v>
      </c>
      <c r="C22" s="211"/>
      <c r="D22" s="211"/>
      <c r="E22" s="211"/>
      <c r="F22" s="211"/>
      <c r="G22" s="211"/>
      <c r="H22" s="211"/>
      <c r="I22" s="211"/>
      <c r="J22" s="211"/>
      <c r="K22" s="212"/>
      <c r="L22" s="213"/>
      <c r="M22" s="214"/>
      <c r="N22" s="214"/>
      <c r="O22" s="215"/>
      <c r="P22" s="610"/>
      <c r="Q22" s="611"/>
      <c r="R22" s="611"/>
      <c r="S22" s="611"/>
      <c r="T22" s="612"/>
      <c r="U22" s="613">
        <f>SUM(U23:Z24)</f>
        <v>0</v>
      </c>
      <c r="V22" s="614"/>
      <c r="W22" s="614"/>
      <c r="X22" s="614"/>
      <c r="Y22" s="614"/>
      <c r="Z22" s="615"/>
    </row>
    <row r="23" spans="2:26" ht="15" customHeight="1">
      <c r="B23" s="210"/>
      <c r="C23" s="616" t="s">
        <v>82</v>
      </c>
      <c r="D23" s="617"/>
      <c r="E23" s="617"/>
      <c r="F23" s="617"/>
      <c r="G23" s="617"/>
      <c r="H23" s="617"/>
      <c r="I23" s="617"/>
      <c r="J23" s="617"/>
      <c r="K23" s="618"/>
      <c r="L23" s="619">
        <v>0</v>
      </c>
      <c r="M23" s="620"/>
      <c r="N23" s="620"/>
      <c r="O23" s="621"/>
      <c r="P23" s="622">
        <v>125</v>
      </c>
      <c r="Q23" s="623"/>
      <c r="R23" s="623"/>
      <c r="S23" s="623"/>
      <c r="T23" s="624"/>
      <c r="U23" s="625">
        <f t="shared" ref="U23:U27" si="4">P23*L23</f>
        <v>0</v>
      </c>
      <c r="V23" s="626"/>
      <c r="W23" s="626"/>
      <c r="X23" s="626"/>
      <c r="Y23" s="626"/>
      <c r="Z23" s="627"/>
    </row>
    <row r="24" spans="2:26" ht="15" customHeight="1">
      <c r="B24" s="210"/>
      <c r="C24" s="616" t="s">
        <v>83</v>
      </c>
      <c r="D24" s="617"/>
      <c r="E24" s="617"/>
      <c r="F24" s="617"/>
      <c r="G24" s="617"/>
      <c r="H24" s="617"/>
      <c r="I24" s="617"/>
      <c r="J24" s="617"/>
      <c r="K24" s="618"/>
      <c r="L24" s="619">
        <v>0</v>
      </c>
      <c r="M24" s="620"/>
      <c r="N24" s="620"/>
      <c r="O24" s="621"/>
      <c r="P24" s="622">
        <v>125</v>
      </c>
      <c r="Q24" s="623"/>
      <c r="R24" s="623"/>
      <c r="S24" s="623"/>
      <c r="T24" s="624"/>
      <c r="U24" s="625">
        <f t="shared" si="4"/>
        <v>0</v>
      </c>
      <c r="V24" s="626"/>
      <c r="W24" s="626"/>
      <c r="X24" s="626"/>
      <c r="Y24" s="626"/>
      <c r="Z24" s="627"/>
    </row>
    <row r="25" spans="2:26" ht="15" customHeight="1">
      <c r="B25" s="210"/>
      <c r="C25" s="616" t="s">
        <v>84</v>
      </c>
      <c r="D25" s="617"/>
      <c r="E25" s="617"/>
      <c r="F25" s="617"/>
      <c r="G25" s="617"/>
      <c r="H25" s="617"/>
      <c r="I25" s="617"/>
      <c r="J25" s="617"/>
      <c r="K25" s="618"/>
      <c r="L25" s="619">
        <v>0</v>
      </c>
      <c r="M25" s="620"/>
      <c r="N25" s="620"/>
      <c r="O25" s="621"/>
      <c r="P25" s="622">
        <v>325</v>
      </c>
      <c r="Q25" s="623"/>
      <c r="R25" s="623"/>
      <c r="S25" s="623"/>
      <c r="T25" s="624"/>
      <c r="U25" s="625">
        <f t="shared" si="4"/>
        <v>0</v>
      </c>
      <c r="V25" s="626"/>
      <c r="W25" s="626"/>
      <c r="X25" s="626"/>
      <c r="Y25" s="626"/>
      <c r="Z25" s="627"/>
    </row>
    <row r="26" spans="2:26" ht="15" customHeight="1">
      <c r="B26" s="210"/>
      <c r="C26" s="616" t="s">
        <v>85</v>
      </c>
      <c r="D26" s="617"/>
      <c r="E26" s="617"/>
      <c r="F26" s="617"/>
      <c r="G26" s="617"/>
      <c r="H26" s="617"/>
      <c r="I26" s="617"/>
      <c r="J26" s="617"/>
      <c r="K26" s="618"/>
      <c r="L26" s="619">
        <v>0</v>
      </c>
      <c r="M26" s="620"/>
      <c r="N26" s="620"/>
      <c r="O26" s="621"/>
      <c r="P26" s="622">
        <v>325</v>
      </c>
      <c r="Q26" s="623"/>
      <c r="R26" s="623"/>
      <c r="S26" s="623"/>
      <c r="T26" s="624"/>
      <c r="U26" s="625">
        <f t="shared" si="4"/>
        <v>0</v>
      </c>
      <c r="V26" s="626"/>
      <c r="W26" s="626"/>
      <c r="X26" s="626"/>
      <c r="Y26" s="626"/>
      <c r="Z26" s="627"/>
    </row>
    <row r="27" spans="2:26" ht="15" customHeight="1">
      <c r="B27" s="210"/>
      <c r="C27" s="616" t="s">
        <v>86</v>
      </c>
      <c r="D27" s="617"/>
      <c r="E27" s="617"/>
      <c r="F27" s="617"/>
      <c r="G27" s="617"/>
      <c r="H27" s="617"/>
      <c r="I27" s="617"/>
      <c r="J27" s="617"/>
      <c r="K27" s="618"/>
      <c r="L27" s="619">
        <v>0</v>
      </c>
      <c r="M27" s="620"/>
      <c r="N27" s="620"/>
      <c r="O27" s="621"/>
      <c r="P27" s="622">
        <v>298</v>
      </c>
      <c r="Q27" s="623"/>
      <c r="R27" s="623"/>
      <c r="S27" s="623"/>
      <c r="T27" s="624"/>
      <c r="U27" s="625">
        <f t="shared" si="4"/>
        <v>0</v>
      </c>
      <c r="V27" s="626"/>
      <c r="W27" s="626"/>
      <c r="X27" s="626"/>
      <c r="Y27" s="626"/>
      <c r="Z27" s="627"/>
    </row>
    <row r="28" spans="2:26" ht="15" customHeight="1">
      <c r="B28" s="605" t="s">
        <v>87</v>
      </c>
      <c r="C28" s="605"/>
      <c r="D28" s="605"/>
      <c r="E28" s="605"/>
      <c r="F28" s="605"/>
      <c r="G28" s="605"/>
      <c r="H28" s="605"/>
      <c r="I28" s="605"/>
      <c r="J28" s="605"/>
      <c r="K28" s="606"/>
      <c r="L28" s="634"/>
      <c r="M28" s="635"/>
      <c r="N28" s="635"/>
      <c r="O28" s="636"/>
      <c r="P28" s="637" t="s">
        <v>88</v>
      </c>
      <c r="Q28" s="638"/>
      <c r="R28" s="638"/>
      <c r="S28" s="638"/>
      <c r="T28" s="639"/>
      <c r="U28" s="613">
        <f>SUM(U29:Z31)</f>
        <v>0</v>
      </c>
      <c r="V28" s="614"/>
      <c r="W28" s="614"/>
      <c r="X28" s="614"/>
      <c r="Y28" s="614"/>
      <c r="Z28" s="615"/>
    </row>
    <row r="29" spans="2:26" ht="15" customHeight="1">
      <c r="B29" s="210"/>
      <c r="C29" s="616" t="s">
        <v>89</v>
      </c>
      <c r="D29" s="617"/>
      <c r="E29" s="617"/>
      <c r="F29" s="617"/>
      <c r="G29" s="617"/>
      <c r="H29" s="617"/>
      <c r="I29" s="617"/>
      <c r="J29" s="617"/>
      <c r="K29" s="618"/>
      <c r="L29" s="619">
        <v>0</v>
      </c>
      <c r="M29" s="620"/>
      <c r="N29" s="620"/>
      <c r="O29" s="621"/>
      <c r="P29" s="622">
        <v>95</v>
      </c>
      <c r="Q29" s="623"/>
      <c r="R29" s="623"/>
      <c r="S29" s="623"/>
      <c r="T29" s="624"/>
      <c r="U29" s="625">
        <f t="shared" ref="U29:U30" si="5">P29*L29</f>
        <v>0</v>
      </c>
      <c r="V29" s="626"/>
      <c r="W29" s="626"/>
      <c r="X29" s="626"/>
      <c r="Y29" s="626"/>
      <c r="Z29" s="627"/>
    </row>
    <row r="30" spans="2:26" ht="15" customHeight="1">
      <c r="B30" s="210"/>
      <c r="C30" s="616" t="s">
        <v>90</v>
      </c>
      <c r="D30" s="617"/>
      <c r="E30" s="617"/>
      <c r="F30" s="617"/>
      <c r="G30" s="617"/>
      <c r="H30" s="617"/>
      <c r="I30" s="617"/>
      <c r="J30" s="617"/>
      <c r="K30" s="618"/>
      <c r="L30" s="619">
        <v>0</v>
      </c>
      <c r="M30" s="620"/>
      <c r="N30" s="620"/>
      <c r="O30" s="621"/>
      <c r="P30" s="622">
        <v>35</v>
      </c>
      <c r="Q30" s="623"/>
      <c r="R30" s="623"/>
      <c r="S30" s="623"/>
      <c r="T30" s="624"/>
      <c r="U30" s="625">
        <f t="shared" si="5"/>
        <v>0</v>
      </c>
      <c r="V30" s="626"/>
      <c r="W30" s="626"/>
      <c r="X30" s="626"/>
      <c r="Y30" s="626"/>
      <c r="Z30" s="627"/>
    </row>
    <row r="31" spans="2:26" ht="15" hidden="1" customHeight="1">
      <c r="B31" s="210"/>
      <c r="C31" s="628"/>
      <c r="D31" s="629"/>
      <c r="E31" s="629"/>
      <c r="F31" s="629"/>
      <c r="G31" s="629"/>
      <c r="H31" s="629"/>
      <c r="I31" s="629"/>
      <c r="J31" s="629"/>
      <c r="K31" s="630"/>
      <c r="L31" s="631"/>
      <c r="M31" s="632"/>
      <c r="N31" s="632"/>
      <c r="O31" s="633"/>
      <c r="P31" s="625"/>
      <c r="Q31" s="626"/>
      <c r="R31" s="626"/>
      <c r="S31" s="626"/>
      <c r="T31" s="627"/>
      <c r="U31" s="625"/>
      <c r="V31" s="626"/>
      <c r="W31" s="626"/>
      <c r="X31" s="626"/>
      <c r="Y31" s="626"/>
      <c r="Z31" s="627"/>
    </row>
    <row r="32" spans="2:26" ht="15" customHeight="1">
      <c r="B32" s="605" t="s">
        <v>91</v>
      </c>
      <c r="C32" s="605"/>
      <c r="D32" s="605"/>
      <c r="E32" s="605"/>
      <c r="F32" s="605"/>
      <c r="G32" s="605"/>
      <c r="H32" s="605"/>
      <c r="I32" s="605"/>
      <c r="J32" s="605"/>
      <c r="K32" s="606"/>
      <c r="L32" s="634"/>
      <c r="M32" s="635"/>
      <c r="N32" s="635"/>
      <c r="O32" s="636"/>
      <c r="P32" s="610"/>
      <c r="Q32" s="611"/>
      <c r="R32" s="611"/>
      <c r="S32" s="611"/>
      <c r="T32" s="612"/>
      <c r="U32" s="613">
        <f>SUM(U33:Z35)</f>
        <v>0</v>
      </c>
      <c r="V32" s="614"/>
      <c r="W32" s="614"/>
      <c r="X32" s="614"/>
      <c r="Y32" s="614"/>
      <c r="Z32" s="615"/>
    </row>
    <row r="33" spans="2:26" ht="15" customHeight="1">
      <c r="B33" s="210"/>
      <c r="C33" s="616" t="s">
        <v>92</v>
      </c>
      <c r="D33" s="617"/>
      <c r="E33" s="617"/>
      <c r="F33" s="617"/>
      <c r="G33" s="617"/>
      <c r="H33" s="617"/>
      <c r="I33" s="617"/>
      <c r="J33" s="617"/>
      <c r="K33" s="618"/>
      <c r="L33" s="619">
        <v>0</v>
      </c>
      <c r="M33" s="620"/>
      <c r="N33" s="620"/>
      <c r="O33" s="621"/>
      <c r="P33" s="622">
        <v>225</v>
      </c>
      <c r="Q33" s="623"/>
      <c r="R33" s="623"/>
      <c r="S33" s="623"/>
      <c r="T33" s="624"/>
      <c r="U33" s="625">
        <f t="shared" ref="U33:U34" si="6">P33*L33</f>
        <v>0</v>
      </c>
      <c r="V33" s="626"/>
      <c r="W33" s="626"/>
      <c r="X33" s="626"/>
      <c r="Y33" s="626"/>
      <c r="Z33" s="627"/>
    </row>
    <row r="34" spans="2:26" ht="15" customHeight="1">
      <c r="B34" s="210"/>
      <c r="C34" s="616" t="s">
        <v>93</v>
      </c>
      <c r="D34" s="617"/>
      <c r="E34" s="617"/>
      <c r="F34" s="617"/>
      <c r="G34" s="617"/>
      <c r="H34" s="617"/>
      <c r="I34" s="617"/>
      <c r="J34" s="617"/>
      <c r="K34" s="618"/>
      <c r="L34" s="619">
        <v>0</v>
      </c>
      <c r="M34" s="620"/>
      <c r="N34" s="620"/>
      <c r="O34" s="621"/>
      <c r="P34" s="622">
        <v>73.209999999999994</v>
      </c>
      <c r="Q34" s="623"/>
      <c r="R34" s="623"/>
      <c r="S34" s="623"/>
      <c r="T34" s="624"/>
      <c r="U34" s="625">
        <f t="shared" si="6"/>
        <v>0</v>
      </c>
      <c r="V34" s="626"/>
      <c r="W34" s="626"/>
      <c r="X34" s="626"/>
      <c r="Y34" s="626"/>
      <c r="Z34" s="627"/>
    </row>
    <row r="35" spans="2:26" ht="15" hidden="1" customHeight="1">
      <c r="B35" s="210"/>
      <c r="C35" s="628"/>
      <c r="D35" s="629"/>
      <c r="E35" s="629"/>
      <c r="F35" s="629"/>
      <c r="G35" s="629"/>
      <c r="H35" s="629"/>
      <c r="I35" s="629"/>
      <c r="J35" s="629"/>
      <c r="K35" s="630"/>
      <c r="L35" s="631"/>
      <c r="M35" s="632"/>
      <c r="N35" s="632"/>
      <c r="O35" s="633"/>
      <c r="P35" s="625"/>
      <c r="Q35" s="626"/>
      <c r="R35" s="626"/>
      <c r="S35" s="626"/>
      <c r="T35" s="627"/>
      <c r="U35" s="625"/>
      <c r="V35" s="626"/>
      <c r="W35" s="626"/>
      <c r="X35" s="626"/>
      <c r="Y35" s="626"/>
      <c r="Z35" s="627"/>
    </row>
    <row r="36" spans="2:26" ht="15" customHeight="1">
      <c r="B36" s="592" t="s">
        <v>94</v>
      </c>
      <c r="C36" s="592"/>
      <c r="D36" s="592"/>
      <c r="E36" s="592"/>
      <c r="F36" s="592"/>
      <c r="G36" s="592"/>
      <c r="H36" s="592"/>
      <c r="I36" s="592"/>
      <c r="J36" s="592"/>
      <c r="K36" s="592"/>
      <c r="L36" s="53"/>
      <c r="M36" s="54"/>
      <c r="N36" s="54"/>
      <c r="O36" s="54"/>
      <c r="P36" s="640">
        <f>U32+U28+U22+U17+U8+U4</f>
        <v>0</v>
      </c>
      <c r="Q36" s="640"/>
      <c r="R36" s="640"/>
      <c r="S36" s="640"/>
      <c r="T36" s="640"/>
      <c r="U36" s="640"/>
      <c r="V36" s="640"/>
      <c r="W36" s="640"/>
      <c r="X36" s="640"/>
      <c r="Y36" s="640"/>
      <c r="Z36" s="641"/>
    </row>
    <row r="37" spans="2:26" ht="15" customHeight="1">
      <c r="B37" s="535" t="s">
        <v>8</v>
      </c>
      <c r="C37" s="535"/>
      <c r="D37" s="535"/>
      <c r="E37" s="535"/>
      <c r="F37" s="535"/>
      <c r="G37" s="535"/>
      <c r="H37" s="535"/>
      <c r="I37" s="535"/>
      <c r="J37" s="535"/>
      <c r="K37" s="535"/>
      <c r="L37" s="642">
        <f>'Caracteristicas Contrato'!E12</f>
        <v>0.13</v>
      </c>
      <c r="M37" s="643"/>
      <c r="N37" s="643"/>
      <c r="O37" s="644"/>
      <c r="P37" s="645">
        <f>P36*L37</f>
        <v>0</v>
      </c>
      <c r="Q37" s="646"/>
      <c r="R37" s="646"/>
      <c r="S37" s="646"/>
      <c r="T37" s="646"/>
      <c r="U37" s="646"/>
      <c r="V37" s="646"/>
      <c r="W37" s="646"/>
      <c r="X37" s="646"/>
      <c r="Y37" s="646"/>
      <c r="Z37" s="647"/>
    </row>
    <row r="38" spans="2:26" ht="15" customHeight="1">
      <c r="B38" s="535" t="s">
        <v>58</v>
      </c>
      <c r="C38" s="535"/>
      <c r="D38" s="535"/>
      <c r="E38" s="535"/>
      <c r="F38" s="535"/>
      <c r="G38" s="535"/>
      <c r="H38" s="535"/>
      <c r="I38" s="535"/>
      <c r="J38" s="535"/>
      <c r="K38" s="535"/>
      <c r="L38" s="642">
        <f>'Caracteristicas Contrato'!E14</f>
        <v>0.06</v>
      </c>
      <c r="M38" s="643"/>
      <c r="N38" s="643"/>
      <c r="O38" s="644"/>
      <c r="P38" s="645">
        <f>P36*L38</f>
        <v>0</v>
      </c>
      <c r="Q38" s="646"/>
      <c r="R38" s="646"/>
      <c r="S38" s="646"/>
      <c r="T38" s="646"/>
      <c r="U38" s="646"/>
      <c r="V38" s="646"/>
      <c r="W38" s="646"/>
      <c r="X38" s="646"/>
      <c r="Y38" s="646"/>
      <c r="Z38" s="647"/>
    </row>
    <row r="39" spans="2:26" ht="15" customHeight="1">
      <c r="B39" s="592" t="s">
        <v>95</v>
      </c>
      <c r="C39" s="592"/>
      <c r="D39" s="592"/>
      <c r="E39" s="592"/>
      <c r="F39" s="592"/>
      <c r="G39" s="592"/>
      <c r="H39" s="592"/>
      <c r="I39" s="592"/>
      <c r="J39" s="592"/>
      <c r="K39" s="592"/>
      <c r="L39" s="216"/>
      <c r="M39" s="217"/>
      <c r="N39" s="217"/>
      <c r="O39" s="217"/>
      <c r="P39" s="648">
        <f>P36+P37+P38</f>
        <v>0</v>
      </c>
      <c r="Q39" s="648"/>
      <c r="R39" s="648"/>
      <c r="S39" s="648"/>
      <c r="T39" s="648"/>
      <c r="U39" s="648"/>
      <c r="V39" s="648"/>
      <c r="W39" s="648"/>
      <c r="X39" s="648"/>
      <c r="Y39" s="648"/>
      <c r="Z39" s="649"/>
    </row>
    <row r="40" spans="2:26" ht="15" customHeight="1">
      <c r="B40" s="535" t="s">
        <v>96</v>
      </c>
      <c r="C40" s="535"/>
      <c r="D40" s="535"/>
      <c r="E40" s="535"/>
      <c r="F40" s="535"/>
      <c r="G40" s="535"/>
      <c r="H40" s="535"/>
      <c r="I40" s="535"/>
      <c r="J40" s="535"/>
      <c r="K40" s="535"/>
      <c r="L40" s="650">
        <v>0.21</v>
      </c>
      <c r="M40" s="629"/>
      <c r="N40" s="629"/>
      <c r="O40" s="630"/>
      <c r="P40" s="645">
        <f>P39*L40</f>
        <v>0</v>
      </c>
      <c r="Q40" s="646"/>
      <c r="R40" s="646"/>
      <c r="S40" s="646"/>
      <c r="T40" s="646"/>
      <c r="U40" s="646"/>
      <c r="V40" s="646"/>
      <c r="W40" s="646"/>
      <c r="X40" s="646"/>
      <c r="Y40" s="646"/>
      <c r="Z40" s="647"/>
    </row>
    <row r="41" spans="2:26" ht="15" customHeight="1">
      <c r="B41" s="587" t="s">
        <v>97</v>
      </c>
      <c r="C41" s="587"/>
      <c r="D41" s="587"/>
      <c r="E41" s="587"/>
      <c r="F41" s="587"/>
      <c r="G41" s="587"/>
      <c r="H41" s="587"/>
      <c r="I41" s="587"/>
      <c r="J41" s="587"/>
      <c r="K41" s="587"/>
      <c r="L41" s="234"/>
      <c r="M41" s="234"/>
      <c r="N41" s="234"/>
      <c r="O41" s="234"/>
      <c r="P41" s="651">
        <f>P39+P40</f>
        <v>0</v>
      </c>
      <c r="Q41" s="651"/>
      <c r="R41" s="651"/>
      <c r="S41" s="651"/>
      <c r="T41" s="651"/>
      <c r="U41" s="651"/>
      <c r="V41" s="651"/>
      <c r="W41" s="651"/>
      <c r="X41" s="651"/>
      <c r="Y41" s="651"/>
      <c r="Z41" s="652"/>
    </row>
    <row r="42" spans="2:26" s="46" customFormat="1" ht="15" customHeight="1">
      <c r="B42" s="151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2:26" s="46" customFormat="1" ht="15" customHeight="1">
      <c r="B43" s="151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2:26" s="46" customFormat="1" ht="15" customHeight="1">
      <c r="B44" s="151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2:26" s="46" customFormat="1" ht="15" customHeight="1">
      <c r="B45" s="151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2:26" s="46" customFormat="1" ht="15" customHeight="1">
      <c r="B46" s="151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2:26" s="46" customFormat="1" ht="15" customHeight="1">
      <c r="B47" s="151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2:26" s="46" customFormat="1" ht="15" customHeight="1">
      <c r="B48" s="151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2:26" s="46" customFormat="1" ht="15" customHeight="1">
      <c r="B49" s="151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2:26" s="46" customFormat="1" ht="15" customHeight="1">
      <c r="B50" s="151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2:26" s="46" customFormat="1" ht="15" customHeight="1">
      <c r="B51" s="151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2:26" s="46" customFormat="1" ht="15" customHeight="1">
      <c r="B52" s="151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2:26" s="46" customFormat="1" ht="15" customHeight="1">
      <c r="B53" s="151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2:26" s="46" customFormat="1" ht="15" customHeight="1">
      <c r="B54" s="151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2:26" s="46" customFormat="1" ht="15" customHeight="1">
      <c r="B55" s="151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2:26" s="46" customFormat="1" ht="15" customHeight="1">
      <c r="B56" s="15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2:26" s="46" customFormat="1" ht="15" customHeight="1">
      <c r="B57" s="151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2:26" s="46" customFormat="1" ht="15" customHeight="1">
      <c r="B58" s="151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2:26" s="46" customFormat="1" ht="15" customHeight="1">
      <c r="B59" s="151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2:26" s="46" customFormat="1" ht="15" customHeight="1">
      <c r="B60" s="151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2:26" s="46" customFormat="1" ht="15" customHeight="1">
      <c r="B61" s="151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2:26" s="46" customFormat="1" ht="15" customHeight="1">
      <c r="B62" s="151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2:26" s="46" customFormat="1" ht="15" customHeight="1">
      <c r="B63" s="151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2:26" s="46" customFormat="1" ht="15" customHeight="1">
      <c r="B64" s="151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2:26" s="46" customFormat="1" ht="15" customHeight="1">
      <c r="B65" s="151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2:26" s="46" customFormat="1" ht="15" customHeight="1">
      <c r="B66" s="15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2:26" s="46" customFormat="1" ht="15" customHeight="1">
      <c r="B67" s="151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2:26" s="46" customFormat="1" ht="15" customHeight="1">
      <c r="B68" s="151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2:26" s="46" customFormat="1" ht="15" customHeight="1">
      <c r="B69" s="151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2:26" s="46" customFormat="1" ht="15" customHeight="1">
      <c r="B70" s="15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2:26" s="46" customFormat="1" ht="15" customHeight="1">
      <c r="B71" s="151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2:26" s="46" customFormat="1" ht="15" customHeight="1">
      <c r="B72" s="151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2:26" s="46" customFormat="1" ht="15" customHeight="1">
      <c r="B73" s="151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2:26" s="46" customFormat="1" ht="15" customHeight="1">
      <c r="B74" s="151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2:26" s="46" customFormat="1" ht="15" customHeight="1">
      <c r="B75" s="151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2:26" s="46" customFormat="1" ht="15" customHeight="1">
      <c r="B76" s="151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2:26" s="46" customFormat="1" ht="15" customHeight="1">
      <c r="B77" s="151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2:26" s="46" customFormat="1" ht="15" customHeight="1">
      <c r="B78" s="151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2:26" s="46" customFormat="1" ht="15" customHeight="1">
      <c r="B79" s="151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2:26" s="46" customFormat="1" ht="15" customHeight="1">
      <c r="B80" s="151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2:26" s="46" customFormat="1" ht="15" customHeight="1">
      <c r="B81" s="151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2:26" s="46" customFormat="1" ht="15" customHeight="1">
      <c r="B82" s="15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2:26" s="46" customFormat="1" ht="15" customHeight="1">
      <c r="B83" s="151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2:26" s="46" customFormat="1" ht="15" customHeight="1">
      <c r="B84" s="151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2:26" s="46" customFormat="1" ht="15" customHeight="1">
      <c r="B85" s="151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2:26" s="46" customFormat="1" ht="15" customHeight="1">
      <c r="B86" s="151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2:26" s="46" customFormat="1" ht="15" customHeight="1">
      <c r="B87" s="151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2:26" s="46" customFormat="1" ht="15" customHeight="1">
      <c r="B88" s="151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2:26" s="46" customFormat="1" ht="15" customHeight="1">
      <c r="B89" s="151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2:26" s="46" customFormat="1" ht="15" customHeight="1">
      <c r="B90" s="151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2:26" s="46" customFormat="1" ht="15" customHeight="1">
      <c r="B91" s="151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2:26" s="46" customFormat="1" ht="15" customHeight="1">
      <c r="B92" s="151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2:26" s="46" customFormat="1" ht="15" customHeight="1">
      <c r="B93" s="151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2:26" s="46" customFormat="1" ht="15" customHeight="1">
      <c r="B94" s="151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2:26" s="46" customFormat="1" ht="15" customHeight="1">
      <c r="B95" s="151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2:26" s="46" customFormat="1" ht="15" customHeight="1">
      <c r="B96" s="151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2:26" s="46" customFormat="1" ht="15" customHeight="1">
      <c r="B97" s="151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2:26" s="46" customFormat="1" ht="15" customHeight="1">
      <c r="B98" s="151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2:26" s="46" customFormat="1" ht="15" customHeight="1">
      <c r="B99" s="151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2:26" s="46" customFormat="1" ht="15" customHeight="1">
      <c r="B100" s="151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2:26" s="46" customFormat="1" ht="15" customHeight="1">
      <c r="B101" s="151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2:26" s="46" customFormat="1" ht="15" customHeight="1">
      <c r="B102" s="151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2:26" s="46" customFormat="1" ht="15" customHeight="1">
      <c r="B103" s="151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2:26" s="46" customFormat="1" ht="15" customHeight="1">
      <c r="B104" s="151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2:26" s="46" customFormat="1" ht="15" customHeight="1">
      <c r="B105" s="151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2:26" s="46" customFormat="1" ht="15" customHeight="1">
      <c r="B106" s="151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2:26" s="46" customFormat="1" ht="15" customHeight="1">
      <c r="B107" s="151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2:26" s="46" customFormat="1" ht="15" customHeight="1">
      <c r="B108" s="151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2:26" s="46" customFormat="1" ht="15" customHeight="1">
      <c r="B109" s="151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2:26" s="46" customFormat="1" ht="15" customHeight="1">
      <c r="B110" s="151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2:26" s="46" customFormat="1" ht="15" customHeight="1">
      <c r="B111" s="151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2:26" s="46" customFormat="1" ht="15" customHeight="1">
      <c r="B112" s="151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2:26" s="46" customFormat="1" ht="15" customHeight="1">
      <c r="B113" s="151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2:26" s="46" customFormat="1" ht="15" customHeight="1">
      <c r="B114" s="151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2:26" s="46" customFormat="1" ht="15" customHeight="1">
      <c r="B115" s="151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2:26" s="46" customFormat="1" ht="15" customHeight="1">
      <c r="B116" s="151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2:26" s="46" customFormat="1" ht="15" customHeight="1">
      <c r="B117" s="151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2:26" s="46" customFormat="1" ht="15" customHeight="1">
      <c r="B118" s="151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2:26" s="46" customFormat="1" ht="15" customHeight="1">
      <c r="B119" s="151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2:26" s="46" customFormat="1" ht="15" customHeight="1">
      <c r="B120" s="151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2:26" s="46" customFormat="1" ht="15" customHeight="1">
      <c r="B121" s="151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2:26" s="46" customFormat="1" ht="15" customHeight="1">
      <c r="B122" s="151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2:26" s="46" customFormat="1" ht="15" customHeight="1">
      <c r="B123" s="151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2:26" s="46" customFormat="1" ht="15" customHeight="1">
      <c r="B124" s="151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2:26" s="46" customFormat="1" ht="15" customHeight="1">
      <c r="B125" s="151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2:26" s="46" customFormat="1" ht="15" customHeight="1">
      <c r="B126" s="151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2:26" s="46" customFormat="1" ht="15" customHeight="1">
      <c r="B127" s="151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2:26" s="46" customFormat="1" ht="15" customHeight="1">
      <c r="B128" s="151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2:26" s="46" customFormat="1" ht="15" customHeight="1">
      <c r="B129" s="151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2:26" s="46" customFormat="1" ht="15" customHeight="1">
      <c r="B130" s="151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2:26" s="46" customFormat="1" ht="15" customHeight="1">
      <c r="B131" s="151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2:26" s="46" customFormat="1" ht="15" customHeight="1">
      <c r="B132" s="151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2:26" s="46" customFormat="1" ht="15" customHeight="1">
      <c r="B133" s="151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2:26" s="46" customFormat="1" ht="15" customHeight="1">
      <c r="B134" s="151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2:26" s="46" customFormat="1" ht="15" customHeight="1">
      <c r="B135" s="151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2:26" s="46" customFormat="1" ht="15" customHeight="1">
      <c r="B136" s="151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2:26" s="46" customFormat="1" ht="15" customHeight="1">
      <c r="B137" s="151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2:26" s="46" customFormat="1" ht="15" customHeight="1">
      <c r="B138" s="151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2:26" s="46" customFormat="1" ht="15" customHeight="1">
      <c r="B139" s="151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2:26" s="46" customFormat="1" ht="15" customHeight="1">
      <c r="B140" s="151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2:26" s="46" customFormat="1" ht="15" customHeight="1">
      <c r="B141" s="151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2:26" s="46" customFormat="1" ht="15" customHeight="1">
      <c r="B142" s="151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2:26" s="46" customFormat="1" ht="15" customHeight="1">
      <c r="B143" s="151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2:26" s="46" customFormat="1" ht="15" customHeight="1">
      <c r="B144" s="151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2:26" s="46" customFormat="1" ht="15" customHeight="1">
      <c r="B145" s="151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2:26" s="46" customFormat="1" ht="15" customHeight="1">
      <c r="B146" s="151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2:26" s="46" customFormat="1" ht="15" customHeight="1">
      <c r="B147" s="151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2:26" s="46" customFormat="1" ht="15" customHeight="1">
      <c r="B148" s="151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2:26" s="46" customFormat="1" ht="15" customHeight="1">
      <c r="B149" s="151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2:26" s="46" customFormat="1" ht="15" customHeight="1">
      <c r="B150" s="151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2:26" s="46" customFormat="1" ht="15" customHeight="1">
      <c r="B151" s="151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2:26" s="46" customFormat="1" ht="15" customHeight="1">
      <c r="B152" s="151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2:26" s="46" customFormat="1" ht="15" customHeight="1">
      <c r="B153" s="151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2:26" s="46" customFormat="1" ht="15" customHeight="1">
      <c r="B154" s="151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2:26" s="46" customFormat="1" ht="15" customHeight="1">
      <c r="B155" s="151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2:26" s="46" customFormat="1" ht="15" customHeight="1">
      <c r="B156" s="151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2:26" s="46" customFormat="1" ht="15" customHeight="1">
      <c r="B157" s="151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2:26" s="46" customFormat="1" ht="15" customHeight="1">
      <c r="B158" s="151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2:26" s="46" customFormat="1" ht="15" customHeight="1">
      <c r="B159" s="151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2:26" s="46" customFormat="1" ht="15" customHeight="1">
      <c r="B160" s="151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2:26" s="46" customFormat="1" ht="15" customHeight="1">
      <c r="B161" s="151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2:26" s="46" customFormat="1" ht="15" customHeight="1">
      <c r="B162" s="151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2:26" s="46" customFormat="1" ht="15" customHeight="1">
      <c r="B163" s="151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2:26" s="46" customFormat="1" ht="15" customHeight="1">
      <c r="B164" s="151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2:26" s="46" customFormat="1" ht="15" customHeight="1">
      <c r="B165" s="151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2:26" s="46" customFormat="1" ht="15" customHeight="1">
      <c r="B166" s="151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2:26" s="46" customFormat="1" ht="15" customHeight="1">
      <c r="B167" s="151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2:26" s="46" customFormat="1" ht="15" customHeight="1">
      <c r="B168" s="151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2:26" s="46" customFormat="1" ht="15" customHeight="1">
      <c r="B169" s="151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2:26" s="46" customFormat="1" ht="15" customHeight="1">
      <c r="B170" s="151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2:26" s="46" customFormat="1" ht="15" customHeight="1">
      <c r="B171" s="151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2:26" s="46" customFormat="1" ht="15" customHeight="1">
      <c r="B172" s="151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2:26" s="46" customFormat="1" ht="15" customHeight="1">
      <c r="B173" s="151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2:26" s="46" customFormat="1" ht="15" customHeight="1">
      <c r="B174" s="151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2:26" s="46" customFormat="1" ht="15" customHeight="1">
      <c r="B175" s="151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2:26" s="46" customFormat="1" ht="15" customHeight="1">
      <c r="B176" s="151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2:26" s="46" customFormat="1" ht="15" customHeight="1">
      <c r="B177" s="151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2:26" s="46" customFormat="1" ht="15" customHeight="1">
      <c r="B178" s="151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2:26" s="46" customFormat="1" ht="15" customHeight="1">
      <c r="B179" s="151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2:26" s="46" customFormat="1" ht="15" customHeight="1">
      <c r="B180" s="151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2:26" s="46" customFormat="1" ht="15" customHeight="1">
      <c r="B181" s="151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2:26" s="46" customFormat="1" ht="15" customHeight="1">
      <c r="B182" s="151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2:26" s="46" customFormat="1" ht="15" customHeight="1">
      <c r="B183" s="151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2:26" s="46" customFormat="1" ht="15" customHeight="1">
      <c r="B184" s="151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2:26" s="46" customFormat="1" ht="15" customHeight="1">
      <c r="B185" s="151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2:26" s="46" customFormat="1" ht="15" customHeight="1">
      <c r="B186" s="151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2:26" s="46" customFormat="1" ht="15" customHeight="1">
      <c r="B187" s="151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2:26" s="46" customFormat="1" ht="15" customHeight="1">
      <c r="B188" s="151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2:26" s="46" customFormat="1" ht="15" customHeight="1">
      <c r="B189" s="151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2:26" s="46" customFormat="1" ht="15" customHeight="1">
      <c r="B190" s="151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2:26" s="46" customFormat="1" ht="15" customHeight="1">
      <c r="B191" s="151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2:26" s="46" customFormat="1" ht="15" customHeight="1">
      <c r="B192" s="151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2:26" s="46" customFormat="1" ht="15" customHeight="1">
      <c r="B193" s="151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2:26" s="46" customFormat="1" ht="15" customHeight="1">
      <c r="B194" s="151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2:26" s="46" customFormat="1" ht="15" customHeight="1">
      <c r="B195" s="151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2:26" s="46" customFormat="1" ht="15" customHeight="1">
      <c r="B196" s="151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2:26" s="46" customFormat="1" ht="15" customHeight="1">
      <c r="B197" s="151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2:26" s="46" customFormat="1" ht="15" customHeight="1">
      <c r="B198" s="15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2:26" s="46" customFormat="1" ht="15" customHeight="1">
      <c r="B199" s="151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2:26" s="46" customFormat="1" ht="15" customHeight="1">
      <c r="B200" s="151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2:26" s="46" customFormat="1" ht="15" customHeight="1">
      <c r="B201" s="151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2:26" s="46" customFormat="1" ht="15" customHeight="1">
      <c r="B202" s="151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2:26" s="46" customFormat="1" ht="15" customHeight="1">
      <c r="B203" s="151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2:26" s="46" customFormat="1" ht="15" customHeight="1">
      <c r="B204" s="151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2:26" s="46" customFormat="1" ht="15" customHeight="1">
      <c r="B205" s="151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2:26" s="46" customFormat="1" ht="15" customHeight="1">
      <c r="B206" s="151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2:26" s="46" customFormat="1" ht="15" customHeight="1">
      <c r="B207" s="151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2:26" s="46" customFormat="1" ht="15" customHeight="1">
      <c r="B208" s="151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2:26" s="46" customFormat="1" ht="15" customHeight="1">
      <c r="B209" s="151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2:26" s="46" customFormat="1" ht="15" customHeight="1">
      <c r="B210" s="151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2:26" s="46" customFormat="1" ht="15" customHeight="1">
      <c r="B211" s="151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2:26" s="46" customFormat="1" ht="15" customHeight="1">
      <c r="B212" s="151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2:26" s="46" customFormat="1" ht="15" customHeight="1">
      <c r="B213" s="151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2:26" s="46" customFormat="1" ht="15" customHeight="1">
      <c r="B214" s="151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2:26" s="46" customFormat="1" ht="15" customHeight="1">
      <c r="B215" s="151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2:26" s="46" customFormat="1" ht="15" customHeight="1">
      <c r="B216" s="151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2:26" s="46" customFormat="1" ht="15" customHeight="1">
      <c r="B217" s="151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2:26" s="46" customFormat="1" ht="15" customHeight="1">
      <c r="B218" s="151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2:26" s="46" customFormat="1" ht="15" customHeight="1">
      <c r="B219" s="151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2:26" s="46" customFormat="1" ht="15" customHeight="1">
      <c r="B220" s="151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2:26" s="46" customFormat="1" ht="15" customHeight="1">
      <c r="B221" s="151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2:26" s="46" customFormat="1" ht="15" customHeight="1">
      <c r="B222" s="151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2:26" s="46" customFormat="1" ht="15" customHeight="1">
      <c r="B223" s="151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2:26" s="46" customFormat="1" ht="15" customHeight="1">
      <c r="B224" s="151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2:26" s="46" customFormat="1" ht="15" customHeight="1">
      <c r="B225" s="151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2:26" s="46" customFormat="1" ht="15" customHeight="1">
      <c r="B226" s="151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2:26" s="46" customFormat="1" ht="15" customHeight="1">
      <c r="B227" s="151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2:26" s="46" customFormat="1" ht="15" customHeight="1">
      <c r="B228" s="151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2:26" s="46" customFormat="1" ht="15" customHeight="1">
      <c r="B229" s="151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2:26" s="46" customFormat="1" ht="15" customHeight="1">
      <c r="B230" s="151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2:26" s="46" customFormat="1" ht="15" customHeight="1">
      <c r="B231" s="151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2:26" s="46" customFormat="1" ht="15" customHeight="1">
      <c r="B232" s="151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2:26" s="46" customFormat="1" ht="15" customHeight="1">
      <c r="B233" s="151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2:26" s="46" customFormat="1" ht="15" customHeight="1">
      <c r="B234" s="151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2:26" s="46" customFormat="1" ht="15" customHeight="1">
      <c r="B235" s="151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2:26" s="46" customFormat="1" ht="15" customHeight="1">
      <c r="B236" s="151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2:26" s="46" customFormat="1" ht="15" customHeight="1">
      <c r="B237" s="151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2:26" s="46" customFormat="1" ht="15" customHeight="1">
      <c r="B238" s="151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2:26" s="46" customFormat="1" ht="15" customHeight="1">
      <c r="B239" s="151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2:26" s="46" customFormat="1" ht="15" customHeight="1">
      <c r="B240" s="151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2:26" s="46" customFormat="1" ht="15" customHeight="1">
      <c r="B241" s="151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2:26" s="46" customFormat="1" ht="15" customHeight="1">
      <c r="B242" s="151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2:26" s="46" customFormat="1" ht="15" customHeight="1">
      <c r="B243" s="151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2:26" s="46" customFormat="1" ht="15" customHeight="1">
      <c r="B244" s="151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2:26" s="46" customFormat="1" ht="15" customHeight="1">
      <c r="B245" s="151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2:26" s="46" customFormat="1" ht="15" customHeight="1">
      <c r="B246" s="151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2:26" s="46" customFormat="1" ht="15" customHeight="1">
      <c r="B247" s="151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2:26" s="46" customFormat="1" ht="15" customHeight="1">
      <c r="B248" s="151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2:26" s="46" customFormat="1" ht="15" customHeight="1">
      <c r="B249" s="151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2:26" s="46" customFormat="1" ht="15" customHeight="1">
      <c r="B250" s="151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2:26" s="46" customFormat="1" ht="15" customHeight="1">
      <c r="B251" s="151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2:26" s="46" customFormat="1" ht="15" customHeight="1">
      <c r="B252" s="151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2:26" s="46" customFormat="1" ht="15" customHeight="1">
      <c r="B253" s="151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2:26" s="46" customFormat="1" ht="15" customHeight="1">
      <c r="B254" s="151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2:26" s="46" customFormat="1" ht="15" customHeight="1">
      <c r="B255" s="151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2:26" s="46" customFormat="1" ht="15" customHeight="1">
      <c r="B256" s="151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2:26" s="46" customFormat="1" ht="15" customHeight="1">
      <c r="B257" s="151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2:26" s="46" customFormat="1" ht="15" customHeight="1">
      <c r="B258" s="151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2:26" s="46" customFormat="1" ht="15" customHeight="1">
      <c r="B259" s="151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2:26" s="46" customFormat="1" ht="15" customHeight="1">
      <c r="B260" s="151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2:26" s="46" customFormat="1" ht="15" customHeight="1">
      <c r="B261" s="151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2:26" s="46" customFormat="1" ht="15" customHeight="1">
      <c r="B262" s="151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2:26" s="46" customFormat="1" ht="15" customHeight="1">
      <c r="B263" s="151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2:26" s="46" customFormat="1" ht="15" customHeight="1">
      <c r="B264" s="151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2:26" s="46" customFormat="1" ht="15" customHeight="1">
      <c r="B265" s="151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2:26" s="46" customFormat="1" ht="15" customHeight="1">
      <c r="B266" s="151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2:26" s="46" customFormat="1" ht="15" customHeight="1">
      <c r="B267" s="151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2:26" s="46" customFormat="1" ht="15" customHeight="1">
      <c r="B268" s="151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2:26" s="46" customFormat="1" ht="15" customHeight="1">
      <c r="B269" s="151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2:26" s="46" customFormat="1" ht="15" customHeight="1">
      <c r="B270" s="151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2:26" s="46" customFormat="1" ht="15" customHeight="1">
      <c r="B271" s="151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2:26" s="46" customFormat="1" ht="15" customHeight="1">
      <c r="B272" s="151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2:26" s="46" customFormat="1" ht="15" customHeight="1">
      <c r="B273" s="151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2:26" s="46" customFormat="1" ht="15" customHeight="1">
      <c r="B274" s="151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2:26" s="46" customFormat="1" ht="15" customHeight="1">
      <c r="B275" s="151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2:26" s="46" customFormat="1" ht="15" customHeight="1">
      <c r="B276" s="151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2:26" s="46" customFormat="1" ht="15" customHeight="1">
      <c r="B277" s="151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2:26" s="46" customFormat="1" ht="15" customHeight="1">
      <c r="B278" s="151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2:26" s="46" customFormat="1" ht="15" customHeight="1">
      <c r="B279" s="151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2:26" s="46" customFormat="1" ht="15" customHeight="1">
      <c r="B280" s="151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2:26" s="46" customFormat="1" ht="15" customHeight="1">
      <c r="B281" s="151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2:26" s="46" customFormat="1" ht="15" customHeight="1">
      <c r="B282" s="151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2:26" s="46" customFormat="1" ht="15" customHeight="1">
      <c r="B283" s="151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2:26" s="46" customFormat="1" ht="15" customHeight="1">
      <c r="B284" s="151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2:26" s="46" customFormat="1" ht="15" customHeight="1">
      <c r="B285" s="151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2:26" s="46" customFormat="1" ht="15" customHeight="1">
      <c r="B286" s="151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2:26" s="46" customFormat="1" ht="15" customHeight="1">
      <c r="B287" s="151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2:26" s="46" customFormat="1" ht="15" customHeight="1">
      <c r="B288" s="151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2:26" s="46" customFormat="1" ht="15" customHeight="1">
      <c r="B289" s="151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2:26" s="46" customFormat="1" ht="15" customHeight="1">
      <c r="B290" s="151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2:26" s="46" customFormat="1" ht="15" customHeight="1">
      <c r="B291" s="151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2:26" s="46" customFormat="1" ht="15" customHeight="1">
      <c r="B292" s="151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2:26" s="46" customFormat="1" ht="15" customHeight="1">
      <c r="B293" s="151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2:26" s="46" customFormat="1" ht="15" customHeight="1">
      <c r="B294" s="151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2:26" s="46" customFormat="1" ht="15" customHeight="1">
      <c r="B295" s="151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2:26" s="46" customFormat="1" ht="15" customHeight="1">
      <c r="B296" s="151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2:26" s="46" customFormat="1" ht="15" customHeight="1">
      <c r="B297" s="151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2:26" s="46" customFormat="1" ht="15" customHeight="1">
      <c r="B298" s="151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2:26" s="46" customFormat="1" ht="15" customHeight="1">
      <c r="B299" s="151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2:26" s="46" customFormat="1" ht="15" customHeight="1">
      <c r="B300" s="151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2:26" s="46" customFormat="1" ht="15" customHeight="1">
      <c r="B301" s="151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2:26" s="46" customFormat="1" ht="15" customHeight="1">
      <c r="B302" s="151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2:26" s="46" customFormat="1" ht="15" customHeight="1">
      <c r="B303" s="151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2:26" s="46" customFormat="1" ht="15" customHeight="1">
      <c r="B304" s="151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2:26" s="46" customFormat="1" ht="15" customHeight="1">
      <c r="B305" s="151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2:26" s="46" customFormat="1" ht="15" customHeight="1">
      <c r="B306" s="151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2:26" s="46" customFormat="1" ht="15" customHeight="1">
      <c r="B307" s="151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2:26" s="46" customFormat="1" ht="15" customHeight="1">
      <c r="B308" s="151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2:26" s="46" customFormat="1" ht="15" customHeight="1">
      <c r="B309" s="151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2:26" s="46" customFormat="1" ht="15" customHeight="1">
      <c r="B310" s="151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2:26" s="46" customFormat="1" ht="15" customHeight="1">
      <c r="B311" s="151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2:26" s="46" customFormat="1" ht="15" customHeight="1">
      <c r="B312" s="151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2:26" s="46" customFormat="1" ht="15" customHeight="1">
      <c r="B313" s="151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2:26" s="46" customFormat="1" ht="15" customHeight="1">
      <c r="B314" s="151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2:26" s="46" customFormat="1" ht="15" customHeight="1">
      <c r="B315" s="151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2:26" s="46" customFormat="1" ht="15" customHeight="1">
      <c r="B316" s="151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2:26" s="46" customFormat="1" ht="15" customHeight="1">
      <c r="B317" s="151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2:26" s="46" customFormat="1" ht="15" customHeight="1">
      <c r="B318" s="151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2:26" s="46" customFormat="1" ht="15" customHeight="1">
      <c r="B319" s="151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2:26" s="46" customFormat="1" ht="15" customHeight="1">
      <c r="B320" s="151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2:26" s="46" customFormat="1" ht="15" customHeight="1">
      <c r="B321" s="151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2:26" s="46" customFormat="1" ht="15" customHeight="1">
      <c r="B322" s="151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2:26" s="46" customFormat="1" ht="15" customHeight="1">
      <c r="B323" s="151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2:26" s="46" customFormat="1" ht="15" customHeight="1">
      <c r="B324" s="151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2:26" s="46" customFormat="1" ht="15" customHeight="1">
      <c r="B325" s="151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2:26" s="46" customFormat="1" ht="15" customHeight="1">
      <c r="B326" s="151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2:26" s="46" customFormat="1" ht="15" customHeight="1">
      <c r="B327" s="151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2:26" s="46" customFormat="1" ht="15" customHeight="1">
      <c r="B328" s="151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2:26" s="46" customFormat="1" ht="15" customHeight="1">
      <c r="B329" s="151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2:26" s="46" customFormat="1" ht="15" customHeight="1">
      <c r="B330" s="151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2:26" s="46" customFormat="1" ht="15" customHeight="1">
      <c r="B331" s="151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2:26" s="46" customFormat="1" ht="15" customHeight="1">
      <c r="B332" s="151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2:26" s="46" customFormat="1" ht="15" customHeight="1">
      <c r="B333" s="151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2:26" s="46" customFormat="1" ht="15" customHeight="1">
      <c r="B334" s="151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2:26" s="46" customFormat="1" ht="15" customHeight="1">
      <c r="B335" s="151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2:26" s="46" customFormat="1" ht="15" customHeight="1">
      <c r="B336" s="151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2:26" s="46" customFormat="1" ht="15" customHeight="1">
      <c r="B337" s="151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2:26" s="46" customFormat="1" ht="15" customHeight="1">
      <c r="B338" s="151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2:26" s="46" customFormat="1" ht="15" customHeight="1">
      <c r="B339" s="151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2:26" s="46" customFormat="1" ht="15" customHeight="1">
      <c r="B340" s="151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2:26" s="46" customFormat="1" ht="15" customHeight="1">
      <c r="B341" s="151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2:26" s="46" customFormat="1" ht="15" customHeight="1">
      <c r="B342" s="151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2:26" s="46" customFormat="1" ht="15" customHeight="1">
      <c r="B343" s="151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2:26" s="46" customFormat="1" ht="15" customHeight="1">
      <c r="B344" s="151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2:26" s="46" customFormat="1" ht="15" customHeight="1">
      <c r="B345" s="151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2:26" s="46" customFormat="1" ht="15" customHeight="1">
      <c r="B346" s="151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2:26" s="46" customFormat="1" ht="15" customHeight="1">
      <c r="B347" s="151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2:26" s="46" customFormat="1" ht="15" customHeight="1">
      <c r="B348" s="151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2:26" s="46" customFormat="1" ht="15" customHeight="1">
      <c r="B349" s="151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2:26" s="46" customFormat="1" ht="15" customHeight="1">
      <c r="B350" s="151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2:26" s="46" customFormat="1" ht="15" customHeight="1">
      <c r="B351" s="151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2:26" s="46" customFormat="1" ht="15" customHeight="1">
      <c r="B352" s="151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2:26" s="46" customFormat="1" ht="15" customHeight="1">
      <c r="B353" s="151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2:26" s="46" customFormat="1" ht="15" customHeight="1">
      <c r="B354" s="151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2:26" s="46" customFormat="1" ht="15" customHeight="1">
      <c r="B355" s="151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2:26" s="46" customFormat="1" ht="15" customHeight="1">
      <c r="B356" s="151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2:26" s="46" customFormat="1" ht="15" customHeight="1">
      <c r="B357" s="151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2:26" s="46" customFormat="1" ht="15" customHeight="1">
      <c r="B358" s="151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2:26" s="46" customFormat="1" ht="15" customHeight="1">
      <c r="B359" s="151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2:26" s="46" customFormat="1" ht="15" customHeight="1">
      <c r="B360" s="151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2:26" s="46" customFormat="1" ht="15" customHeight="1">
      <c r="B361" s="151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2:26" s="46" customFormat="1" ht="15" customHeight="1">
      <c r="B362" s="151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2:26" s="46" customFormat="1" ht="15" customHeight="1">
      <c r="B363" s="151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2:26" s="46" customFormat="1" ht="15" customHeight="1">
      <c r="B364" s="151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2:26" s="46" customFormat="1" ht="15" customHeight="1">
      <c r="B365" s="151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2:26" s="46" customFormat="1" ht="15" customHeight="1">
      <c r="B366" s="151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2:26" s="46" customFormat="1" ht="15" customHeight="1">
      <c r="B367" s="151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2:26" s="46" customFormat="1" ht="15" customHeight="1">
      <c r="B368" s="151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2:26" s="46" customFormat="1" ht="15" customHeight="1">
      <c r="B369" s="151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2:26" s="46" customFormat="1" ht="15" customHeight="1">
      <c r="B370" s="151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2:26" s="46" customFormat="1" ht="15" customHeight="1">
      <c r="B371" s="151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2:26" s="46" customFormat="1" ht="15" customHeight="1">
      <c r="B372" s="151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2:26" s="46" customFormat="1" ht="15" customHeight="1">
      <c r="B373" s="151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2:26" s="46" customFormat="1" ht="15" customHeight="1">
      <c r="B374" s="151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2:26" s="46" customFormat="1" ht="15" customHeight="1">
      <c r="B375" s="151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2:26" s="46" customFormat="1" ht="15" customHeight="1">
      <c r="B376" s="151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2:26" s="46" customFormat="1" ht="15" customHeight="1">
      <c r="B377" s="151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2:26" s="46" customFormat="1" ht="15" customHeight="1">
      <c r="B378" s="151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2:26" s="46" customFormat="1" ht="15" customHeight="1">
      <c r="B379" s="151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2:26" s="46" customFormat="1" ht="15" customHeight="1">
      <c r="B380" s="151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2:26" s="46" customFormat="1" ht="15" customHeight="1">
      <c r="B381" s="151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2:26" s="46" customFormat="1" ht="15" customHeight="1">
      <c r="B382" s="151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2:26" s="46" customFormat="1" ht="15" customHeight="1">
      <c r="B383" s="151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2:26" s="46" customFormat="1" ht="15" customHeight="1">
      <c r="B384" s="151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2:26" s="46" customFormat="1" ht="15" customHeight="1">
      <c r="B385" s="151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2:26" s="46" customFormat="1" ht="15" customHeight="1">
      <c r="B386" s="151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2:26" s="46" customFormat="1" ht="15" customHeight="1">
      <c r="B387" s="151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2:26" s="46" customFormat="1" ht="15" customHeight="1">
      <c r="B388" s="151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2:26" s="46" customFormat="1" ht="15" customHeight="1">
      <c r="B389" s="151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2:26" s="46" customFormat="1" ht="15" customHeight="1">
      <c r="B390" s="151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2:26" s="46" customFormat="1" ht="15" customHeight="1">
      <c r="B391" s="151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2:26" s="46" customFormat="1" ht="15" customHeight="1">
      <c r="B392" s="151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2:26" s="46" customFormat="1" ht="15" customHeight="1">
      <c r="B393" s="151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2:26" s="46" customFormat="1" ht="15" customHeight="1">
      <c r="B394" s="151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2:26" s="46" customFormat="1" ht="15" customHeight="1">
      <c r="B395" s="151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2:26" s="46" customFormat="1" ht="15" customHeight="1">
      <c r="B396" s="151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2:26" s="46" customFormat="1" ht="15" customHeight="1">
      <c r="B397" s="151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2:26" s="46" customFormat="1" ht="15" customHeight="1">
      <c r="B398" s="151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2:26" s="46" customFormat="1" ht="15" customHeight="1">
      <c r="B399" s="151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2:26" s="46" customFormat="1" ht="15" customHeight="1">
      <c r="B400" s="151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2:26" s="46" customFormat="1" ht="15" customHeight="1">
      <c r="B401" s="151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2:26" s="46" customFormat="1" ht="15" customHeight="1">
      <c r="B402" s="151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2:26" s="46" customFormat="1" ht="15" customHeight="1">
      <c r="B403" s="151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2:26" s="46" customFormat="1" ht="15" customHeight="1">
      <c r="B404" s="151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2:26" s="46" customFormat="1" ht="15" customHeight="1">
      <c r="B405" s="151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2:26" s="46" customFormat="1" ht="15" customHeight="1">
      <c r="B406" s="151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2:26" s="46" customFormat="1" ht="15" customHeight="1">
      <c r="B407" s="151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2:26" s="46" customFormat="1" ht="15" customHeight="1">
      <c r="B408" s="151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2:26" s="46" customFormat="1" ht="15" customHeight="1">
      <c r="B409" s="151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2:26" s="46" customFormat="1" ht="15" customHeight="1">
      <c r="B410" s="151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2:26" s="46" customFormat="1" ht="15" customHeight="1">
      <c r="B411" s="151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2:26" s="46" customFormat="1" ht="15" customHeight="1">
      <c r="B412" s="151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2:26" s="46" customFormat="1" ht="15" customHeight="1">
      <c r="B413" s="151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2:26" s="46" customFormat="1" ht="15" customHeight="1">
      <c r="B414" s="151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2:26" s="46" customFormat="1" ht="15" customHeight="1">
      <c r="B415" s="151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2:26" s="46" customFormat="1" ht="15" customHeight="1">
      <c r="B416" s="151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2:26" s="46" customFormat="1" ht="15" customHeight="1">
      <c r="B417" s="151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2:26" s="46" customFormat="1" ht="15" customHeight="1">
      <c r="B418" s="151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2:26" s="46" customFormat="1" ht="15" customHeight="1">
      <c r="B419" s="151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2:26" s="46" customFormat="1" ht="15" customHeight="1">
      <c r="B420" s="151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2:26" s="46" customFormat="1" ht="15" customHeight="1">
      <c r="B421" s="151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2:26" s="46" customFormat="1" ht="15" customHeight="1">
      <c r="B422" s="151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2:26" s="46" customFormat="1" ht="15" customHeight="1">
      <c r="B423" s="151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2:26" s="46" customFormat="1" ht="15" customHeight="1">
      <c r="B424" s="151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2:26" s="46" customFormat="1" ht="15" customHeight="1">
      <c r="B425" s="151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2:26" s="46" customFormat="1" ht="15" customHeight="1">
      <c r="B426" s="151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2:26" s="46" customFormat="1" ht="15" customHeight="1">
      <c r="B427" s="151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2:26" s="46" customFormat="1" ht="15" customHeight="1">
      <c r="B428" s="151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2:26" s="46" customFormat="1" ht="15" customHeight="1">
      <c r="B429" s="151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2:26" s="46" customFormat="1" ht="15" customHeight="1">
      <c r="B430" s="151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2:26" s="46" customFormat="1" ht="15" customHeight="1">
      <c r="B431" s="151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2:26" s="46" customFormat="1" ht="15" customHeight="1">
      <c r="B432" s="151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2:26" s="46" customFormat="1" ht="15" customHeight="1">
      <c r="B433" s="151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2:26" s="46" customFormat="1" ht="15" customHeight="1">
      <c r="B434" s="151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2:26" s="46" customFormat="1" ht="15" customHeight="1">
      <c r="B435" s="151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2:26" s="46" customFormat="1" ht="15" customHeight="1">
      <c r="B436" s="151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2:26" s="46" customFormat="1" ht="15" customHeight="1">
      <c r="B437" s="151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2:26" s="46" customFormat="1" ht="15" customHeight="1">
      <c r="B438" s="151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2:26" s="46" customFormat="1" ht="15" customHeight="1">
      <c r="B439" s="151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2:26" s="46" customFormat="1" ht="15" customHeight="1">
      <c r="B440" s="151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2:26" s="46" customFormat="1" ht="15" customHeight="1">
      <c r="B441" s="151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2:26" s="46" customFormat="1" ht="15" customHeight="1">
      <c r="B442" s="151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2:26" s="46" customFormat="1" ht="15" customHeight="1">
      <c r="B443" s="151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2:26" s="46" customFormat="1" ht="15" customHeight="1">
      <c r="B444" s="151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2:26" s="46" customFormat="1" ht="15" customHeight="1">
      <c r="B445" s="151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2:26" s="46" customFormat="1" ht="15" customHeight="1">
      <c r="B446" s="151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2:26" s="46" customFormat="1" ht="15" customHeight="1">
      <c r="B447" s="151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2:26" s="46" customFormat="1" ht="15" customHeight="1">
      <c r="B448" s="151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2:26" s="46" customFormat="1" ht="15" customHeight="1">
      <c r="B449" s="151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2:26" s="46" customFormat="1" ht="15" customHeight="1">
      <c r="B450" s="151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2:26" s="46" customFormat="1" ht="15" customHeight="1">
      <c r="B451" s="151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2:26" s="46" customFormat="1" ht="15" customHeight="1">
      <c r="B452" s="151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2:26" s="46" customFormat="1" ht="15" customHeight="1">
      <c r="B453" s="151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2:26" s="46" customFormat="1" ht="15" customHeight="1">
      <c r="B454" s="151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2:26" s="46" customFormat="1" ht="15" customHeight="1">
      <c r="B455" s="151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2:26" s="46" customFormat="1" ht="15" customHeight="1">
      <c r="B456" s="151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2:26" s="46" customFormat="1" ht="15" customHeight="1">
      <c r="B457" s="151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2:26" s="46" customFormat="1" ht="15" customHeight="1">
      <c r="B458" s="151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2:26" s="46" customFormat="1" ht="15" customHeight="1">
      <c r="B459" s="151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2:26" s="46" customFormat="1" ht="15" customHeight="1">
      <c r="B460" s="151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2:26" s="46" customFormat="1" ht="15" customHeight="1">
      <c r="B461" s="151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2:26" s="46" customFormat="1" ht="15" customHeight="1">
      <c r="B462" s="151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2:26" s="46" customFormat="1" ht="15" customHeight="1">
      <c r="B463" s="151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2:26" s="46" customFormat="1" ht="15" customHeight="1">
      <c r="B464" s="151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2:26" s="46" customFormat="1" ht="15" customHeight="1">
      <c r="B465" s="151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2:26" s="46" customFormat="1" ht="15" customHeight="1">
      <c r="B466" s="151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2:26" s="46" customFormat="1" ht="15" customHeight="1">
      <c r="B467" s="151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2:26" s="46" customFormat="1" ht="15" customHeight="1">
      <c r="B468" s="151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2:26" s="46" customFormat="1" ht="15" customHeight="1">
      <c r="B469" s="151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2:26" s="46" customFormat="1" ht="15" customHeight="1">
      <c r="B470" s="151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2:26" s="46" customFormat="1" ht="15" customHeight="1">
      <c r="B471" s="151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2:26" s="46" customFormat="1" ht="15" customHeight="1">
      <c r="B472" s="151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2:26" s="46" customFormat="1" ht="15" customHeight="1">
      <c r="B473" s="151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2:26" s="46" customFormat="1" ht="15" customHeight="1">
      <c r="B474" s="151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2:26" s="46" customFormat="1" ht="15" customHeight="1">
      <c r="B475" s="151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2:26" s="46" customFormat="1" ht="15" customHeight="1">
      <c r="B476" s="151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2:26" s="46" customFormat="1" ht="15" customHeight="1">
      <c r="B477" s="151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2:26" s="46" customFormat="1" ht="15" customHeight="1">
      <c r="B478" s="151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2:26" s="46" customFormat="1" ht="15" customHeight="1">
      <c r="B479" s="151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2:26" s="46" customFormat="1" ht="15" customHeight="1">
      <c r="B480" s="151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2:26" s="46" customFormat="1" ht="15" customHeight="1">
      <c r="B481" s="151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2:26" s="46" customFormat="1" ht="15" customHeight="1">
      <c r="B482" s="151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2:26" s="46" customFormat="1" ht="15" customHeight="1">
      <c r="B483" s="151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2:26" s="46" customFormat="1" ht="15" customHeight="1">
      <c r="B484" s="151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2:26" s="46" customFormat="1" ht="15" customHeight="1">
      <c r="B485" s="151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2:26" s="46" customFormat="1" ht="15" customHeight="1">
      <c r="B486" s="151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2:26" s="46" customFormat="1" ht="15" customHeight="1">
      <c r="B487" s="151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2:26" s="46" customFormat="1" ht="15" customHeight="1">
      <c r="B488" s="151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2:26" s="46" customFormat="1" ht="15" customHeight="1">
      <c r="B489" s="151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2:26" s="46" customFormat="1" ht="15" customHeight="1">
      <c r="B490" s="151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2:26" s="46" customFormat="1" ht="15" customHeight="1">
      <c r="B491" s="151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2:26" s="46" customFormat="1" ht="15" customHeight="1">
      <c r="B492" s="151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2:26" s="46" customFormat="1" ht="15" customHeight="1">
      <c r="B493" s="151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2:26" s="46" customFormat="1" ht="15" customHeight="1">
      <c r="B494" s="151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2:26" s="46" customFormat="1" ht="15" customHeight="1">
      <c r="B495" s="151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2:26" s="46" customFormat="1" ht="15" customHeight="1">
      <c r="B496" s="151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2:26" s="46" customFormat="1" ht="15" customHeight="1">
      <c r="B497" s="151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2:26" s="46" customFormat="1" ht="15" customHeight="1">
      <c r="B498" s="151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2:26" s="46" customFormat="1" ht="15" customHeight="1">
      <c r="B499" s="151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2:26" s="46" customFormat="1" ht="15" customHeight="1">
      <c r="B500" s="151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2:26" s="46" customFormat="1" ht="15" customHeight="1">
      <c r="B501" s="151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2:26" s="46" customFormat="1" ht="15" customHeight="1">
      <c r="B502" s="151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2:26" s="46" customFormat="1" ht="15" customHeight="1">
      <c r="B503" s="151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2:26" s="46" customFormat="1" ht="15" customHeight="1">
      <c r="B504" s="151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2:26" s="46" customFormat="1" ht="15" customHeight="1">
      <c r="B505" s="151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2:26" s="46" customFormat="1" ht="15" customHeight="1">
      <c r="B506" s="151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2:26" s="46" customFormat="1" ht="15" customHeight="1">
      <c r="B507" s="151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2:26" s="46" customFormat="1" ht="15" customHeight="1">
      <c r="B508" s="151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2:26" s="46" customFormat="1" ht="15" customHeight="1">
      <c r="B509" s="151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2:26" s="46" customFormat="1" ht="15" customHeight="1">
      <c r="B510" s="151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2:26" s="46" customFormat="1" ht="15" customHeight="1">
      <c r="B511" s="151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2:26" s="46" customFormat="1" ht="15" customHeight="1">
      <c r="B512" s="151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2:26" s="46" customFormat="1" ht="15" customHeight="1">
      <c r="B513" s="151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2:26" s="46" customFormat="1" ht="15" customHeight="1">
      <c r="B514" s="151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2:26" s="46" customFormat="1" ht="15" customHeight="1">
      <c r="B515" s="151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2:26" s="46" customFormat="1" ht="15" customHeight="1">
      <c r="B516" s="151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2:26" s="46" customFormat="1" ht="15" customHeight="1">
      <c r="B517" s="151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2:26" s="46" customFormat="1" ht="15" customHeight="1">
      <c r="B518" s="151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2:26" s="46" customFormat="1" ht="15" customHeight="1">
      <c r="B519" s="151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2:26" s="46" customFormat="1" ht="15" customHeight="1">
      <c r="B520" s="151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2:26" s="46" customFormat="1" ht="15" customHeight="1">
      <c r="B521" s="151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2:26" s="46" customFormat="1" ht="15" customHeight="1">
      <c r="B522" s="151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2:26" s="46" customFormat="1" ht="15" customHeight="1">
      <c r="B523" s="151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2:26" s="46" customFormat="1" ht="15" customHeight="1">
      <c r="B524" s="151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2:26" s="46" customFormat="1" ht="15" customHeight="1">
      <c r="B525" s="151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2:26" s="46" customFormat="1" ht="15" customHeight="1">
      <c r="B526" s="151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2:26" s="46" customFormat="1" ht="15" customHeight="1">
      <c r="B527" s="151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2:26" s="46" customFormat="1" ht="15" customHeight="1">
      <c r="B528" s="151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2:26" s="46" customFormat="1" ht="15" customHeight="1">
      <c r="B529" s="151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2:26" s="46" customFormat="1" ht="15" customHeight="1">
      <c r="B530" s="151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2:26" s="46" customFormat="1" ht="15" customHeight="1">
      <c r="B531" s="151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2:26" s="46" customFormat="1" ht="15" customHeight="1">
      <c r="B532" s="151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2:26" s="46" customFormat="1" ht="15" customHeight="1">
      <c r="B533" s="151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2:26" s="46" customFormat="1" ht="15" customHeight="1">
      <c r="B534" s="151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2:26" s="46" customFormat="1" ht="15" customHeight="1">
      <c r="B535" s="151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2:26" s="46" customFormat="1" ht="15" customHeight="1">
      <c r="B536" s="151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2:26" s="46" customFormat="1" ht="15" customHeight="1">
      <c r="B537" s="151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2:26" s="46" customFormat="1" ht="15" customHeight="1">
      <c r="B538" s="151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2:26" s="46" customFormat="1" ht="15" customHeight="1">
      <c r="B539" s="151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2:26" s="46" customFormat="1" ht="15" customHeight="1">
      <c r="B540" s="151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2:26" s="46" customFormat="1" ht="15" customHeight="1">
      <c r="B541" s="151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2:26" s="46" customFormat="1" ht="15" customHeight="1">
      <c r="B542" s="151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2:26" s="46" customFormat="1" ht="15" customHeight="1">
      <c r="B543" s="151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2:26" s="46" customFormat="1" ht="15" customHeight="1">
      <c r="B544" s="151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2:26" s="46" customFormat="1" ht="15" customHeight="1">
      <c r="B545" s="151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2:26" s="46" customFormat="1" ht="15" customHeight="1">
      <c r="B546" s="151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2:26" s="46" customFormat="1" ht="15" customHeight="1">
      <c r="B547" s="151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2:26" s="46" customFormat="1" ht="15" customHeight="1">
      <c r="B548" s="151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2:26" s="46" customFormat="1" ht="15" customHeight="1">
      <c r="B549" s="151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2:26" s="46" customFormat="1" ht="15" customHeight="1">
      <c r="B550" s="151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2:26" s="46" customFormat="1" ht="15" customHeight="1">
      <c r="B551" s="151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2:26" s="46" customFormat="1" ht="15" customHeight="1">
      <c r="B552" s="151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2:26" s="46" customFormat="1" ht="15" customHeight="1">
      <c r="B553" s="151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2:26" s="46" customFormat="1" ht="15" customHeight="1">
      <c r="B554" s="151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2:26" s="46" customFormat="1" ht="15" customHeight="1">
      <c r="B555" s="151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2:26" s="46" customFormat="1" ht="15" customHeight="1">
      <c r="B556" s="151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2:26" s="46" customFormat="1" ht="15" customHeight="1">
      <c r="B557" s="151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2:26" s="46" customFormat="1" ht="15" customHeight="1">
      <c r="B558" s="151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2:26" s="46" customFormat="1" ht="15" customHeight="1">
      <c r="B559" s="151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2:26" s="46" customFormat="1" ht="15" customHeight="1">
      <c r="B560" s="151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2:26" s="46" customFormat="1" ht="15" customHeight="1">
      <c r="B561" s="151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2:26" s="46" customFormat="1" ht="15" customHeight="1">
      <c r="B562" s="151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</sheetData>
  <mergeCells count="144">
    <mergeCell ref="B38:K38"/>
    <mergeCell ref="L38:O38"/>
    <mergeCell ref="P38:Z38"/>
    <mergeCell ref="B39:K39"/>
    <mergeCell ref="P39:Z39"/>
    <mergeCell ref="B40:K40"/>
    <mergeCell ref="L40:O40"/>
    <mergeCell ref="P40:Z40"/>
    <mergeCell ref="B41:K41"/>
    <mergeCell ref="P41:Z41"/>
    <mergeCell ref="C35:K35"/>
    <mergeCell ref="L35:O35"/>
    <mergeCell ref="P35:T35"/>
    <mergeCell ref="U35:Z35"/>
    <mergeCell ref="B36:K36"/>
    <mergeCell ref="P36:Z36"/>
    <mergeCell ref="B37:K37"/>
    <mergeCell ref="L37:O37"/>
    <mergeCell ref="P37:Z37"/>
    <mergeCell ref="B32:K32"/>
    <mergeCell ref="L32:O32"/>
    <mergeCell ref="P32:T32"/>
    <mergeCell ref="U32:Z32"/>
    <mergeCell ref="C33:K33"/>
    <mergeCell ref="L33:O33"/>
    <mergeCell ref="P33:T33"/>
    <mergeCell ref="U33:Z33"/>
    <mergeCell ref="C34:K34"/>
    <mergeCell ref="L34:O34"/>
    <mergeCell ref="P34:T34"/>
    <mergeCell ref="U34:Z34"/>
    <mergeCell ref="C29:K29"/>
    <mergeCell ref="L29:O29"/>
    <mergeCell ref="P29:T29"/>
    <mergeCell ref="U29:Z29"/>
    <mergeCell ref="C30:K30"/>
    <mergeCell ref="L30:O30"/>
    <mergeCell ref="P30:T30"/>
    <mergeCell ref="U30:Z30"/>
    <mergeCell ref="C31:K31"/>
    <mergeCell ref="L31:O31"/>
    <mergeCell ref="P31:T31"/>
    <mergeCell ref="U31:Z31"/>
    <mergeCell ref="C26:K26"/>
    <mergeCell ref="L26:O26"/>
    <mergeCell ref="P26:T26"/>
    <mergeCell ref="U26:Z26"/>
    <mergeCell ref="C27:K27"/>
    <mergeCell ref="L27:O27"/>
    <mergeCell ref="P27:T27"/>
    <mergeCell ref="U27:Z27"/>
    <mergeCell ref="B28:K28"/>
    <mergeCell ref="L28:O28"/>
    <mergeCell ref="P28:T28"/>
    <mergeCell ref="U28:Z28"/>
    <mergeCell ref="C23:K23"/>
    <mergeCell ref="L23:O23"/>
    <mergeCell ref="P23:T23"/>
    <mergeCell ref="U23:Z23"/>
    <mergeCell ref="C24:K24"/>
    <mergeCell ref="L24:O24"/>
    <mergeCell ref="P24:T24"/>
    <mergeCell ref="U24:Z24"/>
    <mergeCell ref="C25:K25"/>
    <mergeCell ref="L25:O25"/>
    <mergeCell ref="P25:T25"/>
    <mergeCell ref="U25:Z25"/>
    <mergeCell ref="C20:K20"/>
    <mergeCell ref="L20:O20"/>
    <mergeCell ref="P20:T20"/>
    <mergeCell ref="U20:Z20"/>
    <mergeCell ref="C21:K21"/>
    <mergeCell ref="L21:O21"/>
    <mergeCell ref="P21:T21"/>
    <mergeCell ref="U21:Z21"/>
    <mergeCell ref="P22:T22"/>
    <mergeCell ref="U22:Z22"/>
    <mergeCell ref="P17:T17"/>
    <mergeCell ref="U17:Z17"/>
    <mergeCell ref="C18:K18"/>
    <mergeCell ref="L18:O18"/>
    <mergeCell ref="P18:T18"/>
    <mergeCell ref="U18:Z18"/>
    <mergeCell ref="C19:K19"/>
    <mergeCell ref="L19:O19"/>
    <mergeCell ref="P19:T19"/>
    <mergeCell ref="U19:Z19"/>
    <mergeCell ref="C14:K14"/>
    <mergeCell ref="L14:O14"/>
    <mergeCell ref="P14:T14"/>
    <mergeCell ref="U14:Z14"/>
    <mergeCell ref="C15:K15"/>
    <mergeCell ref="L15:O15"/>
    <mergeCell ref="P15:T15"/>
    <mergeCell ref="U15:Z15"/>
    <mergeCell ref="C16:K16"/>
    <mergeCell ref="L16:O16"/>
    <mergeCell ref="P16:T16"/>
    <mergeCell ref="U16:Z16"/>
    <mergeCell ref="C11:K11"/>
    <mergeCell ref="L11:O11"/>
    <mergeCell ref="P11:T11"/>
    <mergeCell ref="U11:Z11"/>
    <mergeCell ref="B12:K12"/>
    <mergeCell ref="L12:O12"/>
    <mergeCell ref="P12:T12"/>
    <mergeCell ref="U12:Z12"/>
    <mergeCell ref="C13:K13"/>
    <mergeCell ref="L13:O13"/>
    <mergeCell ref="P13:T13"/>
    <mergeCell ref="U13:Z13"/>
    <mergeCell ref="B8:K8"/>
    <mergeCell ref="L8:O8"/>
    <mergeCell ref="P8:T8"/>
    <mergeCell ref="U8:Z8"/>
    <mergeCell ref="C9:K9"/>
    <mergeCell ref="L9:O9"/>
    <mergeCell ref="P9:T9"/>
    <mergeCell ref="U9:Z9"/>
    <mergeCell ref="C10:K10"/>
    <mergeCell ref="L10:O10"/>
    <mergeCell ref="P10:T10"/>
    <mergeCell ref="U10:Z10"/>
    <mergeCell ref="C5:K5"/>
    <mergeCell ref="L5:O5"/>
    <mergeCell ref="P5:T5"/>
    <mergeCell ref="U5:Z5"/>
    <mergeCell ref="C6:K6"/>
    <mergeCell ref="L6:O6"/>
    <mergeCell ref="P6:T6"/>
    <mergeCell ref="U6:Z6"/>
    <mergeCell ref="C7:K7"/>
    <mergeCell ref="L7:O7"/>
    <mergeCell ref="P7:T7"/>
    <mergeCell ref="U7:Z7"/>
    <mergeCell ref="B1:Z1"/>
    <mergeCell ref="B3:K3"/>
    <mergeCell ref="L3:O3"/>
    <mergeCell ref="P3:T3"/>
    <mergeCell ref="U3:Z3"/>
    <mergeCell ref="B4:K4"/>
    <mergeCell ref="L4:O4"/>
    <mergeCell ref="P4:T4"/>
    <mergeCell ref="U4:Z4"/>
  </mergeCells>
  <conditionalFormatting sqref="U5:Z6 U9:Z11 U13:Z16 U18:Z19 U23:Z27 U29:Z30 U33:Z34 P37:Z38 P40:Z40">
    <cfRule type="cellIs" dxfId="120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87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F560-EF5C-43EC-B436-21EFA934DBC5}">
  <sheetPr>
    <tabColor theme="4" tint="0.39991454817346722"/>
    <pageSetUpPr fitToPage="1"/>
  </sheetPr>
  <dimension ref="A1:U523"/>
  <sheetViews>
    <sheetView showGridLines="0" workbookViewId="0">
      <selection activeCell="H31" sqref="H31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52.77734375" style="48" customWidth="1"/>
    <col min="4" max="4" width="6.33203125" style="48" customWidth="1"/>
    <col min="5" max="5" width="5.6640625" style="48" customWidth="1"/>
    <col min="6" max="6" width="9.21875" style="48" customWidth="1"/>
    <col min="7" max="7" width="7.33203125" style="48" customWidth="1"/>
    <col min="8" max="8" width="8.33203125" style="48" customWidth="1"/>
    <col min="9" max="9" width="7.33203125" style="48" customWidth="1"/>
    <col min="10" max="10" width="10.44140625" style="48" customWidth="1"/>
    <col min="11" max="11" width="5.6640625" style="48" customWidth="1"/>
    <col min="12" max="12" width="10.6640625" style="48" customWidth="1"/>
    <col min="13" max="13" width="6.77734375" style="48" customWidth="1"/>
    <col min="14" max="14" width="10.5546875" style="48" customWidth="1"/>
    <col min="15" max="15" width="6.77734375" style="48" customWidth="1"/>
    <col min="16" max="16" width="12.6640625" style="48" customWidth="1"/>
    <col min="17" max="17" width="5.6640625" style="48" customWidth="1"/>
    <col min="18" max="18" width="11.109375" style="48" customWidth="1"/>
    <col min="19" max="21" width="5.6640625" style="48" customWidth="1"/>
    <col min="22" max="24" width="3.33203125" style="48" customWidth="1"/>
    <col min="25" max="16384" width="11.44140625" style="48"/>
  </cols>
  <sheetData>
    <row r="1" spans="2:21" ht="15" customHeight="1">
      <c r="B1" s="597" t="s">
        <v>889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</row>
    <row r="2" spans="2:21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2:21" ht="22.5" customHeight="1">
      <c r="B3" s="657" t="s">
        <v>98</v>
      </c>
      <c r="C3" s="658"/>
      <c r="D3" s="395" t="s">
        <v>33</v>
      </c>
      <c r="E3" s="603" t="s">
        <v>904</v>
      </c>
      <c r="F3" s="603"/>
      <c r="G3" s="603" t="s">
        <v>905</v>
      </c>
      <c r="H3" s="603"/>
      <c r="I3" s="603" t="s">
        <v>906</v>
      </c>
      <c r="J3" s="603"/>
      <c r="K3" s="603" t="s">
        <v>907</v>
      </c>
      <c r="L3" s="603"/>
      <c r="M3" s="603" t="s">
        <v>908</v>
      </c>
      <c r="N3" s="603"/>
      <c r="O3" s="603" t="s">
        <v>909</v>
      </c>
      <c r="P3" s="603"/>
      <c r="Q3" s="603" t="s">
        <v>910</v>
      </c>
      <c r="R3" s="603"/>
      <c r="S3" s="603" t="s">
        <v>51</v>
      </c>
      <c r="T3" s="603"/>
      <c r="U3" s="604"/>
    </row>
    <row r="4" spans="2:21" ht="22.5" customHeight="1">
      <c r="B4" s="391"/>
      <c r="C4" s="392"/>
      <c r="D4" s="395"/>
      <c r="E4" s="660">
        <v>2026</v>
      </c>
      <c r="F4" s="660"/>
      <c r="G4" s="660">
        <v>2027</v>
      </c>
      <c r="H4" s="660"/>
      <c r="I4" s="660">
        <v>2028</v>
      </c>
      <c r="J4" s="660"/>
      <c r="K4" s="660">
        <v>2029</v>
      </c>
      <c r="L4" s="660"/>
      <c r="M4" s="660">
        <v>2030</v>
      </c>
      <c r="N4" s="660"/>
      <c r="O4" s="660">
        <v>2031</v>
      </c>
      <c r="P4" s="660"/>
      <c r="Q4" s="660">
        <v>2032</v>
      </c>
      <c r="R4" s="660"/>
      <c r="S4" s="389"/>
      <c r="T4" s="389"/>
      <c r="U4" s="390"/>
    </row>
    <row r="5" spans="2:21" ht="16.2" customHeight="1">
      <c r="B5" s="391"/>
      <c r="C5" s="392"/>
      <c r="D5" s="395"/>
      <c r="E5" s="659">
        <f>(IF('Caracteristicas Contrato'!J12&gt;0,'Caracteristicas Contrato'!J12/12,0))</f>
        <v>1</v>
      </c>
      <c r="F5" s="659">
        <f>(IF(AND(F3&gt;=$G$5,F3&lt;=$H$5),1,0))</f>
        <v>0</v>
      </c>
      <c r="G5" s="659">
        <f>(IF('Caracteristicas Contrato'!J14&gt;0,'Caracteristicas Contrato'!J14/12,0))</f>
        <v>1</v>
      </c>
      <c r="H5" s="659"/>
      <c r="I5" s="659">
        <f>(IF('Caracteristicas Contrato'!J16&gt;0,'Caracteristicas Contrato'!J16/12,0))</f>
        <v>1</v>
      </c>
      <c r="J5" s="659">
        <f>(IF(AND(J3&gt;=$G$5,J3&lt;=$H$5),1,0))</f>
        <v>0</v>
      </c>
      <c r="K5" s="659">
        <f>(IF('Caracteristicas Contrato'!J18&gt;0,'Caracteristicas Contrato'!J18/12,0))</f>
        <v>1</v>
      </c>
      <c r="L5" s="659">
        <f>(IF(AND(L3&gt;=$G$5,L3&lt;=$H$5),1,0))</f>
        <v>0</v>
      </c>
      <c r="M5" s="659">
        <f>(IF('Caracteristicas Contrato'!J20&gt;0,'Caracteristicas Contrato'!J20/12,0))</f>
        <v>1</v>
      </c>
      <c r="N5" s="659">
        <f>(IF(AND(N3&gt;=$G$5,N3&lt;=$H$5),1,0))</f>
        <v>0</v>
      </c>
      <c r="O5" s="659">
        <f>(IF('Caracteristicas Contrato'!J22&gt;0,'Caracteristicas Contrato'!J22/12,0))</f>
        <v>1</v>
      </c>
      <c r="P5" s="659">
        <f>(IF(AND(P3&gt;=$G$5,P3&lt;=$H$5),1,0))</f>
        <v>0</v>
      </c>
      <c r="Q5" s="659">
        <f>(IF('Caracteristicas Contrato'!J24&gt;0,'Caracteristicas Contrato'!J24/12,0))</f>
        <v>1</v>
      </c>
      <c r="R5" s="659">
        <f>(IF(AND(R3&gt;=$G$5,R3&lt;=$H$5),1,0))</f>
        <v>0</v>
      </c>
      <c r="S5" s="389"/>
      <c r="T5" s="389"/>
      <c r="U5" s="390"/>
    </row>
    <row r="6" spans="2:21" ht="15" customHeight="1">
      <c r="B6" s="51" t="s">
        <v>100</v>
      </c>
      <c r="C6" s="89" t="s">
        <v>101</v>
      </c>
      <c r="D6" s="89"/>
      <c r="E6" s="655">
        <f>'A.1_Tabla Costes Subrog_2026'!T182*('A. Resumen Costes Personal Año'!E5)</f>
        <v>0</v>
      </c>
      <c r="F6" s="656"/>
      <c r="G6" s="655">
        <f>'A.1_Tabla Costes Subrog_2027'!T182*G5</f>
        <v>0</v>
      </c>
      <c r="H6" s="656"/>
      <c r="I6" s="655">
        <f>'A.1_Tabla Costes Subrog_2028'!T182*I5</f>
        <v>0</v>
      </c>
      <c r="J6" s="656"/>
      <c r="K6" s="655">
        <f>'A.1_Tabla Costes Subrog_2029'!T182*K5</f>
        <v>0</v>
      </c>
      <c r="L6" s="656"/>
      <c r="M6" s="655">
        <f>'A.1_Tabla Costes Subrog_2030'!T182*M5</f>
        <v>0</v>
      </c>
      <c r="N6" s="656"/>
      <c r="O6" s="655">
        <f>'A.1_Tabla Costes Subrog_2031'!T182*O5</f>
        <v>0</v>
      </c>
      <c r="P6" s="656"/>
      <c r="Q6" s="655">
        <f>'A.1_Tabla Costes Subrog_2032'!T182*Q5</f>
        <v>0</v>
      </c>
      <c r="R6" s="656"/>
      <c r="S6" s="661">
        <f>Q6+O6+M6+K6+I6+G6+E6</f>
        <v>0</v>
      </c>
      <c r="T6" s="662"/>
      <c r="U6" s="663"/>
    </row>
    <row r="7" spans="2:21" ht="15" customHeight="1">
      <c r="B7" s="51" t="s">
        <v>102</v>
      </c>
      <c r="C7" s="89" t="s">
        <v>103</v>
      </c>
      <c r="D7" s="89"/>
      <c r="E7" s="655">
        <f>'A.2_Tabla Costes NuevContr_2026'!T33*E5</f>
        <v>0</v>
      </c>
      <c r="F7" s="656"/>
      <c r="G7" s="655">
        <f>'A.2_Tabla Costes NuevContr_2027'!T33*G5</f>
        <v>0</v>
      </c>
      <c r="H7" s="656"/>
      <c r="I7" s="655">
        <f>'A.2_Tabla Costes NuevContr_2028'!T33*I5</f>
        <v>0</v>
      </c>
      <c r="J7" s="656"/>
      <c r="K7" s="655">
        <f>'A.2_Tabla Costes NuevContr_2029'!T33*K5</f>
        <v>0</v>
      </c>
      <c r="L7" s="656"/>
      <c r="M7" s="655">
        <f>'A.2_Tabla Costes NuevContr_2030'!T33*M5</f>
        <v>0</v>
      </c>
      <c r="N7" s="656"/>
      <c r="O7" s="655">
        <f>'A.2_Tabla Costes NuevContr_3031'!T33*O5</f>
        <v>0</v>
      </c>
      <c r="P7" s="656"/>
      <c r="Q7" s="655">
        <f>'A.2_Tabla Costes NuevContr_3032'!T33*Q5</f>
        <v>0</v>
      </c>
      <c r="R7" s="656"/>
      <c r="S7" s="661">
        <f t="shared" ref="S7:S11" si="0">Q7+O7+M7+K7+I7+G7+E7</f>
        <v>0</v>
      </c>
      <c r="T7" s="662"/>
      <c r="U7" s="663"/>
    </row>
    <row r="8" spans="2:21" ht="15" customHeight="1">
      <c r="B8" s="51" t="s">
        <v>104</v>
      </c>
      <c r="C8" s="89" t="s">
        <v>105</v>
      </c>
      <c r="D8" s="394">
        <v>8.3000000000000004E-2</v>
      </c>
      <c r="E8" s="655">
        <f>$D$8*(E7+E6)</f>
        <v>0</v>
      </c>
      <c r="F8" s="656"/>
      <c r="G8" s="655">
        <f t="shared" ref="G8" si="1">$D$8*(G7+G6)</f>
        <v>0</v>
      </c>
      <c r="H8" s="656"/>
      <c r="I8" s="655">
        <f t="shared" ref="I8" si="2">$D$8*(I7+I6)</f>
        <v>0</v>
      </c>
      <c r="J8" s="656"/>
      <c r="K8" s="655">
        <f t="shared" ref="K8" si="3">$D$8*(K7+K6)</f>
        <v>0</v>
      </c>
      <c r="L8" s="656"/>
      <c r="M8" s="655">
        <f t="shared" ref="M8" si="4">$D$8*(M7+M6)</f>
        <v>0</v>
      </c>
      <c r="N8" s="656"/>
      <c r="O8" s="655">
        <f t="shared" ref="O8" si="5">$D$8*(O7+O6)</f>
        <v>0</v>
      </c>
      <c r="P8" s="656"/>
      <c r="Q8" s="655">
        <f>$D$8*(Q7+Q6)</f>
        <v>0</v>
      </c>
      <c r="R8" s="656"/>
      <c r="S8" s="661">
        <f t="shared" si="0"/>
        <v>0</v>
      </c>
      <c r="T8" s="662"/>
      <c r="U8" s="663"/>
    </row>
    <row r="9" spans="2:21" ht="15" customHeight="1">
      <c r="B9" s="51" t="s">
        <v>106</v>
      </c>
      <c r="C9" s="89" t="s">
        <v>107</v>
      </c>
      <c r="D9" s="394">
        <v>0.02</v>
      </c>
      <c r="E9" s="655">
        <f>(E6+E7)*$D$9</f>
        <v>0</v>
      </c>
      <c r="F9" s="656"/>
      <c r="G9" s="655">
        <f t="shared" ref="G9" si="6">(G6+G7)*$D$9</f>
        <v>0</v>
      </c>
      <c r="H9" s="656"/>
      <c r="I9" s="655">
        <f t="shared" ref="I9" si="7">(I6+I7)*$D$9</f>
        <v>0</v>
      </c>
      <c r="J9" s="656"/>
      <c r="K9" s="655">
        <f t="shared" ref="K9" si="8">(K6+K7)*$D$9</f>
        <v>0</v>
      </c>
      <c r="L9" s="656"/>
      <c r="M9" s="655">
        <f t="shared" ref="M9" si="9">(M6+M7)*$D$9</f>
        <v>0</v>
      </c>
      <c r="N9" s="656"/>
      <c r="O9" s="655">
        <f t="shared" ref="O9" si="10">(O6+O7)*$D$9</f>
        <v>0</v>
      </c>
      <c r="P9" s="656"/>
      <c r="Q9" s="655">
        <f t="shared" ref="Q9" si="11">(Q6+Q7)*$D$9</f>
        <v>0</v>
      </c>
      <c r="R9" s="656"/>
      <c r="S9" s="661">
        <f t="shared" si="0"/>
        <v>0</v>
      </c>
      <c r="T9" s="662"/>
      <c r="U9" s="663"/>
    </row>
    <row r="10" spans="2:21" ht="15" customHeight="1">
      <c r="B10" s="51" t="s">
        <v>108</v>
      </c>
      <c r="C10" s="89" t="s">
        <v>109</v>
      </c>
      <c r="D10" s="394">
        <v>0.15</v>
      </c>
      <c r="E10" s="655">
        <f>(E6+E7)*$D$10</f>
        <v>0</v>
      </c>
      <c r="F10" s="656"/>
      <c r="G10" s="655">
        <f t="shared" ref="G10" si="12">(G6+G7)*$D$10</f>
        <v>0</v>
      </c>
      <c r="H10" s="656"/>
      <c r="I10" s="655">
        <f t="shared" ref="I10" si="13">(I6+I7)*$D$10</f>
        <v>0</v>
      </c>
      <c r="J10" s="656"/>
      <c r="K10" s="655">
        <f t="shared" ref="K10" si="14">(K6+K7)*$D$10</f>
        <v>0</v>
      </c>
      <c r="L10" s="656"/>
      <c r="M10" s="655">
        <f t="shared" ref="M10" si="15">(M6+M7)*$D$10</f>
        <v>0</v>
      </c>
      <c r="N10" s="656"/>
      <c r="O10" s="655">
        <f t="shared" ref="O10" si="16">(O6+O7)*$D$10</f>
        <v>0</v>
      </c>
      <c r="P10" s="656"/>
      <c r="Q10" s="655">
        <f t="shared" ref="Q10" si="17">(Q6+Q7)*$D$10</f>
        <v>0</v>
      </c>
      <c r="R10" s="656"/>
      <c r="S10" s="661">
        <f t="shared" si="0"/>
        <v>0</v>
      </c>
      <c r="T10" s="662"/>
      <c r="U10" s="663"/>
    </row>
    <row r="11" spans="2:21" ht="15" customHeight="1">
      <c r="B11" s="51" t="s">
        <v>110</v>
      </c>
      <c r="C11" s="396" t="s">
        <v>111</v>
      </c>
      <c r="D11" s="394">
        <v>1.4999999999999999E-2</v>
      </c>
      <c r="E11" s="655">
        <f>((E6+E7)*$D$11)*$E$5</f>
        <v>0</v>
      </c>
      <c r="F11" s="656"/>
      <c r="G11" s="655">
        <f>((G6+G7)*$D$11)*$G$5</f>
        <v>0</v>
      </c>
      <c r="H11" s="656"/>
      <c r="I11" s="655">
        <f>((I6+I7)*$D$11)*$I$5</f>
        <v>0</v>
      </c>
      <c r="J11" s="656"/>
      <c r="K11" s="655">
        <f>((K6+K7)*$D$11)*$K$5</f>
        <v>0</v>
      </c>
      <c r="L11" s="656"/>
      <c r="M11" s="655">
        <f>((M6+M7)*$D$11)*$M$5</f>
        <v>0</v>
      </c>
      <c r="N11" s="656"/>
      <c r="O11" s="655">
        <f>((O6+O7)*$D$11)*$O$5</f>
        <v>0</v>
      </c>
      <c r="P11" s="656"/>
      <c r="Q11" s="655">
        <f>((Q6+Q7)*$D$11)*$Q$5</f>
        <v>0</v>
      </c>
      <c r="R11" s="656"/>
      <c r="S11" s="661">
        <f t="shared" si="0"/>
        <v>0</v>
      </c>
      <c r="T11" s="662"/>
      <c r="U11" s="663"/>
    </row>
    <row r="12" spans="2:21" ht="15" customHeight="1">
      <c r="B12" s="592" t="s">
        <v>113</v>
      </c>
      <c r="C12" s="592"/>
      <c r="D12" s="53"/>
      <c r="E12" s="653">
        <f>SUM(E6:F11)</f>
        <v>0</v>
      </c>
      <c r="F12" s="654"/>
      <c r="G12" s="653">
        <f>SUM(G6:H11)</f>
        <v>0</v>
      </c>
      <c r="H12" s="654"/>
      <c r="I12" s="653">
        <f>SUM(I6:J11)</f>
        <v>0</v>
      </c>
      <c r="J12" s="654"/>
      <c r="K12" s="653">
        <f>SUM(K6:L11)</f>
        <v>0</v>
      </c>
      <c r="L12" s="654"/>
      <c r="M12" s="653">
        <f>SUM(M6:N11)</f>
        <v>0</v>
      </c>
      <c r="N12" s="654"/>
      <c r="O12" s="653">
        <f>SUM(O6:P11)</f>
        <v>0</v>
      </c>
      <c r="P12" s="654"/>
      <c r="Q12" s="653">
        <f>SUM(Q6:R11)</f>
        <v>0</v>
      </c>
      <c r="R12" s="654"/>
      <c r="S12" s="653">
        <f>S6+S7+S8+S9+S10+S11</f>
        <v>0</v>
      </c>
      <c r="T12" s="653"/>
      <c r="U12" s="653"/>
    </row>
    <row r="13" spans="2:21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2:21" s="46" customFormat="1" ht="15" customHeight="1">
      <c r="B14" s="47"/>
      <c r="C14" s="72" t="s">
        <v>114</v>
      </c>
      <c r="D14" s="207">
        <f>'Caracteristicas Contrato'!J4</f>
        <v>2026</v>
      </c>
      <c r="E14" s="48"/>
      <c r="F14" s="72" t="s">
        <v>115</v>
      </c>
      <c r="G14" s="72"/>
      <c r="H14" s="72"/>
      <c r="I14" s="72"/>
      <c r="J14" s="72" t="s">
        <v>51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2:21" s="46" customFormat="1" ht="15" customHeight="1">
      <c r="B15" s="47"/>
      <c r="C15" s="72" t="s">
        <v>116</v>
      </c>
      <c r="D15" s="207">
        <f>'Caracteristicas Contrato'!J6</f>
        <v>2032</v>
      </c>
      <c r="E15" s="48"/>
      <c r="F15" s="72"/>
      <c r="G15" s="72" t="s">
        <v>117</v>
      </c>
      <c r="H15" s="72"/>
      <c r="I15" s="72"/>
      <c r="J15" s="72">
        <f>SUM('A.1. Plantilla_Subrogacion'!A5:A12)+'A.2.Plantilla_NuevaContratacion'!A5</f>
        <v>0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2:21" s="46" customFormat="1" ht="15" customHeight="1">
      <c r="B16" s="47"/>
      <c r="C16" s="48"/>
      <c r="D16" s="48"/>
      <c r="E16" s="48"/>
      <c r="F16" s="72"/>
      <c r="G16" s="72" t="s">
        <v>118</v>
      </c>
      <c r="H16" s="72"/>
      <c r="I16" s="72"/>
      <c r="J16" s="72">
        <f>SUM('A.1. Plantilla_Subrogacion'!A14:A85)+'A.2.Plantilla_NuevaContratacion'!A7</f>
        <v>0</v>
      </c>
      <c r="K16" s="48"/>
      <c r="L16" s="48"/>
      <c r="M16" s="48"/>
      <c r="N16" s="48"/>
      <c r="O16" s="48"/>
      <c r="P16" s="48"/>
      <c r="Q16" s="48"/>
      <c r="R16" s="48"/>
      <c r="S16" s="175"/>
      <c r="T16" s="48"/>
      <c r="U16" s="48"/>
    </row>
    <row r="17" spans="2:21" s="46" customFormat="1" ht="15" customHeight="1">
      <c r="B17" s="47"/>
      <c r="C17" s="48"/>
      <c r="D17" s="48"/>
      <c r="E17" s="48"/>
      <c r="F17" s="72"/>
      <c r="G17" s="72" t="s">
        <v>119</v>
      </c>
      <c r="H17" s="72"/>
      <c r="I17" s="72"/>
      <c r="J17" s="72">
        <f>SUM('A.1. Plantilla_Subrogacion'!A87:A113)+'A.2.Plantilla_NuevaContratacion'!A9</f>
        <v>0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</row>
    <row r="18" spans="2:21" s="46" customFormat="1" ht="15" customHeight="1">
      <c r="B18" s="47"/>
      <c r="C18" s="48"/>
      <c r="D18" s="48"/>
      <c r="E18" s="48"/>
      <c r="F18" s="72"/>
      <c r="G18" s="72" t="s">
        <v>1099</v>
      </c>
      <c r="H18" s="72"/>
      <c r="I18" s="72"/>
      <c r="J18" s="72">
        <f>SUM('A.1. Plantilla_Subrogacion'!A115:A151)+'A.2.Plantilla_NuevaContratacion'!A11+'A.2.Plantilla_NuevaContratacion'!A12</f>
        <v>0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2:21" s="46" customFormat="1" ht="15" customHeight="1">
      <c r="B19" s="47"/>
      <c r="C19" s="48"/>
      <c r="D19" s="48"/>
      <c r="E19" s="48"/>
      <c r="F19" s="72"/>
      <c r="G19" s="72" t="s">
        <v>120</v>
      </c>
      <c r="H19" s="72"/>
      <c r="I19" s="72"/>
      <c r="J19" s="72">
        <f>SUM('A.1. Plantilla_Subrogacion'!A153:A162)+'A.2.Plantilla_NuevaContratacion'!A14+'A.2.Plantilla_NuevaContratacion'!A15</f>
        <v>0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2:21" s="46" customFormat="1" ht="15" customHeight="1">
      <c r="B20" s="47"/>
      <c r="C20" s="48"/>
      <c r="D20" s="48"/>
      <c r="E20" s="48"/>
      <c r="F20" s="72"/>
      <c r="G20" s="72" t="s">
        <v>121</v>
      </c>
      <c r="H20" s="72"/>
      <c r="I20" s="72"/>
      <c r="J20" s="72">
        <f>SUM('A.1. Plantilla_Subrogacion'!A164:A172)+SUM('A.2.Plantilla_NuevaContratacion'!A17:A21)</f>
        <v>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2:21" s="46" customFormat="1" ht="15" customHeight="1">
      <c r="B21" s="47"/>
      <c r="C21" s="48"/>
      <c r="D21" s="48"/>
      <c r="E21" s="48"/>
      <c r="F21" s="72"/>
      <c r="G21" s="72" t="s">
        <v>122</v>
      </c>
      <c r="H21" s="72"/>
      <c r="I21" s="72"/>
      <c r="J21" s="72">
        <f>SUM('A.1. Plantilla_Subrogacion'!A174:A176)+SUM('A.2.Plantilla_NuevaContratacion'!A23:A27)</f>
        <v>0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</row>
    <row r="22" spans="2:21" s="46" customFormat="1" ht="15" customHeight="1">
      <c r="B22" s="47"/>
      <c r="C22" s="48"/>
      <c r="D22" s="48"/>
      <c r="E22" s="48"/>
      <c r="F22" s="72"/>
      <c r="G22" s="72" t="s">
        <v>1067</v>
      </c>
      <c r="H22" s="72"/>
      <c r="I22" s="72"/>
      <c r="J22" s="72">
        <f>SUM('A.2.Plantilla_NuevaContratacion'!A29:A30)+SUM('A.1. Plantilla_Subrogacion'!A178:A179)</f>
        <v>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</row>
    <row r="23" spans="2:21" s="46" customFormat="1" ht="15" customHeight="1">
      <c r="B23" s="47"/>
      <c r="C23" s="48"/>
      <c r="D23" s="48"/>
      <c r="E23" s="48"/>
      <c r="F23" s="72" t="s">
        <v>51</v>
      </c>
      <c r="G23" s="72"/>
      <c r="H23" s="72"/>
      <c r="I23" s="72"/>
      <c r="J23" s="72">
        <f>SUM(J15:J22)</f>
        <v>0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</row>
    <row r="24" spans="2:21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</row>
    <row r="25" spans="2:21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</row>
    <row r="26" spans="2:21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</row>
    <row r="27" spans="2:21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</row>
    <row r="28" spans="2:21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</row>
    <row r="29" spans="2:21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</row>
    <row r="30" spans="2:21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</row>
    <row r="31" spans="2:21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2:21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  <row r="33" spans="2:21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</row>
    <row r="34" spans="2:21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5" spans="2:21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</row>
    <row r="36" spans="2:21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</row>
    <row r="37" spans="2:21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</row>
    <row r="38" spans="2:21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</row>
    <row r="39" spans="2:21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</row>
    <row r="40" spans="2:21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</row>
    <row r="41" spans="2:21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</row>
    <row r="42" spans="2:21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</row>
    <row r="43" spans="2:21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</row>
    <row r="44" spans="2:21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2:21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2:21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2:21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2:21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</row>
    <row r="49" spans="2:21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2:21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2:21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</row>
    <row r="52" spans="2:21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</row>
    <row r="53" spans="2:21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</row>
    <row r="54" spans="2:21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</row>
    <row r="55" spans="2:21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2:21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</row>
    <row r="57" spans="2:21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</row>
    <row r="58" spans="2:21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</row>
    <row r="59" spans="2:21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</row>
    <row r="60" spans="2:21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</row>
    <row r="61" spans="2:21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</row>
    <row r="62" spans="2:21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</row>
    <row r="63" spans="2:21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</row>
    <row r="64" spans="2:21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</row>
    <row r="65" spans="2:21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2:21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  <row r="67" spans="2:21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2:21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</row>
    <row r="69" spans="2:21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</row>
    <row r="70" spans="2:21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</row>
    <row r="71" spans="2:21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</row>
    <row r="72" spans="2:21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</row>
    <row r="73" spans="2:21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</row>
    <row r="74" spans="2:21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</row>
    <row r="75" spans="2:21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</row>
    <row r="76" spans="2:21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</row>
    <row r="77" spans="2:21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</row>
    <row r="78" spans="2:21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</row>
    <row r="79" spans="2:21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</row>
    <row r="80" spans="2:21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</row>
    <row r="81" spans="2:21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</row>
    <row r="82" spans="2:21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</row>
    <row r="83" spans="2:21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</row>
    <row r="84" spans="2:21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</row>
    <row r="85" spans="2:21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2:21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</row>
    <row r="87" spans="2:21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</row>
    <row r="88" spans="2:21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</row>
    <row r="89" spans="2:21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</row>
    <row r="90" spans="2:21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2:21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</row>
    <row r="92" spans="2:21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</row>
    <row r="93" spans="2:21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2:21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</row>
    <row r="95" spans="2:21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</row>
    <row r="96" spans="2:21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</row>
    <row r="97" spans="2:21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</row>
    <row r="98" spans="2:21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</row>
    <row r="99" spans="2:21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</row>
    <row r="100" spans="2:21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</row>
    <row r="101" spans="2:21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</row>
    <row r="102" spans="2:21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</row>
    <row r="103" spans="2:21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</row>
    <row r="104" spans="2:21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</row>
    <row r="105" spans="2:21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</row>
    <row r="106" spans="2:21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</row>
    <row r="107" spans="2:21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</row>
    <row r="108" spans="2:21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</row>
    <row r="109" spans="2:21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</row>
    <row r="110" spans="2:21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</row>
    <row r="111" spans="2:21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</row>
    <row r="112" spans="2:21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</row>
    <row r="113" spans="2:21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</row>
    <row r="114" spans="2:21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2:21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</row>
    <row r="116" spans="2:21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</row>
    <row r="117" spans="2:21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</row>
    <row r="118" spans="2:21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</row>
    <row r="119" spans="2:21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</row>
    <row r="120" spans="2:21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</row>
    <row r="121" spans="2:21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</row>
    <row r="122" spans="2:21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</row>
    <row r="123" spans="2:21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</row>
    <row r="124" spans="2:21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</row>
    <row r="125" spans="2:21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spans="2:21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spans="2:21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spans="2:21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spans="2:21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spans="2:21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spans="2:21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2:21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2:21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2:21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</row>
    <row r="135" spans="2:21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2:21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2:21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2:21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2:21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2:21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2:21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2:21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2:21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2:21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2:21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2:21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2:21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2:21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2:21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2:21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2:21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2:21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2:21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2:21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2:21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1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2:21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1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2:21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2:21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2:21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2:21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2:21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2:21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2:21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2:21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2:21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2:21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2:21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2:21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2:21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2:21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2:21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2:21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2:21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2:21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2:21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2:21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2:21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2:21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2:21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2:21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2:21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2:21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2:21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2:21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2:21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2:21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2:21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2:21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2:21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2:21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2:21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2:21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2:21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2:21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2:21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2:21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2:21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2:21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2:21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2:21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2:21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2:21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2:21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2:21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2:21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2:21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2:21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2:21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2:21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2:21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2:21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2:21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2:21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2:21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2:21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2:21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2:21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2:21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2:21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2:21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2:21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2:21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2:21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2:21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2:21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2:21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2:21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2:21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2:21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2:21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2:21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2:21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2:21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2:21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2:21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2:21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2:21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2:21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2:21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2:21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2:21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2:21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2:21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2:21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2:21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2:21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2:21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2:21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  <row r="251" spans="2:21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</row>
    <row r="252" spans="2:21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</row>
    <row r="253" spans="2:21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</row>
    <row r="254" spans="2:21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</row>
    <row r="255" spans="2:21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</row>
    <row r="256" spans="2:21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</row>
    <row r="257" spans="2:21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</row>
    <row r="258" spans="2:21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</row>
    <row r="259" spans="2:21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</row>
    <row r="260" spans="2:21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</row>
    <row r="261" spans="2:21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</row>
    <row r="262" spans="2:21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</row>
    <row r="263" spans="2:21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</row>
    <row r="264" spans="2:21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</row>
    <row r="265" spans="2:21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</row>
    <row r="266" spans="2:21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</row>
    <row r="267" spans="2:21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</row>
    <row r="268" spans="2:21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</row>
    <row r="269" spans="2:21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</row>
    <row r="270" spans="2:21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</row>
    <row r="271" spans="2:21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</row>
    <row r="272" spans="2:21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</row>
    <row r="273" spans="2:21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</row>
    <row r="274" spans="2:21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</row>
    <row r="275" spans="2:21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</row>
    <row r="276" spans="2:21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</row>
    <row r="277" spans="2:21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</row>
    <row r="278" spans="2:21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</row>
    <row r="279" spans="2:21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</row>
    <row r="280" spans="2:21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</row>
    <row r="281" spans="2:21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</row>
    <row r="282" spans="2:21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</row>
    <row r="283" spans="2:21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</row>
    <row r="284" spans="2:21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</row>
    <row r="285" spans="2:21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</row>
    <row r="286" spans="2:21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</row>
    <row r="287" spans="2:21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</row>
    <row r="288" spans="2:21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</row>
    <row r="289" spans="2:21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</row>
    <row r="290" spans="2:21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</row>
    <row r="291" spans="2:21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</row>
    <row r="292" spans="2:21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</row>
    <row r="293" spans="2:21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</row>
    <row r="294" spans="2:21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</row>
    <row r="295" spans="2:21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</row>
    <row r="296" spans="2:21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</row>
    <row r="297" spans="2:21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</row>
    <row r="298" spans="2:21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</row>
    <row r="299" spans="2:21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</row>
    <row r="300" spans="2:21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</row>
    <row r="301" spans="2:21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</row>
    <row r="302" spans="2:21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</row>
    <row r="303" spans="2:21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</row>
    <row r="304" spans="2:21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</row>
    <row r="305" spans="2:21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</row>
    <row r="306" spans="2:21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</row>
    <row r="307" spans="2:21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</row>
    <row r="308" spans="2:21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</row>
    <row r="309" spans="2:21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</row>
    <row r="310" spans="2:21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</row>
    <row r="311" spans="2:21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</row>
    <row r="312" spans="2:21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</row>
    <row r="313" spans="2:21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</row>
    <row r="314" spans="2:21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</row>
    <row r="315" spans="2:21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</row>
    <row r="316" spans="2:21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</row>
    <row r="317" spans="2:21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</row>
    <row r="318" spans="2:21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</row>
    <row r="319" spans="2:21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</row>
    <row r="320" spans="2:21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</row>
    <row r="321" spans="2:21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</row>
    <row r="322" spans="2:21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</row>
    <row r="323" spans="2:21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</row>
    <row r="324" spans="2:21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</row>
    <row r="325" spans="2:21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</row>
    <row r="326" spans="2:21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</row>
    <row r="327" spans="2:21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</row>
    <row r="328" spans="2:21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</row>
    <row r="329" spans="2:21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</row>
    <row r="330" spans="2:21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</row>
    <row r="331" spans="2:21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</row>
    <row r="332" spans="2:21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</row>
    <row r="333" spans="2:21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</row>
    <row r="334" spans="2:21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</row>
    <row r="335" spans="2:21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</row>
    <row r="336" spans="2:21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</row>
    <row r="337" spans="2:21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</row>
    <row r="338" spans="2:21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</row>
    <row r="339" spans="2:21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</row>
    <row r="340" spans="2:21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</row>
    <row r="341" spans="2:21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</row>
    <row r="342" spans="2:21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</row>
    <row r="343" spans="2:21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</row>
    <row r="344" spans="2:21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</row>
    <row r="345" spans="2:21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</row>
    <row r="346" spans="2:21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</row>
    <row r="347" spans="2:21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</row>
    <row r="348" spans="2:21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</row>
    <row r="349" spans="2:21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</row>
    <row r="350" spans="2:21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</row>
    <row r="351" spans="2:21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</row>
    <row r="352" spans="2:21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</row>
    <row r="353" spans="2:21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</row>
    <row r="354" spans="2:21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</row>
    <row r="355" spans="2:21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</row>
    <row r="356" spans="2:21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</row>
    <row r="357" spans="2:21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</row>
    <row r="358" spans="2:21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</row>
    <row r="359" spans="2:21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</row>
    <row r="360" spans="2:21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</row>
    <row r="361" spans="2:21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</row>
    <row r="362" spans="2:21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</row>
    <row r="363" spans="2:21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</row>
    <row r="364" spans="2:21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</row>
    <row r="365" spans="2:21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</row>
    <row r="366" spans="2:21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</row>
    <row r="367" spans="2:21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</row>
    <row r="368" spans="2:21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</row>
    <row r="369" spans="2:21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</row>
    <row r="370" spans="2:21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</row>
    <row r="371" spans="2:21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</row>
    <row r="372" spans="2:21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</row>
    <row r="373" spans="2:21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</row>
    <row r="374" spans="2:21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</row>
    <row r="375" spans="2:21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</row>
    <row r="376" spans="2:21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</row>
    <row r="377" spans="2:21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</row>
    <row r="378" spans="2:21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</row>
    <row r="379" spans="2:21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</row>
    <row r="380" spans="2:21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</row>
    <row r="381" spans="2:21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</row>
    <row r="382" spans="2:21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</row>
    <row r="383" spans="2:21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</row>
    <row r="384" spans="2:21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</row>
    <row r="385" spans="2:21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</row>
    <row r="386" spans="2:21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</row>
    <row r="387" spans="2:21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</row>
    <row r="388" spans="2:21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</row>
    <row r="389" spans="2:21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</row>
    <row r="390" spans="2:21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</row>
    <row r="391" spans="2:21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</row>
    <row r="392" spans="2:21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</row>
    <row r="393" spans="2:21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</row>
    <row r="394" spans="2:21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</row>
    <row r="395" spans="2:21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</row>
    <row r="396" spans="2:21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</row>
    <row r="397" spans="2:21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</row>
    <row r="398" spans="2:21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</row>
    <row r="399" spans="2:21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</row>
    <row r="400" spans="2:21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</row>
    <row r="401" spans="2:21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</row>
    <row r="402" spans="2:21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</row>
    <row r="403" spans="2:21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</row>
    <row r="404" spans="2:21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</row>
    <row r="405" spans="2:21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</row>
    <row r="406" spans="2:21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</row>
    <row r="407" spans="2:21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</row>
    <row r="408" spans="2:21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</row>
    <row r="409" spans="2:21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</row>
    <row r="410" spans="2:21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</row>
    <row r="411" spans="2:21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</row>
    <row r="412" spans="2:21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</row>
    <row r="413" spans="2:21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</row>
    <row r="414" spans="2:21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</row>
    <row r="415" spans="2:21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</row>
    <row r="416" spans="2:21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</row>
    <row r="417" spans="2:21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</row>
    <row r="418" spans="2:21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</row>
    <row r="419" spans="2:21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</row>
    <row r="420" spans="2:21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</row>
    <row r="421" spans="2:21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</row>
    <row r="422" spans="2:21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</row>
    <row r="423" spans="2:21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</row>
    <row r="424" spans="2:21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</row>
    <row r="425" spans="2:21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</row>
    <row r="426" spans="2:21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</row>
    <row r="427" spans="2:21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</row>
    <row r="428" spans="2:21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</row>
    <row r="429" spans="2:21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</row>
    <row r="430" spans="2:21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</row>
    <row r="431" spans="2:21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</row>
    <row r="432" spans="2:21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</row>
    <row r="433" spans="2:21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</row>
    <row r="434" spans="2:21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</row>
    <row r="435" spans="2:21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</row>
    <row r="436" spans="2:21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</row>
    <row r="437" spans="2:21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</row>
    <row r="438" spans="2:21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</row>
    <row r="439" spans="2:21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</row>
    <row r="440" spans="2:21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</row>
    <row r="441" spans="2:21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</row>
    <row r="442" spans="2:21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</row>
    <row r="443" spans="2:21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</row>
    <row r="444" spans="2:21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</row>
    <row r="445" spans="2:21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</row>
    <row r="446" spans="2:21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</row>
    <row r="447" spans="2:21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</row>
    <row r="448" spans="2:21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</row>
    <row r="449" spans="2:21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</row>
    <row r="450" spans="2:21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</row>
    <row r="451" spans="2:21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</row>
    <row r="452" spans="2:21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</row>
    <row r="453" spans="2:21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</row>
    <row r="454" spans="2:21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</row>
    <row r="455" spans="2:21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</row>
    <row r="456" spans="2:21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</row>
    <row r="457" spans="2:21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</row>
    <row r="458" spans="2:21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</row>
    <row r="459" spans="2:21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</row>
    <row r="460" spans="2:21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</row>
    <row r="461" spans="2:21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</row>
    <row r="462" spans="2:21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</row>
    <row r="463" spans="2:21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</row>
    <row r="464" spans="2:21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</row>
    <row r="465" spans="2:21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</row>
    <row r="466" spans="2:21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</row>
    <row r="467" spans="2:21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</row>
    <row r="468" spans="2:21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</row>
    <row r="469" spans="2:21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</row>
    <row r="470" spans="2:21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</row>
    <row r="471" spans="2:21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</row>
    <row r="472" spans="2:21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</row>
    <row r="473" spans="2:21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</row>
    <row r="474" spans="2:21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</row>
    <row r="475" spans="2:21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</row>
    <row r="476" spans="2:21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</row>
    <row r="477" spans="2:21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</row>
    <row r="478" spans="2:21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</row>
    <row r="479" spans="2:21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</row>
    <row r="480" spans="2:21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</row>
    <row r="481" spans="2:21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</row>
    <row r="482" spans="2:21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</row>
    <row r="483" spans="2:21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</row>
    <row r="484" spans="2:21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</row>
    <row r="485" spans="2:21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</row>
    <row r="486" spans="2:21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</row>
    <row r="487" spans="2:21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</row>
    <row r="488" spans="2:21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</row>
    <row r="489" spans="2:21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</row>
    <row r="490" spans="2:21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</row>
    <row r="491" spans="2:21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</row>
    <row r="492" spans="2:21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</row>
    <row r="493" spans="2:21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</row>
    <row r="494" spans="2:21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</row>
    <row r="495" spans="2:21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</row>
    <row r="496" spans="2:21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</row>
    <row r="497" spans="2:21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</row>
    <row r="498" spans="2:21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</row>
    <row r="499" spans="2:21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</row>
    <row r="500" spans="2:21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</row>
    <row r="501" spans="2:21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</row>
    <row r="502" spans="2:21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</row>
    <row r="503" spans="2:21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</row>
    <row r="504" spans="2:21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</row>
    <row r="505" spans="2:21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</row>
    <row r="506" spans="2:21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</row>
    <row r="507" spans="2:21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</row>
    <row r="508" spans="2:21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</row>
    <row r="509" spans="2:21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</row>
    <row r="510" spans="2:21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</row>
    <row r="511" spans="2:21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</row>
    <row r="512" spans="2:21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</row>
    <row r="513" spans="2:21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</row>
    <row r="514" spans="2:21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</row>
    <row r="515" spans="2:21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</row>
    <row r="516" spans="2:21" s="46" customFormat="1" ht="15" customHeight="1">
      <c r="B516" s="47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</row>
    <row r="517" spans="2:21" s="46" customFormat="1" ht="15" customHeight="1">
      <c r="B517" s="47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</row>
    <row r="518" spans="2:21" s="46" customFormat="1" ht="15" customHeight="1">
      <c r="B518" s="47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</row>
    <row r="519" spans="2:21" s="46" customFormat="1" ht="15" customHeight="1">
      <c r="B519" s="47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</row>
    <row r="520" spans="2:21" s="46" customFormat="1" ht="15" customHeight="1">
      <c r="B520" s="47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</row>
    <row r="521" spans="2:21" s="46" customFormat="1" ht="15" customHeight="1">
      <c r="B521" s="47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</row>
    <row r="522" spans="2:21" s="46" customFormat="1" ht="15" customHeight="1">
      <c r="B522" s="47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</row>
    <row r="523" spans="2:21" s="46" customFormat="1" ht="15" customHeight="1">
      <c r="B523" s="47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</row>
  </sheetData>
  <mergeCells count="81">
    <mergeCell ref="S12:U12"/>
    <mergeCell ref="Q12:R12"/>
    <mergeCell ref="Q5:R5"/>
    <mergeCell ref="M6:N6"/>
    <mergeCell ref="O6:P6"/>
    <mergeCell ref="M7:N7"/>
    <mergeCell ref="O7:P7"/>
    <mergeCell ref="M8:N8"/>
    <mergeCell ref="O8:P8"/>
    <mergeCell ref="S11:U11"/>
    <mergeCell ref="S6:U6"/>
    <mergeCell ref="S7:U7"/>
    <mergeCell ref="S8:U8"/>
    <mergeCell ref="S9:U9"/>
    <mergeCell ref="Q11:R11"/>
    <mergeCell ref="M11:N11"/>
    <mergeCell ref="M5:N5"/>
    <mergeCell ref="O5:P5"/>
    <mergeCell ref="E4:F4"/>
    <mergeCell ref="G4:H4"/>
    <mergeCell ref="I4:J4"/>
    <mergeCell ref="K4:L4"/>
    <mergeCell ref="M4:N4"/>
    <mergeCell ref="G5:H5"/>
    <mergeCell ref="I5:J5"/>
    <mergeCell ref="O4:P4"/>
    <mergeCell ref="Q4:R4"/>
    <mergeCell ref="S10:U10"/>
    <mergeCell ref="G3:H3"/>
    <mergeCell ref="I3:J3"/>
    <mergeCell ref="K3:L3"/>
    <mergeCell ref="Q3:R3"/>
    <mergeCell ref="S3:U3"/>
    <mergeCell ref="K6:L6"/>
    <mergeCell ref="K7:L7"/>
    <mergeCell ref="K8:L8"/>
    <mergeCell ref="K9:L9"/>
    <mergeCell ref="K10:L10"/>
    <mergeCell ref="Q6:R6"/>
    <mergeCell ref="Q7:R7"/>
    <mergeCell ref="K5:L5"/>
    <mergeCell ref="Q8:R8"/>
    <mergeCell ref="Q9:R9"/>
    <mergeCell ref="Q10:R10"/>
    <mergeCell ref="B12:C12"/>
    <mergeCell ref="E3:F3"/>
    <mergeCell ref="E6:F6"/>
    <mergeCell ref="E7:F7"/>
    <mergeCell ref="E8:F8"/>
    <mergeCell ref="E9:F9"/>
    <mergeCell ref="E10:F10"/>
    <mergeCell ref="E12:F12"/>
    <mergeCell ref="E11:F11"/>
    <mergeCell ref="E5:F5"/>
    <mergeCell ref="G12:H12"/>
    <mergeCell ref="I12:J12"/>
    <mergeCell ref="K12:L12"/>
    <mergeCell ref="M10:N10"/>
    <mergeCell ref="O10:P10"/>
    <mergeCell ref="I10:J10"/>
    <mergeCell ref="G10:H10"/>
    <mergeCell ref="G11:H11"/>
    <mergeCell ref="I11:J11"/>
    <mergeCell ref="K11:L11"/>
    <mergeCell ref="O11:P11"/>
    <mergeCell ref="M12:N12"/>
    <mergeCell ref="O12:P12"/>
    <mergeCell ref="M9:N9"/>
    <mergeCell ref="O9:P9"/>
    <mergeCell ref="B1:U1"/>
    <mergeCell ref="B3:C3"/>
    <mergeCell ref="M3:N3"/>
    <mergeCell ref="O3:P3"/>
    <mergeCell ref="I6:J6"/>
    <mergeCell ref="I7:J7"/>
    <mergeCell ref="I8:J8"/>
    <mergeCell ref="I9:J9"/>
    <mergeCell ref="G6:H6"/>
    <mergeCell ref="G7:H7"/>
    <mergeCell ref="G8:H8"/>
    <mergeCell ref="G9:H9"/>
  </mergeCells>
  <phoneticPr fontId="24" type="noConversion"/>
  <conditionalFormatting sqref="E5:G5 I5:R5 E6:R12">
    <cfRule type="cellIs" dxfId="119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71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1454817346722"/>
  </sheetPr>
  <dimension ref="A1:S243"/>
  <sheetViews>
    <sheetView topLeftCell="A26" zoomScale="70" zoomScaleNormal="70" workbookViewId="0">
      <selection activeCell="Q63" sqref="Q63"/>
    </sheetView>
  </sheetViews>
  <sheetFormatPr baseColWidth="10" defaultColWidth="11.44140625" defaultRowHeight="14.4" outlineLevelRow="1" outlineLevelCol="1"/>
  <cols>
    <col min="1" max="1" width="4.109375" style="13" customWidth="1"/>
    <col min="2" max="2" width="17.77734375" style="15" customWidth="1"/>
    <col min="3" max="3" width="14.109375" style="15" customWidth="1"/>
    <col min="4" max="5" width="11.5546875" style="15" customWidth="1"/>
    <col min="6" max="6" width="11.5546875" style="13" customWidth="1"/>
    <col min="7" max="8" width="11.5546875" style="15" customWidth="1"/>
    <col min="9" max="9" width="12.5546875" style="15" customWidth="1" outlineLevel="1"/>
    <col min="10" max="11" width="16" style="15" customWidth="1" outlineLevel="1"/>
    <col min="12" max="12" width="11.44140625" style="15"/>
    <col min="13" max="13" width="2.21875" style="13" customWidth="1"/>
    <col min="14" max="14" width="11.44140625" style="13"/>
    <col min="15" max="15" width="16.6640625" style="13" customWidth="1"/>
    <col min="16" max="16" width="24.6640625" style="13" bestFit="1" customWidth="1"/>
    <col min="17" max="17" width="22.44140625" style="13" bestFit="1" customWidth="1"/>
    <col min="18" max="18" width="20.109375" style="13" customWidth="1"/>
    <col min="19" max="19" width="4.109375" style="13" customWidth="1"/>
    <col min="20" max="16384" width="11.44140625" style="13"/>
  </cols>
  <sheetData>
    <row r="1" spans="1:19">
      <c r="B1" s="193"/>
    </row>
    <row r="2" spans="1:19" s="79" customFormat="1">
      <c r="A2" s="186"/>
      <c r="B2" s="664" t="s">
        <v>123</v>
      </c>
      <c r="C2" s="664"/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664"/>
      <c r="Q2" s="664"/>
      <c r="R2" s="664"/>
      <c r="S2" s="13"/>
    </row>
    <row r="3" spans="1:19" ht="5.25" customHeight="1">
      <c r="B3" s="194"/>
    </row>
    <row r="4" spans="1:19" ht="15" customHeight="1">
      <c r="A4" s="187"/>
      <c r="B4" s="665" t="s">
        <v>168</v>
      </c>
      <c r="C4" s="665"/>
      <c r="D4" s="665"/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  <c r="R4" s="665"/>
    </row>
    <row r="5" spans="1:19" ht="7.2" customHeight="1">
      <c r="A5" s="187"/>
      <c r="B5" s="195"/>
      <c r="C5" s="195"/>
      <c r="F5" s="196"/>
      <c r="G5" s="197"/>
      <c r="H5" s="197"/>
      <c r="I5" s="197"/>
      <c r="J5" s="197"/>
      <c r="K5" s="197"/>
      <c r="L5" s="197"/>
    </row>
    <row r="6" spans="1:19" ht="13.5" customHeight="1">
      <c r="B6" s="195"/>
      <c r="C6" s="195"/>
      <c r="D6" s="198">
        <v>12</v>
      </c>
      <c r="E6" s="198">
        <v>12</v>
      </c>
      <c r="F6" s="198">
        <v>11</v>
      </c>
      <c r="G6" s="198"/>
      <c r="H6" s="198"/>
      <c r="I6" s="198"/>
      <c r="J6" s="198"/>
      <c r="K6" s="198"/>
      <c r="L6" s="199"/>
      <c r="N6" s="672" t="s">
        <v>144</v>
      </c>
      <c r="O6" s="672"/>
      <c r="P6" s="672"/>
      <c r="Q6" s="672"/>
      <c r="R6" s="672"/>
    </row>
    <row r="7" spans="1:19" ht="13.5" customHeight="1">
      <c r="A7" s="188"/>
      <c r="B7" s="671" t="s">
        <v>125</v>
      </c>
      <c r="C7" s="671"/>
      <c r="D7" s="238" t="s">
        <v>126</v>
      </c>
      <c r="E7" s="239" t="s">
        <v>897</v>
      </c>
      <c r="F7" s="239" t="s">
        <v>127</v>
      </c>
      <c r="G7" s="239" t="s">
        <v>898</v>
      </c>
      <c r="H7" s="239" t="s">
        <v>899</v>
      </c>
      <c r="I7" s="239" t="s">
        <v>182</v>
      </c>
      <c r="J7" s="398" t="s">
        <v>900</v>
      </c>
      <c r="K7" s="398" t="s">
        <v>901</v>
      </c>
      <c r="L7" s="199"/>
      <c r="N7" s="666">
        <v>2026</v>
      </c>
      <c r="O7" s="666"/>
      <c r="P7" s="666"/>
      <c r="Q7" s="666"/>
      <c r="R7" s="666"/>
    </row>
    <row r="8" spans="1:19" ht="13.5" customHeight="1">
      <c r="A8" s="188"/>
      <c r="B8" s="669" t="s">
        <v>902</v>
      </c>
      <c r="C8" s="670"/>
      <c r="D8" s="399">
        <v>976.85</v>
      </c>
      <c r="E8" s="399">
        <v>36.82</v>
      </c>
      <c r="F8" s="399">
        <v>143.41</v>
      </c>
      <c r="G8" s="399">
        <f>$D8</f>
        <v>976.85</v>
      </c>
      <c r="H8" s="399">
        <f t="shared" ref="H8:I8" si="0">$D8</f>
        <v>976.85</v>
      </c>
      <c r="I8" s="399">
        <f t="shared" si="0"/>
        <v>976.85</v>
      </c>
      <c r="J8" s="399">
        <v>450</v>
      </c>
      <c r="K8" s="401">
        <f>D8*$D$6+E8*$E$6+F8*$F$6+G8+H8+I8+J8</f>
        <v>17122.100000000002</v>
      </c>
      <c r="L8" s="199"/>
      <c r="N8" s="190" t="s">
        <v>145</v>
      </c>
      <c r="O8" s="190"/>
      <c r="P8" s="190" t="s">
        <v>146</v>
      </c>
      <c r="Q8" s="190" t="s">
        <v>147</v>
      </c>
      <c r="R8" s="190" t="s">
        <v>148</v>
      </c>
    </row>
    <row r="9" spans="1:19" ht="13.5" customHeight="1">
      <c r="A9" s="188"/>
      <c r="B9" s="667" t="s">
        <v>117</v>
      </c>
      <c r="C9" s="668"/>
      <c r="D9" s="400">
        <v>1181.1199999999999</v>
      </c>
      <c r="E9" s="400">
        <v>36.82</v>
      </c>
      <c r="F9" s="400">
        <v>143.41</v>
      </c>
      <c r="G9" s="400">
        <f t="shared" ref="G9:I28" si="1">$D9</f>
        <v>1181.1199999999999</v>
      </c>
      <c r="H9" s="400">
        <f t="shared" si="1"/>
        <v>1181.1199999999999</v>
      </c>
      <c r="I9" s="400">
        <f t="shared" si="1"/>
        <v>1181.1199999999999</v>
      </c>
      <c r="J9" s="400">
        <v>450</v>
      </c>
      <c r="K9" s="402">
        <f t="shared" ref="K9:K28" si="2">D9*$D$6+E9*$E$6+F9*$F$6+G9+H9+I9+J9</f>
        <v>20186.149999999998</v>
      </c>
      <c r="L9" s="199"/>
      <c r="N9" s="189" t="s">
        <v>149</v>
      </c>
      <c r="O9" s="189"/>
      <c r="P9" s="191">
        <v>26.86</v>
      </c>
      <c r="Q9" s="191">
        <v>29.09</v>
      </c>
      <c r="R9" s="191">
        <v>37.08</v>
      </c>
    </row>
    <row r="10" spans="1:19" ht="14.25" customHeight="1">
      <c r="A10" s="188"/>
      <c r="B10" s="669" t="s">
        <v>118</v>
      </c>
      <c r="C10" s="670"/>
      <c r="D10" s="399">
        <v>1249.48</v>
      </c>
      <c r="E10" s="399">
        <v>36.82</v>
      </c>
      <c r="F10" s="399">
        <v>143.41</v>
      </c>
      <c r="G10" s="399">
        <f t="shared" si="1"/>
        <v>1249.48</v>
      </c>
      <c r="H10" s="399">
        <f t="shared" si="1"/>
        <v>1249.48</v>
      </c>
      <c r="I10" s="399">
        <f t="shared" si="1"/>
        <v>1249.48</v>
      </c>
      <c r="J10" s="399">
        <v>450</v>
      </c>
      <c r="K10" s="401">
        <f t="shared" si="2"/>
        <v>21211.55</v>
      </c>
      <c r="L10" s="199"/>
      <c r="N10" s="13" t="s">
        <v>150</v>
      </c>
      <c r="P10" s="192">
        <v>74.45</v>
      </c>
      <c r="Q10" s="192">
        <v>80.41</v>
      </c>
      <c r="R10" s="192">
        <v>101.99</v>
      </c>
    </row>
    <row r="11" spans="1:19">
      <c r="A11" s="188"/>
      <c r="B11" s="667" t="s">
        <v>128</v>
      </c>
      <c r="C11" s="668"/>
      <c r="D11" s="400">
        <v>1249.5</v>
      </c>
      <c r="E11" s="400">
        <v>36.82</v>
      </c>
      <c r="F11" s="400">
        <v>143.41</v>
      </c>
      <c r="G11" s="400">
        <f t="shared" si="1"/>
        <v>1249.5</v>
      </c>
      <c r="H11" s="400">
        <f t="shared" si="1"/>
        <v>1249.5</v>
      </c>
      <c r="I11" s="400">
        <f t="shared" si="1"/>
        <v>1249.5</v>
      </c>
      <c r="J11" s="400">
        <v>450</v>
      </c>
      <c r="K11" s="402">
        <f t="shared" si="2"/>
        <v>21211.85</v>
      </c>
      <c r="L11" s="199"/>
      <c r="N11" s="189" t="s">
        <v>151</v>
      </c>
      <c r="O11" s="189"/>
      <c r="P11" s="191">
        <v>130.31</v>
      </c>
      <c r="Q11" s="191">
        <v>140.63</v>
      </c>
      <c r="R11" s="191">
        <v>178.49</v>
      </c>
    </row>
    <row r="12" spans="1:19">
      <c r="A12" s="188"/>
      <c r="B12" s="669" t="s">
        <v>129</v>
      </c>
      <c r="C12" s="670"/>
      <c r="D12" s="399">
        <v>1295.82</v>
      </c>
      <c r="E12" s="399">
        <v>36.82</v>
      </c>
      <c r="F12" s="399">
        <v>143.41</v>
      </c>
      <c r="G12" s="399">
        <f t="shared" si="1"/>
        <v>1295.82</v>
      </c>
      <c r="H12" s="399">
        <f t="shared" si="1"/>
        <v>1295.82</v>
      </c>
      <c r="I12" s="399">
        <f t="shared" si="1"/>
        <v>1295.82</v>
      </c>
      <c r="J12" s="399">
        <v>450</v>
      </c>
      <c r="K12" s="401">
        <f t="shared" si="2"/>
        <v>21906.649999999998</v>
      </c>
      <c r="L12" s="199"/>
      <c r="N12" s="13" t="s">
        <v>152</v>
      </c>
      <c r="P12" s="192">
        <v>186.22</v>
      </c>
      <c r="Q12" s="192">
        <v>200.89</v>
      </c>
      <c r="R12" s="192">
        <v>254.97</v>
      </c>
    </row>
    <row r="13" spans="1:19">
      <c r="A13" s="188"/>
      <c r="B13" s="667" t="s">
        <v>119</v>
      </c>
      <c r="C13" s="668"/>
      <c r="D13" s="400">
        <v>1302.77</v>
      </c>
      <c r="E13" s="400">
        <v>36.82</v>
      </c>
      <c r="F13" s="400">
        <v>143.41</v>
      </c>
      <c r="G13" s="400">
        <f t="shared" si="1"/>
        <v>1302.77</v>
      </c>
      <c r="H13" s="400">
        <f t="shared" si="1"/>
        <v>1302.77</v>
      </c>
      <c r="I13" s="400">
        <f t="shared" si="1"/>
        <v>1302.77</v>
      </c>
      <c r="J13" s="400">
        <v>450</v>
      </c>
      <c r="K13" s="402">
        <f t="shared" si="2"/>
        <v>22010.9</v>
      </c>
      <c r="L13" s="199"/>
      <c r="N13" s="189" t="s">
        <v>153</v>
      </c>
      <c r="O13" s="189"/>
      <c r="P13" s="191">
        <v>233.33</v>
      </c>
      <c r="Q13" s="191">
        <v>252.54</v>
      </c>
      <c r="R13" s="191">
        <v>321.17</v>
      </c>
    </row>
    <row r="14" spans="1:19">
      <c r="A14" s="188"/>
      <c r="B14" s="669" t="s">
        <v>130</v>
      </c>
      <c r="C14" s="670"/>
      <c r="D14" s="399">
        <v>1371.12</v>
      </c>
      <c r="E14" s="399">
        <v>36.82</v>
      </c>
      <c r="F14" s="399">
        <v>143.41</v>
      </c>
      <c r="G14" s="399">
        <f t="shared" si="1"/>
        <v>1371.12</v>
      </c>
      <c r="H14" s="399">
        <f t="shared" si="1"/>
        <v>1371.12</v>
      </c>
      <c r="I14" s="399">
        <f t="shared" si="1"/>
        <v>1371.12</v>
      </c>
      <c r="J14" s="399">
        <v>450</v>
      </c>
      <c r="K14" s="401">
        <f t="shared" si="2"/>
        <v>23036.149999999994</v>
      </c>
      <c r="L14" s="199"/>
      <c r="N14" s="13" t="s">
        <v>154</v>
      </c>
      <c r="P14" s="192">
        <v>280.51</v>
      </c>
      <c r="Q14" s="192">
        <v>312</v>
      </c>
      <c r="R14" s="192">
        <v>386.49</v>
      </c>
    </row>
    <row r="15" spans="1:19">
      <c r="A15" s="188"/>
      <c r="B15" s="667" t="s">
        <v>131</v>
      </c>
      <c r="C15" s="668"/>
      <c r="D15" s="400">
        <v>1371.12</v>
      </c>
      <c r="E15" s="400">
        <v>36.82</v>
      </c>
      <c r="F15" s="400">
        <v>143.41</v>
      </c>
      <c r="G15" s="400">
        <f t="shared" si="1"/>
        <v>1371.12</v>
      </c>
      <c r="H15" s="400">
        <f t="shared" si="1"/>
        <v>1371.12</v>
      </c>
      <c r="I15" s="400">
        <f t="shared" si="1"/>
        <v>1371.12</v>
      </c>
      <c r="J15" s="400">
        <v>450</v>
      </c>
      <c r="K15" s="402">
        <f t="shared" si="2"/>
        <v>23036.149999999994</v>
      </c>
      <c r="L15" s="199"/>
      <c r="N15" s="189" t="s">
        <v>155</v>
      </c>
      <c r="O15" s="189"/>
      <c r="P15" s="191">
        <v>297.89</v>
      </c>
      <c r="Q15" s="191">
        <v>321.43</v>
      </c>
      <c r="R15" s="191">
        <v>407.91</v>
      </c>
    </row>
    <row r="16" spans="1:19">
      <c r="A16" s="188"/>
      <c r="B16" s="669" t="s">
        <v>132</v>
      </c>
      <c r="C16" s="670"/>
      <c r="D16" s="399">
        <v>1433.7</v>
      </c>
      <c r="E16" s="399">
        <v>36.82</v>
      </c>
      <c r="F16" s="399">
        <v>143.41</v>
      </c>
      <c r="G16" s="399">
        <f t="shared" si="1"/>
        <v>1433.7</v>
      </c>
      <c r="H16" s="399">
        <f t="shared" si="1"/>
        <v>1433.7</v>
      </c>
      <c r="I16" s="399">
        <f t="shared" si="1"/>
        <v>1433.7</v>
      </c>
      <c r="J16" s="399">
        <v>450</v>
      </c>
      <c r="K16" s="401">
        <f t="shared" si="2"/>
        <v>23974.850000000002</v>
      </c>
      <c r="L16" s="199"/>
      <c r="N16" s="13" t="s">
        <v>156</v>
      </c>
      <c r="P16" s="192">
        <v>364.22</v>
      </c>
      <c r="Q16" s="192">
        <v>392.79</v>
      </c>
      <c r="R16" s="192">
        <v>468.95</v>
      </c>
    </row>
    <row r="17" spans="1:18">
      <c r="A17" s="188"/>
      <c r="B17" s="667" t="s">
        <v>133</v>
      </c>
      <c r="C17" s="668"/>
      <c r="D17" s="400">
        <v>1433.7</v>
      </c>
      <c r="E17" s="400">
        <v>36.82</v>
      </c>
      <c r="F17" s="400">
        <v>143.41</v>
      </c>
      <c r="G17" s="400">
        <f t="shared" si="1"/>
        <v>1433.7</v>
      </c>
      <c r="H17" s="400">
        <f t="shared" si="1"/>
        <v>1433.7</v>
      </c>
      <c r="I17" s="400">
        <f t="shared" si="1"/>
        <v>1433.7</v>
      </c>
      <c r="J17" s="400">
        <v>450</v>
      </c>
      <c r="K17" s="402">
        <f t="shared" si="2"/>
        <v>23974.850000000002</v>
      </c>
      <c r="L17" s="199"/>
      <c r="N17" s="189" t="s">
        <v>157</v>
      </c>
      <c r="O17" s="189"/>
      <c r="P17" s="191">
        <v>409.36</v>
      </c>
      <c r="Q17" s="191">
        <v>441.54</v>
      </c>
      <c r="R17" s="191">
        <v>565.25</v>
      </c>
    </row>
    <row r="18" spans="1:18">
      <c r="A18" s="188"/>
      <c r="B18" s="669" t="s">
        <v>134</v>
      </c>
      <c r="C18" s="670"/>
      <c r="D18" s="399">
        <v>976.85</v>
      </c>
      <c r="E18" s="399">
        <v>36.82</v>
      </c>
      <c r="F18" s="399">
        <v>143.41</v>
      </c>
      <c r="G18" s="399">
        <f t="shared" si="1"/>
        <v>976.85</v>
      </c>
      <c r="H18" s="399">
        <f t="shared" si="1"/>
        <v>976.85</v>
      </c>
      <c r="I18" s="399">
        <f t="shared" si="1"/>
        <v>976.85</v>
      </c>
      <c r="J18" s="399">
        <v>450</v>
      </c>
      <c r="K18" s="401">
        <f t="shared" si="2"/>
        <v>17122.100000000002</v>
      </c>
      <c r="L18" s="199"/>
      <c r="N18" s="13" t="s">
        <v>158</v>
      </c>
      <c r="P18" s="192">
        <v>446.8</v>
      </c>
      <c r="Q18" s="192">
        <v>482.18</v>
      </c>
      <c r="R18" s="192">
        <v>611.96</v>
      </c>
    </row>
    <row r="19" spans="1:18">
      <c r="A19" s="188"/>
      <c r="B19" s="667" t="s">
        <v>135</v>
      </c>
      <c r="C19" s="668"/>
      <c r="D19" s="400">
        <v>976.85</v>
      </c>
      <c r="E19" s="400">
        <v>36.82</v>
      </c>
      <c r="F19" s="400">
        <v>143.41</v>
      </c>
      <c r="G19" s="400">
        <f t="shared" si="1"/>
        <v>976.85</v>
      </c>
      <c r="H19" s="400">
        <f t="shared" si="1"/>
        <v>976.85</v>
      </c>
      <c r="I19" s="400">
        <f t="shared" si="1"/>
        <v>976.85</v>
      </c>
      <c r="J19" s="400">
        <v>450</v>
      </c>
      <c r="K19" s="402">
        <f t="shared" si="2"/>
        <v>17122.100000000002</v>
      </c>
      <c r="L19" s="199"/>
    </row>
    <row r="20" spans="1:18">
      <c r="A20" s="188"/>
      <c r="B20" s="669" t="s">
        <v>136</v>
      </c>
      <c r="C20" s="670"/>
      <c r="D20" s="399">
        <v>1307.4100000000001</v>
      </c>
      <c r="E20" s="399">
        <v>36.82</v>
      </c>
      <c r="F20" s="399">
        <v>143.41</v>
      </c>
      <c r="G20" s="399">
        <f t="shared" si="1"/>
        <v>1307.4100000000001</v>
      </c>
      <c r="H20" s="399">
        <f t="shared" si="1"/>
        <v>1307.4100000000001</v>
      </c>
      <c r="I20" s="399">
        <f t="shared" si="1"/>
        <v>1307.4100000000001</v>
      </c>
      <c r="J20" s="399">
        <v>450</v>
      </c>
      <c r="K20" s="401">
        <f t="shared" si="2"/>
        <v>22080.5</v>
      </c>
      <c r="L20" s="199"/>
      <c r="N20" s="666" t="s">
        <v>894</v>
      </c>
      <c r="O20" s="666"/>
      <c r="P20" s="666"/>
      <c r="Q20" s="666"/>
      <c r="R20" s="666"/>
    </row>
    <row r="21" spans="1:18">
      <c r="A21" s="188"/>
      <c r="B21" s="667" t="s">
        <v>122</v>
      </c>
      <c r="C21" s="668"/>
      <c r="D21" s="400">
        <v>1365.68</v>
      </c>
      <c r="E21" s="400">
        <v>36.82</v>
      </c>
      <c r="F21" s="400">
        <v>143.41</v>
      </c>
      <c r="G21" s="400">
        <f t="shared" si="1"/>
        <v>1365.68</v>
      </c>
      <c r="H21" s="400">
        <f t="shared" si="1"/>
        <v>1365.68</v>
      </c>
      <c r="I21" s="400">
        <f t="shared" si="1"/>
        <v>1365.68</v>
      </c>
      <c r="J21" s="400">
        <v>450</v>
      </c>
      <c r="K21" s="402">
        <f t="shared" si="2"/>
        <v>22954.55</v>
      </c>
      <c r="L21" s="199"/>
      <c r="N21" s="189" t="s">
        <v>161</v>
      </c>
      <c r="O21" s="189"/>
      <c r="P21" s="203"/>
      <c r="Q21" s="189"/>
      <c r="R21" s="203">
        <v>14.42</v>
      </c>
    </row>
    <row r="22" spans="1:18">
      <c r="A22" s="188"/>
      <c r="B22" s="669" t="s">
        <v>137</v>
      </c>
      <c r="C22" s="670"/>
      <c r="D22" s="399">
        <v>1470.76</v>
      </c>
      <c r="E22" s="399">
        <v>36.82</v>
      </c>
      <c r="F22" s="399">
        <v>143.41</v>
      </c>
      <c r="G22" s="399">
        <f t="shared" si="1"/>
        <v>1470.76</v>
      </c>
      <c r="H22" s="399">
        <f t="shared" si="1"/>
        <v>1470.76</v>
      </c>
      <c r="I22" s="399">
        <f t="shared" si="1"/>
        <v>1470.76</v>
      </c>
      <c r="J22" s="399">
        <v>450</v>
      </c>
      <c r="K22" s="401">
        <f t="shared" si="2"/>
        <v>24530.749999999993</v>
      </c>
      <c r="L22" s="199"/>
      <c r="N22" s="13" t="s">
        <v>162</v>
      </c>
      <c r="P22" s="196"/>
      <c r="R22" s="196">
        <v>1.92</v>
      </c>
    </row>
    <row r="23" spans="1:18">
      <c r="A23" s="188"/>
      <c r="B23" s="667" t="s">
        <v>138</v>
      </c>
      <c r="C23" s="668"/>
      <c r="D23" s="400">
        <v>1564.6</v>
      </c>
      <c r="E23" s="400">
        <v>36.82</v>
      </c>
      <c r="F23" s="400">
        <v>143.41</v>
      </c>
      <c r="G23" s="400">
        <f t="shared" si="1"/>
        <v>1564.6</v>
      </c>
      <c r="H23" s="400">
        <f t="shared" si="1"/>
        <v>1564.6</v>
      </c>
      <c r="I23" s="400">
        <f t="shared" si="1"/>
        <v>1564.6</v>
      </c>
      <c r="J23" s="400">
        <v>450</v>
      </c>
      <c r="K23" s="402">
        <f t="shared" si="2"/>
        <v>25938.349999999991</v>
      </c>
      <c r="L23" s="199"/>
      <c r="N23" s="189" t="s">
        <v>163</v>
      </c>
      <c r="O23" s="189"/>
      <c r="P23" s="203"/>
      <c r="Q23" s="189"/>
      <c r="R23" s="203">
        <v>0.99</v>
      </c>
    </row>
    <row r="24" spans="1:18">
      <c r="A24" s="188"/>
      <c r="B24" s="669" t="s">
        <v>139</v>
      </c>
      <c r="C24" s="670"/>
      <c r="D24" s="399">
        <v>1785.85</v>
      </c>
      <c r="E24" s="399">
        <v>36.82</v>
      </c>
      <c r="F24" s="399">
        <v>143.41</v>
      </c>
      <c r="G24" s="399">
        <f t="shared" si="1"/>
        <v>1785.85</v>
      </c>
      <c r="H24" s="399">
        <f t="shared" si="1"/>
        <v>1785.85</v>
      </c>
      <c r="I24" s="399">
        <f t="shared" si="1"/>
        <v>1785.85</v>
      </c>
      <c r="J24" s="399">
        <v>450</v>
      </c>
      <c r="K24" s="401">
        <f t="shared" si="2"/>
        <v>29257.099999999991</v>
      </c>
      <c r="L24" s="199"/>
    </row>
    <row r="25" spans="1:18">
      <c r="A25" s="188"/>
      <c r="B25" s="667" t="s">
        <v>140</v>
      </c>
      <c r="C25" s="668"/>
      <c r="D25" s="400">
        <v>1573.91</v>
      </c>
      <c r="E25" s="400">
        <v>36.82</v>
      </c>
      <c r="F25" s="400">
        <v>143.41</v>
      </c>
      <c r="G25" s="400">
        <f t="shared" si="1"/>
        <v>1573.91</v>
      </c>
      <c r="H25" s="400">
        <f t="shared" si="1"/>
        <v>1573.91</v>
      </c>
      <c r="I25" s="400">
        <f t="shared" si="1"/>
        <v>1573.91</v>
      </c>
      <c r="J25" s="400">
        <v>450</v>
      </c>
      <c r="K25" s="402">
        <f t="shared" si="2"/>
        <v>26078</v>
      </c>
      <c r="L25" s="199"/>
      <c r="N25" s="666" t="s">
        <v>164</v>
      </c>
      <c r="O25" s="666"/>
      <c r="P25" s="666"/>
      <c r="Q25" s="666"/>
      <c r="R25" s="666"/>
    </row>
    <row r="26" spans="1:18">
      <c r="B26" s="669" t="s">
        <v>141</v>
      </c>
      <c r="C26" s="670"/>
      <c r="D26" s="399">
        <v>1713.29</v>
      </c>
      <c r="E26" s="399">
        <v>36.82</v>
      </c>
      <c r="F26" s="399">
        <v>143.41</v>
      </c>
      <c r="G26" s="399">
        <f t="shared" si="1"/>
        <v>1713.29</v>
      </c>
      <c r="H26" s="399">
        <f t="shared" si="1"/>
        <v>1713.29</v>
      </c>
      <c r="I26" s="399">
        <f t="shared" si="1"/>
        <v>1713.29</v>
      </c>
      <c r="J26" s="399">
        <v>450</v>
      </c>
      <c r="K26" s="401">
        <f t="shared" si="2"/>
        <v>28168.7</v>
      </c>
      <c r="L26" s="199"/>
      <c r="N26" s="189" t="s">
        <v>165</v>
      </c>
      <c r="O26" s="189"/>
      <c r="P26" s="203"/>
      <c r="Q26" s="189"/>
      <c r="R26" s="203">
        <v>11.91</v>
      </c>
    </row>
    <row r="27" spans="1:18">
      <c r="B27" s="667" t="s">
        <v>142</v>
      </c>
      <c r="C27" s="668"/>
      <c r="D27" s="400">
        <v>1840.32</v>
      </c>
      <c r="E27" s="400">
        <v>36.82</v>
      </c>
      <c r="F27" s="400">
        <v>143.41</v>
      </c>
      <c r="G27" s="400">
        <f t="shared" si="1"/>
        <v>1840.32</v>
      </c>
      <c r="H27" s="400">
        <f t="shared" si="1"/>
        <v>1840.32</v>
      </c>
      <c r="I27" s="400">
        <f t="shared" si="1"/>
        <v>1840.32</v>
      </c>
      <c r="J27" s="400">
        <v>450</v>
      </c>
      <c r="K27" s="402">
        <f t="shared" si="2"/>
        <v>30074.149999999998</v>
      </c>
      <c r="L27" s="199"/>
      <c r="N27" s="13" t="s">
        <v>166</v>
      </c>
      <c r="P27" s="196"/>
      <c r="R27" s="196">
        <v>59.56</v>
      </c>
    </row>
    <row r="28" spans="1:18">
      <c r="B28" s="669" t="s">
        <v>143</v>
      </c>
      <c r="C28" s="670"/>
      <c r="D28" s="399">
        <v>2106.7800000000002</v>
      </c>
      <c r="E28" s="399">
        <v>36.82</v>
      </c>
      <c r="F28" s="399">
        <v>143.41</v>
      </c>
      <c r="G28" s="399">
        <f t="shared" si="1"/>
        <v>2106.7800000000002</v>
      </c>
      <c r="H28" s="399">
        <f t="shared" si="1"/>
        <v>2106.7800000000002</v>
      </c>
      <c r="I28" s="399">
        <f t="shared" si="1"/>
        <v>2106.7800000000002</v>
      </c>
      <c r="J28" s="399">
        <v>450</v>
      </c>
      <c r="K28" s="401">
        <f t="shared" si="2"/>
        <v>34071.049999999996</v>
      </c>
      <c r="L28" s="199"/>
      <c r="N28" s="493" t="s">
        <v>1082</v>
      </c>
      <c r="O28" s="493"/>
      <c r="P28" s="493"/>
      <c r="Q28" s="493"/>
      <c r="R28" s="494">
        <f>E8*E6+F8*F6</f>
        <v>2019.35</v>
      </c>
    </row>
    <row r="29" spans="1:18">
      <c r="B29" s="10"/>
      <c r="C29" s="10"/>
      <c r="D29" s="201"/>
      <c r="E29" s="9"/>
      <c r="F29" s="9"/>
      <c r="G29" s="200"/>
      <c r="H29" s="200"/>
      <c r="I29" s="200"/>
      <c r="J29" s="197"/>
      <c r="K29" s="197"/>
      <c r="L29" s="199"/>
    </row>
    <row r="30" spans="1:18">
      <c r="B30" s="195"/>
      <c r="C30" s="195"/>
      <c r="G30" s="197"/>
      <c r="H30" s="197"/>
      <c r="I30" s="197"/>
      <c r="J30" s="197"/>
      <c r="K30" s="197"/>
      <c r="L30" s="197"/>
    </row>
    <row r="31" spans="1:18" ht="12" customHeight="1" outlineLevel="1">
      <c r="B31" s="665" t="s">
        <v>175</v>
      </c>
      <c r="C31" s="665"/>
      <c r="D31" s="665"/>
      <c r="E31" s="665"/>
      <c r="F31" s="665"/>
      <c r="G31" s="665"/>
      <c r="H31" s="665"/>
      <c r="I31" s="665"/>
      <c r="J31" s="665"/>
      <c r="K31" s="665"/>
      <c r="L31" s="665"/>
      <c r="M31" s="665"/>
      <c r="N31" s="665"/>
      <c r="O31" s="665"/>
      <c r="P31" s="665"/>
      <c r="Q31" s="665"/>
      <c r="R31" s="665"/>
    </row>
    <row r="32" spans="1:18" ht="6.6" customHeight="1">
      <c r="B32" s="195"/>
      <c r="C32" s="195"/>
      <c r="F32" s="196"/>
      <c r="G32" s="197"/>
      <c r="H32" s="197"/>
      <c r="I32" s="197"/>
      <c r="J32" s="197"/>
      <c r="K32" s="197"/>
    </row>
    <row r="33" spans="2:18" ht="13.5" customHeight="1">
      <c r="B33" s="195"/>
      <c r="C33" s="195"/>
      <c r="D33" s="198">
        <v>12</v>
      </c>
      <c r="E33" s="198">
        <v>12</v>
      </c>
      <c r="F33" s="198">
        <v>11</v>
      </c>
      <c r="G33" s="198"/>
      <c r="H33" s="198"/>
      <c r="I33" s="198"/>
      <c r="J33" s="198"/>
      <c r="K33" s="198"/>
      <c r="L33" s="199"/>
    </row>
    <row r="34" spans="2:18" ht="13.5" customHeight="1">
      <c r="B34" s="671" t="s">
        <v>125</v>
      </c>
      <c r="C34" s="671"/>
      <c r="D34" s="238" t="s">
        <v>126</v>
      </c>
      <c r="E34" s="239" t="s">
        <v>897</v>
      </c>
      <c r="F34" s="239" t="s">
        <v>127</v>
      </c>
      <c r="G34" s="239" t="s">
        <v>898</v>
      </c>
      <c r="H34" s="239" t="s">
        <v>899</v>
      </c>
      <c r="I34" s="239" t="s">
        <v>182</v>
      </c>
      <c r="J34" s="398" t="s">
        <v>900</v>
      </c>
      <c r="K34" s="398"/>
      <c r="L34" s="199"/>
      <c r="N34" s="666">
        <v>2027</v>
      </c>
      <c r="O34" s="666"/>
      <c r="P34" s="666"/>
      <c r="Q34" s="666"/>
      <c r="R34" s="666"/>
    </row>
    <row r="35" spans="2:18" ht="13.5" customHeight="1">
      <c r="B35" s="669" t="s">
        <v>902</v>
      </c>
      <c r="C35" s="670"/>
      <c r="D35" s="399">
        <v>996.84</v>
      </c>
      <c r="E35" s="399">
        <v>38.11</v>
      </c>
      <c r="F35" s="399">
        <v>169.22</v>
      </c>
      <c r="G35" s="399">
        <f t="shared" ref="G35:I55" si="3">$D35</f>
        <v>996.84</v>
      </c>
      <c r="H35" s="399">
        <f t="shared" si="3"/>
        <v>996.84</v>
      </c>
      <c r="I35" s="399">
        <f t="shared" si="3"/>
        <v>996.84</v>
      </c>
      <c r="J35" s="399">
        <v>450</v>
      </c>
      <c r="K35" s="401">
        <f>D35*$D$6+E35*$E$6+F35*$F$6+G35+H35+I35+J35</f>
        <v>17721.34</v>
      </c>
      <c r="L35" s="199"/>
      <c r="N35" s="190" t="s">
        <v>145</v>
      </c>
      <c r="O35" s="190"/>
      <c r="P35" s="190" t="s">
        <v>146</v>
      </c>
      <c r="Q35" s="190" t="s">
        <v>147</v>
      </c>
      <c r="R35" s="190" t="s">
        <v>148</v>
      </c>
    </row>
    <row r="36" spans="2:18" ht="13.5" customHeight="1">
      <c r="B36" s="667" t="s">
        <v>117</v>
      </c>
      <c r="C36" s="668"/>
      <c r="D36" s="400">
        <v>1208.26</v>
      </c>
      <c r="E36" s="400">
        <v>38.11</v>
      </c>
      <c r="F36" s="400">
        <v>169.22</v>
      </c>
      <c r="G36" s="400">
        <f t="shared" si="3"/>
        <v>1208.26</v>
      </c>
      <c r="H36" s="400">
        <f t="shared" si="3"/>
        <v>1208.26</v>
      </c>
      <c r="I36" s="400">
        <f t="shared" si="3"/>
        <v>1208.26</v>
      </c>
      <c r="J36" s="400">
        <v>450</v>
      </c>
      <c r="K36" s="402">
        <f t="shared" ref="K36:K55" si="4">D36*$D$6+E36*$E$6+F36*$F$6+G36+H36+I36+J36</f>
        <v>20892.639999999996</v>
      </c>
      <c r="L36" s="199"/>
      <c r="N36" s="189" t="s">
        <v>149</v>
      </c>
      <c r="O36" s="189"/>
      <c r="P36" s="191">
        <v>27.8</v>
      </c>
      <c r="Q36" s="191">
        <v>30.11</v>
      </c>
      <c r="R36" s="191">
        <v>38.380000000000003</v>
      </c>
    </row>
    <row r="37" spans="2:18" ht="14.25" customHeight="1">
      <c r="B37" s="669" t="s">
        <v>118</v>
      </c>
      <c r="C37" s="670"/>
      <c r="D37" s="399">
        <v>1279.01</v>
      </c>
      <c r="E37" s="399">
        <v>38.11</v>
      </c>
      <c r="F37" s="399">
        <v>169.22</v>
      </c>
      <c r="G37" s="399">
        <f t="shared" si="3"/>
        <v>1279.01</v>
      </c>
      <c r="H37" s="399">
        <f t="shared" si="3"/>
        <v>1279.01</v>
      </c>
      <c r="I37" s="399">
        <f t="shared" si="3"/>
        <v>1279.01</v>
      </c>
      <c r="J37" s="399">
        <v>450</v>
      </c>
      <c r="K37" s="401">
        <f t="shared" si="4"/>
        <v>21953.889999999996</v>
      </c>
      <c r="L37" s="199"/>
      <c r="N37" s="13" t="s">
        <v>150</v>
      </c>
      <c r="P37" s="192">
        <v>77.06</v>
      </c>
      <c r="Q37" s="192">
        <v>83.22</v>
      </c>
      <c r="R37" s="192">
        <v>105.56</v>
      </c>
    </row>
    <row r="38" spans="2:18">
      <c r="B38" s="667" t="s">
        <v>128</v>
      </c>
      <c r="C38" s="668"/>
      <c r="D38" s="400">
        <v>1279.03</v>
      </c>
      <c r="E38" s="400">
        <v>38.11</v>
      </c>
      <c r="F38" s="400">
        <v>169.22</v>
      </c>
      <c r="G38" s="400">
        <f t="shared" si="3"/>
        <v>1279.03</v>
      </c>
      <c r="H38" s="400">
        <f t="shared" si="3"/>
        <v>1279.03</v>
      </c>
      <c r="I38" s="400">
        <f t="shared" si="3"/>
        <v>1279.03</v>
      </c>
      <c r="J38" s="400">
        <v>450</v>
      </c>
      <c r="K38" s="402">
        <f t="shared" si="4"/>
        <v>21954.189999999995</v>
      </c>
      <c r="L38" s="199"/>
      <c r="N38" s="189" t="s">
        <v>151</v>
      </c>
      <c r="O38" s="189"/>
      <c r="P38" s="191">
        <v>134.87</v>
      </c>
      <c r="Q38" s="191">
        <v>145.56</v>
      </c>
      <c r="R38" s="191">
        <v>184.73</v>
      </c>
    </row>
    <row r="39" spans="2:18">
      <c r="B39" s="669" t="s">
        <v>129</v>
      </c>
      <c r="C39" s="670"/>
      <c r="D39" s="399">
        <v>1326.97</v>
      </c>
      <c r="E39" s="399">
        <v>38.11</v>
      </c>
      <c r="F39" s="399">
        <v>169.22</v>
      </c>
      <c r="G39" s="399">
        <f t="shared" si="3"/>
        <v>1326.97</v>
      </c>
      <c r="H39" s="399">
        <f t="shared" si="3"/>
        <v>1326.97</v>
      </c>
      <c r="I39" s="399">
        <f t="shared" si="3"/>
        <v>1326.97</v>
      </c>
      <c r="J39" s="399">
        <v>450</v>
      </c>
      <c r="K39" s="401">
        <f t="shared" si="4"/>
        <v>22673.29</v>
      </c>
      <c r="L39" s="199"/>
      <c r="N39" s="13" t="s">
        <v>152</v>
      </c>
      <c r="P39" s="192">
        <v>192.74</v>
      </c>
      <c r="Q39" s="192">
        <v>207.92</v>
      </c>
      <c r="R39" s="192">
        <v>263.89</v>
      </c>
    </row>
    <row r="40" spans="2:18">
      <c r="B40" s="667" t="s">
        <v>119</v>
      </c>
      <c r="C40" s="668"/>
      <c r="D40" s="400">
        <v>1334.16</v>
      </c>
      <c r="E40" s="400">
        <v>38.11</v>
      </c>
      <c r="F40" s="400">
        <v>169.22</v>
      </c>
      <c r="G40" s="400">
        <f t="shared" si="3"/>
        <v>1334.16</v>
      </c>
      <c r="H40" s="400">
        <f t="shared" si="3"/>
        <v>1334.16</v>
      </c>
      <c r="I40" s="400">
        <f t="shared" si="3"/>
        <v>1334.16</v>
      </c>
      <c r="J40" s="400">
        <v>450</v>
      </c>
      <c r="K40" s="402">
        <f t="shared" si="4"/>
        <v>22781.140000000003</v>
      </c>
      <c r="L40" s="199"/>
      <c r="N40" s="189" t="s">
        <v>153</v>
      </c>
      <c r="O40" s="189"/>
      <c r="P40" s="191">
        <v>241.5</v>
      </c>
      <c r="Q40" s="191">
        <v>261.38</v>
      </c>
      <c r="R40" s="191">
        <v>332.41</v>
      </c>
    </row>
    <row r="41" spans="2:18">
      <c r="B41" s="669" t="s">
        <v>130</v>
      </c>
      <c r="C41" s="670"/>
      <c r="D41" s="399">
        <v>1404.91</v>
      </c>
      <c r="E41" s="399">
        <v>38.11</v>
      </c>
      <c r="F41" s="399">
        <v>169.22</v>
      </c>
      <c r="G41" s="399">
        <f t="shared" si="3"/>
        <v>1404.91</v>
      </c>
      <c r="H41" s="399">
        <f t="shared" si="3"/>
        <v>1404.91</v>
      </c>
      <c r="I41" s="399">
        <f t="shared" si="3"/>
        <v>1404.91</v>
      </c>
      <c r="J41" s="399">
        <v>450</v>
      </c>
      <c r="K41" s="401">
        <f t="shared" si="4"/>
        <v>23842.390000000003</v>
      </c>
      <c r="L41" s="199"/>
      <c r="N41" s="13" t="s">
        <v>154</v>
      </c>
      <c r="P41" s="192">
        <v>290.33</v>
      </c>
      <c r="Q41" s="192">
        <v>322.92</v>
      </c>
      <c r="R41" s="192">
        <v>400.01</v>
      </c>
    </row>
    <row r="42" spans="2:18">
      <c r="B42" s="667" t="s">
        <v>131</v>
      </c>
      <c r="C42" s="668"/>
      <c r="D42" s="400">
        <v>1404.91</v>
      </c>
      <c r="E42" s="400">
        <v>38.11</v>
      </c>
      <c r="F42" s="400">
        <v>169.22</v>
      </c>
      <c r="G42" s="400">
        <f t="shared" si="3"/>
        <v>1404.91</v>
      </c>
      <c r="H42" s="400">
        <f t="shared" si="3"/>
        <v>1404.91</v>
      </c>
      <c r="I42" s="400">
        <f t="shared" si="3"/>
        <v>1404.91</v>
      </c>
      <c r="J42" s="400">
        <v>450</v>
      </c>
      <c r="K42" s="402">
        <f t="shared" si="4"/>
        <v>23842.390000000003</v>
      </c>
      <c r="L42" s="199"/>
      <c r="N42" s="189" t="s">
        <v>155</v>
      </c>
      <c r="O42" s="189"/>
      <c r="P42" s="191">
        <v>308.32</v>
      </c>
      <c r="Q42" s="191">
        <v>332.68</v>
      </c>
      <c r="R42" s="191">
        <v>422.18</v>
      </c>
    </row>
    <row r="43" spans="2:18">
      <c r="B43" s="669" t="s">
        <v>132</v>
      </c>
      <c r="C43" s="670"/>
      <c r="D43" s="399">
        <v>1469.88</v>
      </c>
      <c r="E43" s="399">
        <v>38.11</v>
      </c>
      <c r="F43" s="399">
        <v>169.22</v>
      </c>
      <c r="G43" s="399">
        <f t="shared" si="3"/>
        <v>1469.88</v>
      </c>
      <c r="H43" s="399">
        <f t="shared" si="3"/>
        <v>1469.88</v>
      </c>
      <c r="I43" s="399">
        <f t="shared" si="3"/>
        <v>1469.88</v>
      </c>
      <c r="J43" s="399">
        <v>450</v>
      </c>
      <c r="K43" s="401">
        <f t="shared" si="4"/>
        <v>24816.940000000006</v>
      </c>
      <c r="L43" s="199"/>
      <c r="N43" s="13" t="s">
        <v>156</v>
      </c>
      <c r="P43" s="192">
        <v>376.97</v>
      </c>
      <c r="Q43" s="192">
        <v>406.54</v>
      </c>
      <c r="R43" s="192">
        <v>485.36</v>
      </c>
    </row>
    <row r="44" spans="2:18">
      <c r="B44" s="667" t="s">
        <v>133</v>
      </c>
      <c r="C44" s="668"/>
      <c r="D44" s="400">
        <v>1469.68</v>
      </c>
      <c r="E44" s="400">
        <v>38.11</v>
      </c>
      <c r="F44" s="400">
        <v>169.22</v>
      </c>
      <c r="G44" s="400">
        <f t="shared" si="3"/>
        <v>1469.68</v>
      </c>
      <c r="H44" s="400">
        <f t="shared" si="3"/>
        <v>1469.68</v>
      </c>
      <c r="I44" s="400">
        <f t="shared" si="3"/>
        <v>1469.68</v>
      </c>
      <c r="J44" s="400">
        <v>450</v>
      </c>
      <c r="K44" s="402">
        <f t="shared" si="4"/>
        <v>24813.940000000002</v>
      </c>
      <c r="L44" s="199"/>
      <c r="N44" s="189" t="s">
        <v>157</v>
      </c>
      <c r="O44" s="189"/>
      <c r="P44" s="191">
        <v>423.69</v>
      </c>
      <c r="Q44" s="191">
        <v>456.99</v>
      </c>
      <c r="R44" s="191">
        <v>585.03</v>
      </c>
    </row>
    <row r="45" spans="2:18">
      <c r="B45" s="669" t="s">
        <v>134</v>
      </c>
      <c r="C45" s="670"/>
      <c r="D45" s="399">
        <v>996.84</v>
      </c>
      <c r="E45" s="399">
        <v>38.11</v>
      </c>
      <c r="F45" s="399">
        <v>169.22</v>
      </c>
      <c r="G45" s="399">
        <f t="shared" si="3"/>
        <v>996.84</v>
      </c>
      <c r="H45" s="399">
        <f t="shared" si="3"/>
        <v>996.84</v>
      </c>
      <c r="I45" s="399">
        <f t="shared" si="3"/>
        <v>996.84</v>
      </c>
      <c r="J45" s="399">
        <v>450</v>
      </c>
      <c r="K45" s="401">
        <f t="shared" si="4"/>
        <v>17721.34</v>
      </c>
      <c r="L45" s="199"/>
      <c r="N45" s="13" t="s">
        <v>158</v>
      </c>
      <c r="P45" s="192">
        <v>462.44</v>
      </c>
      <c r="Q45" s="192">
        <v>499.06</v>
      </c>
      <c r="R45" s="192">
        <v>633.38</v>
      </c>
    </row>
    <row r="46" spans="2:18">
      <c r="B46" s="667" t="s">
        <v>135</v>
      </c>
      <c r="C46" s="668"/>
      <c r="D46" s="400">
        <v>996.84</v>
      </c>
      <c r="E46" s="400">
        <v>38.11</v>
      </c>
      <c r="F46" s="400">
        <v>169.22</v>
      </c>
      <c r="G46" s="400">
        <f t="shared" si="3"/>
        <v>996.84</v>
      </c>
      <c r="H46" s="400">
        <f t="shared" si="3"/>
        <v>996.84</v>
      </c>
      <c r="I46" s="400">
        <f t="shared" si="3"/>
        <v>996.84</v>
      </c>
      <c r="J46" s="400">
        <v>450</v>
      </c>
      <c r="K46" s="402">
        <f t="shared" si="4"/>
        <v>17721.34</v>
      </c>
      <c r="L46" s="199"/>
    </row>
    <row r="47" spans="2:18">
      <c r="B47" s="669" t="s">
        <v>136</v>
      </c>
      <c r="C47" s="670"/>
      <c r="D47" s="399">
        <v>1338.97</v>
      </c>
      <c r="E47" s="399">
        <v>38.11</v>
      </c>
      <c r="F47" s="399">
        <v>169.22</v>
      </c>
      <c r="G47" s="399">
        <f t="shared" si="3"/>
        <v>1338.97</v>
      </c>
      <c r="H47" s="399">
        <f t="shared" si="3"/>
        <v>1338.97</v>
      </c>
      <c r="I47" s="399">
        <f t="shared" si="3"/>
        <v>1338.97</v>
      </c>
      <c r="J47" s="399">
        <v>450</v>
      </c>
      <c r="K47" s="401">
        <f t="shared" si="4"/>
        <v>22853.29</v>
      </c>
      <c r="L47" s="199"/>
      <c r="N47" s="666" t="s">
        <v>894</v>
      </c>
      <c r="O47" s="666"/>
      <c r="P47" s="666"/>
      <c r="Q47" s="666"/>
      <c r="R47" s="666"/>
    </row>
    <row r="48" spans="2:18">
      <c r="B48" s="667" t="s">
        <v>122</v>
      </c>
      <c r="C48" s="668"/>
      <c r="D48" s="400">
        <v>1399.28</v>
      </c>
      <c r="E48" s="400">
        <v>38.11</v>
      </c>
      <c r="F48" s="400">
        <v>169.22</v>
      </c>
      <c r="G48" s="400">
        <f t="shared" si="3"/>
        <v>1399.28</v>
      </c>
      <c r="H48" s="400">
        <f t="shared" si="3"/>
        <v>1399.28</v>
      </c>
      <c r="I48" s="400">
        <f t="shared" si="3"/>
        <v>1399.28</v>
      </c>
      <c r="J48" s="400">
        <v>450</v>
      </c>
      <c r="K48" s="402">
        <f t="shared" si="4"/>
        <v>23757.939999999995</v>
      </c>
      <c r="L48" s="199"/>
      <c r="N48" s="189" t="s">
        <v>161</v>
      </c>
      <c r="O48" s="189"/>
      <c r="P48" s="203"/>
      <c r="Q48" s="189"/>
      <c r="R48" s="203">
        <v>14.92</v>
      </c>
    </row>
    <row r="49" spans="2:18">
      <c r="B49" s="669" t="s">
        <v>137</v>
      </c>
      <c r="C49" s="670"/>
      <c r="D49" s="399">
        <v>1508.04</v>
      </c>
      <c r="E49" s="399">
        <v>38.11</v>
      </c>
      <c r="F49" s="399">
        <v>169.22</v>
      </c>
      <c r="G49" s="399">
        <f t="shared" si="3"/>
        <v>1508.04</v>
      </c>
      <c r="H49" s="399">
        <f t="shared" si="3"/>
        <v>1508.04</v>
      </c>
      <c r="I49" s="399">
        <f t="shared" si="3"/>
        <v>1508.04</v>
      </c>
      <c r="J49" s="399">
        <v>450</v>
      </c>
      <c r="K49" s="401">
        <f t="shared" si="4"/>
        <v>25389.340000000004</v>
      </c>
      <c r="L49" s="199"/>
      <c r="N49" s="13" t="s">
        <v>162</v>
      </c>
      <c r="P49" s="196"/>
      <c r="R49" s="196">
        <v>1.99</v>
      </c>
    </row>
    <row r="50" spans="2:18">
      <c r="B50" s="667" t="s">
        <v>138</v>
      </c>
      <c r="C50" s="668"/>
      <c r="D50" s="400">
        <v>1605.16</v>
      </c>
      <c r="E50" s="400">
        <v>38.11</v>
      </c>
      <c r="F50" s="400">
        <v>169.22</v>
      </c>
      <c r="G50" s="400">
        <f t="shared" si="3"/>
        <v>1605.16</v>
      </c>
      <c r="H50" s="400">
        <f t="shared" si="3"/>
        <v>1605.16</v>
      </c>
      <c r="I50" s="400">
        <f t="shared" si="3"/>
        <v>1605.16</v>
      </c>
      <c r="J50" s="400">
        <v>450</v>
      </c>
      <c r="K50" s="402">
        <f t="shared" si="4"/>
        <v>26846.140000000003</v>
      </c>
      <c r="L50" s="199"/>
      <c r="N50" s="189" t="s">
        <v>163</v>
      </c>
      <c r="O50" s="189"/>
      <c r="P50" s="203"/>
      <c r="Q50" s="189"/>
      <c r="R50" s="203">
        <v>1.02</v>
      </c>
    </row>
    <row r="51" spans="2:18">
      <c r="B51" s="669" t="s">
        <v>139</v>
      </c>
      <c r="C51" s="670"/>
      <c r="D51" s="399">
        <v>1806.21</v>
      </c>
      <c r="E51" s="399">
        <v>38.11</v>
      </c>
      <c r="F51" s="399">
        <v>169.22</v>
      </c>
      <c r="G51" s="399">
        <f t="shared" si="3"/>
        <v>1806.21</v>
      </c>
      <c r="H51" s="399">
        <f t="shared" si="3"/>
        <v>1806.21</v>
      </c>
      <c r="I51" s="399">
        <f t="shared" si="3"/>
        <v>1806.21</v>
      </c>
      <c r="J51" s="399">
        <v>450</v>
      </c>
      <c r="K51" s="401">
        <f t="shared" si="4"/>
        <v>29861.89</v>
      </c>
      <c r="L51" s="199"/>
    </row>
    <row r="52" spans="2:18">
      <c r="B52" s="667" t="s">
        <v>140</v>
      </c>
      <c r="C52" s="668"/>
      <c r="D52" s="400">
        <v>1614.8</v>
      </c>
      <c r="E52" s="400">
        <v>38.11</v>
      </c>
      <c r="F52" s="400">
        <v>169.22</v>
      </c>
      <c r="G52" s="400">
        <f t="shared" si="3"/>
        <v>1614.8</v>
      </c>
      <c r="H52" s="400">
        <f t="shared" si="3"/>
        <v>1614.8</v>
      </c>
      <c r="I52" s="400">
        <f t="shared" si="3"/>
        <v>1614.8</v>
      </c>
      <c r="J52" s="400">
        <v>450</v>
      </c>
      <c r="K52" s="402">
        <f t="shared" si="4"/>
        <v>26990.739999999994</v>
      </c>
      <c r="L52" s="199"/>
      <c r="N52" s="666" t="s">
        <v>164</v>
      </c>
      <c r="O52" s="666"/>
      <c r="P52" s="666"/>
      <c r="Q52" s="666"/>
      <c r="R52" s="666"/>
    </row>
    <row r="53" spans="2:18">
      <c r="B53" s="669" t="s">
        <v>141</v>
      </c>
      <c r="C53" s="670"/>
      <c r="D53" s="399">
        <v>1759.06</v>
      </c>
      <c r="E53" s="399">
        <v>38.11</v>
      </c>
      <c r="F53" s="399">
        <v>169.22</v>
      </c>
      <c r="G53" s="399">
        <f t="shared" si="3"/>
        <v>1759.06</v>
      </c>
      <c r="H53" s="399">
        <f t="shared" si="3"/>
        <v>1759.06</v>
      </c>
      <c r="I53" s="399">
        <f t="shared" si="3"/>
        <v>1759.06</v>
      </c>
      <c r="J53" s="399">
        <v>450</v>
      </c>
      <c r="K53" s="401">
        <f t="shared" si="4"/>
        <v>29154.640000000003</v>
      </c>
      <c r="L53" s="199"/>
      <c r="N53" s="189" t="s">
        <v>165</v>
      </c>
      <c r="O53" s="189"/>
      <c r="P53" s="203"/>
      <c r="Q53" s="189"/>
      <c r="R53" s="203">
        <v>12.33</v>
      </c>
    </row>
    <row r="54" spans="2:18">
      <c r="B54" s="667" t="s">
        <v>142</v>
      </c>
      <c r="C54" s="668"/>
      <c r="D54" s="400">
        <v>1890.54</v>
      </c>
      <c r="E54" s="400">
        <v>38.11</v>
      </c>
      <c r="F54" s="400">
        <v>169.22</v>
      </c>
      <c r="G54" s="400">
        <f t="shared" si="3"/>
        <v>1890.54</v>
      </c>
      <c r="H54" s="400">
        <f t="shared" si="3"/>
        <v>1890.54</v>
      </c>
      <c r="I54" s="400">
        <f t="shared" si="3"/>
        <v>1890.54</v>
      </c>
      <c r="J54" s="400">
        <v>450</v>
      </c>
      <c r="K54" s="402">
        <f t="shared" si="4"/>
        <v>31126.840000000004</v>
      </c>
      <c r="L54" s="199"/>
      <c r="N54" s="13" t="s">
        <v>166</v>
      </c>
      <c r="P54" s="196"/>
      <c r="R54" s="196">
        <v>61.64</v>
      </c>
    </row>
    <row r="55" spans="2:18">
      <c r="B55" s="669" t="s">
        <v>143</v>
      </c>
      <c r="C55" s="670"/>
      <c r="D55" s="399">
        <v>2166.3200000000002</v>
      </c>
      <c r="E55" s="399">
        <v>38.11</v>
      </c>
      <c r="F55" s="399">
        <v>169.22</v>
      </c>
      <c r="G55" s="399">
        <f t="shared" si="3"/>
        <v>2166.3200000000002</v>
      </c>
      <c r="H55" s="399">
        <f t="shared" si="3"/>
        <v>2166.3200000000002</v>
      </c>
      <c r="I55" s="399">
        <f t="shared" si="3"/>
        <v>2166.3200000000002</v>
      </c>
      <c r="J55" s="399">
        <v>450</v>
      </c>
      <c r="K55" s="401">
        <f t="shared" si="4"/>
        <v>35263.54</v>
      </c>
      <c r="L55" s="199"/>
      <c r="N55" s="493" t="s">
        <v>1082</v>
      </c>
      <c r="O55" s="493"/>
      <c r="P55" s="493"/>
      <c r="Q55" s="493"/>
      <c r="R55" s="494">
        <f>E35*E33+F35*F33</f>
        <v>2318.7400000000002</v>
      </c>
    </row>
    <row r="56" spans="2:18">
      <c r="B56" s="10"/>
      <c r="C56" s="10"/>
      <c r="D56" s="201"/>
      <c r="E56" s="9"/>
      <c r="F56" s="9"/>
      <c r="G56" s="200"/>
      <c r="H56" s="200"/>
      <c r="I56" s="200"/>
      <c r="J56" s="197"/>
      <c r="K56" s="197"/>
      <c r="L56" s="199"/>
    </row>
    <row r="58" spans="2:18" ht="14.4" customHeight="1">
      <c r="B58" s="665" t="s">
        <v>176</v>
      </c>
      <c r="C58" s="665"/>
      <c r="D58" s="665"/>
      <c r="E58" s="665"/>
      <c r="F58" s="665"/>
      <c r="G58" s="665"/>
      <c r="H58" s="665"/>
      <c r="I58" s="665"/>
      <c r="J58" s="665"/>
      <c r="K58" s="665"/>
      <c r="L58" s="665"/>
      <c r="M58" s="665"/>
      <c r="N58" s="665"/>
      <c r="O58" s="665"/>
      <c r="P58" s="665"/>
      <c r="Q58" s="665"/>
      <c r="R58" s="665"/>
    </row>
    <row r="59" spans="2:18" ht="6.6" customHeight="1">
      <c r="B59" s="195"/>
      <c r="C59" s="195"/>
      <c r="F59" s="196"/>
      <c r="G59" s="197"/>
      <c r="H59" s="197"/>
    </row>
    <row r="60" spans="2:18" ht="12.75" customHeight="1">
      <c r="B60" s="195"/>
      <c r="C60" s="195"/>
      <c r="D60" s="198">
        <v>12</v>
      </c>
      <c r="E60" s="198">
        <v>12</v>
      </c>
      <c r="F60" s="198">
        <v>11</v>
      </c>
      <c r="G60" s="198"/>
      <c r="H60" s="198"/>
      <c r="I60" s="198"/>
      <c r="J60" s="198"/>
      <c r="K60" s="198"/>
    </row>
    <row r="61" spans="2:18">
      <c r="B61" s="671" t="s">
        <v>125</v>
      </c>
      <c r="C61" s="671"/>
      <c r="D61" s="238" t="s">
        <v>126</v>
      </c>
      <c r="E61" s="239" t="s">
        <v>897</v>
      </c>
      <c r="F61" s="239" t="s">
        <v>127</v>
      </c>
      <c r="G61" s="239" t="s">
        <v>898</v>
      </c>
      <c r="H61" s="239" t="s">
        <v>899</v>
      </c>
      <c r="I61" s="239" t="s">
        <v>182</v>
      </c>
      <c r="J61" s="398" t="s">
        <v>900</v>
      </c>
      <c r="K61" s="398"/>
      <c r="N61" s="666">
        <v>2028</v>
      </c>
      <c r="O61" s="666"/>
      <c r="P61" s="666"/>
      <c r="Q61" s="666"/>
      <c r="R61" s="666"/>
    </row>
    <row r="62" spans="2:18">
      <c r="B62" s="669" t="s">
        <v>902</v>
      </c>
      <c r="C62" s="670"/>
      <c r="D62" s="399">
        <v>1022.63</v>
      </c>
      <c r="E62" s="399">
        <v>39.64</v>
      </c>
      <c r="F62" s="399">
        <v>196.83</v>
      </c>
      <c r="G62" s="399">
        <f t="shared" ref="G62:I82" si="5">$D62</f>
        <v>1022.63</v>
      </c>
      <c r="H62" s="399">
        <f t="shared" si="5"/>
        <v>1022.63</v>
      </c>
      <c r="I62" s="399">
        <f t="shared" si="5"/>
        <v>1022.63</v>
      </c>
      <c r="J62" s="399">
        <v>450</v>
      </c>
      <c r="K62" s="401">
        <f t="shared" ref="K62:K82" si="6">D62*$D$6+E62*$E$6+F62*$F$6+G62+H62+I62+J62</f>
        <v>18430.259999999998</v>
      </c>
      <c r="N62" s="190" t="s">
        <v>145</v>
      </c>
      <c r="O62" s="190"/>
      <c r="P62" s="190" t="s">
        <v>146</v>
      </c>
      <c r="Q62" s="190" t="s">
        <v>147</v>
      </c>
      <c r="R62" s="190" t="s">
        <v>148</v>
      </c>
    </row>
    <row r="63" spans="2:18">
      <c r="B63" s="667" t="s">
        <v>117</v>
      </c>
      <c r="C63" s="668"/>
      <c r="D63" s="400">
        <v>1242.51</v>
      </c>
      <c r="E63" s="400">
        <v>39.64</v>
      </c>
      <c r="F63" s="400">
        <v>196.83</v>
      </c>
      <c r="G63" s="400">
        <f t="shared" si="5"/>
        <v>1242.51</v>
      </c>
      <c r="H63" s="400">
        <f t="shared" si="5"/>
        <v>1242.51</v>
      </c>
      <c r="I63" s="400">
        <f t="shared" si="5"/>
        <v>1242.51</v>
      </c>
      <c r="J63" s="400">
        <v>450</v>
      </c>
      <c r="K63" s="402">
        <f t="shared" si="6"/>
        <v>21728.459999999995</v>
      </c>
      <c r="N63" s="189" t="s">
        <v>149</v>
      </c>
      <c r="O63" s="189"/>
      <c r="P63" s="191">
        <v>28.91</v>
      </c>
      <c r="Q63" s="191">
        <v>31.31</v>
      </c>
      <c r="R63" s="191">
        <v>39.909999999999997</v>
      </c>
    </row>
    <row r="64" spans="2:18">
      <c r="B64" s="669" t="s">
        <v>118</v>
      </c>
      <c r="C64" s="670"/>
      <c r="D64" s="399">
        <v>1316.09</v>
      </c>
      <c r="E64" s="399">
        <v>39.64</v>
      </c>
      <c r="F64" s="399">
        <v>196.83</v>
      </c>
      <c r="G64" s="399">
        <f t="shared" si="5"/>
        <v>1316.09</v>
      </c>
      <c r="H64" s="399">
        <f t="shared" si="5"/>
        <v>1316.09</v>
      </c>
      <c r="I64" s="399">
        <f t="shared" si="5"/>
        <v>1316.09</v>
      </c>
      <c r="J64" s="399">
        <v>450</v>
      </c>
      <c r="K64" s="401">
        <f t="shared" si="6"/>
        <v>22832.16</v>
      </c>
      <c r="N64" s="13" t="s">
        <v>150</v>
      </c>
      <c r="P64" s="192">
        <v>80.14</v>
      </c>
      <c r="Q64" s="192">
        <v>86.55</v>
      </c>
      <c r="R64" s="192">
        <v>109.79</v>
      </c>
    </row>
    <row r="65" spans="2:18">
      <c r="B65" s="667" t="s">
        <v>128</v>
      </c>
      <c r="C65" s="668"/>
      <c r="D65" s="400">
        <v>1316.11</v>
      </c>
      <c r="E65" s="400">
        <v>39.64</v>
      </c>
      <c r="F65" s="400">
        <v>196.83</v>
      </c>
      <c r="G65" s="400">
        <f t="shared" si="5"/>
        <v>1316.11</v>
      </c>
      <c r="H65" s="400">
        <f t="shared" si="5"/>
        <v>1316.11</v>
      </c>
      <c r="I65" s="400">
        <f t="shared" si="5"/>
        <v>1316.11</v>
      </c>
      <c r="J65" s="400">
        <v>450</v>
      </c>
      <c r="K65" s="402">
        <f t="shared" si="6"/>
        <v>22832.460000000003</v>
      </c>
      <c r="N65" s="189" t="s">
        <v>151</v>
      </c>
      <c r="O65" s="189"/>
      <c r="P65" s="191">
        <v>140.27000000000001</v>
      </c>
      <c r="Q65" s="191">
        <v>151.38</v>
      </c>
      <c r="R65" s="191">
        <v>192.12</v>
      </c>
    </row>
    <row r="66" spans="2:18">
      <c r="B66" s="669" t="s">
        <v>129</v>
      </c>
      <c r="C66" s="670"/>
      <c r="D66" s="399">
        <v>1365.97</v>
      </c>
      <c r="E66" s="399">
        <v>39.64</v>
      </c>
      <c r="F66" s="399">
        <v>196.83</v>
      </c>
      <c r="G66" s="399">
        <f t="shared" si="5"/>
        <v>1365.97</v>
      </c>
      <c r="H66" s="399">
        <f t="shared" si="5"/>
        <v>1365.97</v>
      </c>
      <c r="I66" s="399">
        <f t="shared" si="5"/>
        <v>1365.97</v>
      </c>
      <c r="J66" s="399">
        <v>450</v>
      </c>
      <c r="K66" s="401">
        <f t="shared" si="6"/>
        <v>23580.360000000004</v>
      </c>
      <c r="N66" s="13" t="s">
        <v>152</v>
      </c>
      <c r="P66" s="192">
        <v>200.45</v>
      </c>
      <c r="Q66" s="192">
        <v>216.24</v>
      </c>
      <c r="R66" s="192">
        <v>274.45</v>
      </c>
    </row>
    <row r="67" spans="2:18">
      <c r="B67" s="667" t="s">
        <v>119</v>
      </c>
      <c r="C67" s="668"/>
      <c r="D67" s="400">
        <v>1373.45</v>
      </c>
      <c r="E67" s="400">
        <v>39.64</v>
      </c>
      <c r="F67" s="400">
        <v>196.83</v>
      </c>
      <c r="G67" s="400">
        <f t="shared" si="5"/>
        <v>1373.45</v>
      </c>
      <c r="H67" s="400">
        <f t="shared" si="5"/>
        <v>1373.45</v>
      </c>
      <c r="I67" s="400">
        <f t="shared" si="5"/>
        <v>1373.45</v>
      </c>
      <c r="J67" s="400">
        <v>450</v>
      </c>
      <c r="K67" s="402">
        <f t="shared" si="6"/>
        <v>23692.560000000005</v>
      </c>
      <c r="N67" s="189" t="s">
        <v>153</v>
      </c>
      <c r="O67" s="189"/>
      <c r="P67" s="191">
        <v>251.16</v>
      </c>
      <c r="Q67" s="191">
        <v>271.83</v>
      </c>
      <c r="R67" s="191">
        <v>345.7</v>
      </c>
    </row>
    <row r="68" spans="2:18">
      <c r="B68" s="669" t="s">
        <v>130</v>
      </c>
      <c r="C68" s="670"/>
      <c r="D68" s="399">
        <v>1447.03</v>
      </c>
      <c r="E68" s="399">
        <v>39.64</v>
      </c>
      <c r="F68" s="399">
        <v>196.83</v>
      </c>
      <c r="G68" s="399">
        <f t="shared" si="5"/>
        <v>1447.03</v>
      </c>
      <c r="H68" s="399">
        <f t="shared" si="5"/>
        <v>1447.03</v>
      </c>
      <c r="I68" s="399">
        <f t="shared" si="5"/>
        <v>1447.03</v>
      </c>
      <c r="J68" s="399">
        <v>450</v>
      </c>
      <c r="K68" s="401">
        <f t="shared" si="6"/>
        <v>24796.26</v>
      </c>
      <c r="N68" s="13" t="s">
        <v>154</v>
      </c>
      <c r="P68" s="192">
        <v>301.64</v>
      </c>
      <c r="Q68" s="192">
        <v>335.84</v>
      </c>
      <c r="R68" s="192">
        <v>416.01</v>
      </c>
    </row>
    <row r="69" spans="2:18">
      <c r="B69" s="667" t="s">
        <v>131</v>
      </c>
      <c r="C69" s="668"/>
      <c r="D69" s="400">
        <v>1447.03</v>
      </c>
      <c r="E69" s="400">
        <v>39.64</v>
      </c>
      <c r="F69" s="400">
        <v>196.83</v>
      </c>
      <c r="G69" s="400">
        <f t="shared" si="5"/>
        <v>1447.03</v>
      </c>
      <c r="H69" s="400">
        <f t="shared" si="5"/>
        <v>1447.03</v>
      </c>
      <c r="I69" s="400">
        <f t="shared" si="5"/>
        <v>1447.03</v>
      </c>
      <c r="J69" s="400">
        <v>450</v>
      </c>
      <c r="K69" s="402">
        <f t="shared" si="6"/>
        <v>24796.26</v>
      </c>
      <c r="N69" s="189" t="s">
        <v>155</v>
      </c>
      <c r="O69" s="189"/>
      <c r="P69" s="191">
        <v>320.64999999999998</v>
      </c>
      <c r="Q69" s="191">
        <v>345.99</v>
      </c>
      <c r="R69" s="191">
        <v>439.07</v>
      </c>
    </row>
    <row r="70" spans="2:18">
      <c r="B70" s="669" t="s">
        <v>132</v>
      </c>
      <c r="C70" s="670"/>
      <c r="D70" s="399">
        <v>1514.39</v>
      </c>
      <c r="E70" s="399">
        <v>39.64</v>
      </c>
      <c r="F70" s="399">
        <v>196.83</v>
      </c>
      <c r="G70" s="399">
        <f t="shared" si="5"/>
        <v>1514.39</v>
      </c>
      <c r="H70" s="399">
        <f t="shared" si="5"/>
        <v>1514.39</v>
      </c>
      <c r="I70" s="399">
        <f t="shared" si="5"/>
        <v>1514.39</v>
      </c>
      <c r="J70" s="399">
        <v>450</v>
      </c>
      <c r="K70" s="401">
        <f t="shared" si="6"/>
        <v>25806.66</v>
      </c>
      <c r="N70" s="13" t="s">
        <v>156</v>
      </c>
      <c r="P70" s="192">
        <v>392.04</v>
      </c>
      <c r="Q70" s="192">
        <v>422.8</v>
      </c>
      <c r="R70" s="192">
        <v>504.78</v>
      </c>
    </row>
    <row r="71" spans="2:18">
      <c r="B71" s="667" t="s">
        <v>133</v>
      </c>
      <c r="C71" s="668"/>
      <c r="D71" s="400">
        <v>1514.39</v>
      </c>
      <c r="E71" s="400">
        <v>39.64</v>
      </c>
      <c r="F71" s="400">
        <v>196.83</v>
      </c>
      <c r="G71" s="400">
        <f t="shared" si="5"/>
        <v>1514.39</v>
      </c>
      <c r="H71" s="400">
        <f t="shared" si="5"/>
        <v>1514.39</v>
      </c>
      <c r="I71" s="400">
        <f t="shared" si="5"/>
        <v>1514.39</v>
      </c>
      <c r="J71" s="400">
        <v>450</v>
      </c>
      <c r="K71" s="402">
        <f t="shared" si="6"/>
        <v>25806.66</v>
      </c>
      <c r="N71" s="189" t="s">
        <v>157</v>
      </c>
      <c r="O71" s="189"/>
      <c r="P71" s="191">
        <v>440.63</v>
      </c>
      <c r="Q71" s="191">
        <v>475.27</v>
      </c>
      <c r="R71" s="191">
        <v>608.42999999999995</v>
      </c>
    </row>
    <row r="72" spans="2:18">
      <c r="B72" s="669" t="s">
        <v>134</v>
      </c>
      <c r="C72" s="670"/>
      <c r="D72" s="399">
        <v>1022.63</v>
      </c>
      <c r="E72" s="399">
        <v>39.64</v>
      </c>
      <c r="F72" s="399">
        <v>196.83</v>
      </c>
      <c r="G72" s="399">
        <f t="shared" si="5"/>
        <v>1022.63</v>
      </c>
      <c r="H72" s="399">
        <f t="shared" si="5"/>
        <v>1022.63</v>
      </c>
      <c r="I72" s="399">
        <f t="shared" si="5"/>
        <v>1022.63</v>
      </c>
      <c r="J72" s="399">
        <v>450</v>
      </c>
      <c r="K72" s="401">
        <f t="shared" si="6"/>
        <v>18430.259999999998</v>
      </c>
      <c r="N72" s="13" t="s">
        <v>158</v>
      </c>
      <c r="P72" s="192">
        <v>480.93</v>
      </c>
      <c r="Q72" s="192">
        <v>519.02</v>
      </c>
      <c r="R72" s="192">
        <v>658.71</v>
      </c>
    </row>
    <row r="73" spans="2:18">
      <c r="B73" s="667" t="s">
        <v>135</v>
      </c>
      <c r="C73" s="668"/>
      <c r="D73" s="400">
        <v>1022.63</v>
      </c>
      <c r="E73" s="400">
        <v>39.64</v>
      </c>
      <c r="F73" s="400">
        <v>196.83</v>
      </c>
      <c r="G73" s="400">
        <f t="shared" si="5"/>
        <v>1022.63</v>
      </c>
      <c r="H73" s="400">
        <f t="shared" si="5"/>
        <v>1022.63</v>
      </c>
      <c r="I73" s="400">
        <f t="shared" si="5"/>
        <v>1022.63</v>
      </c>
      <c r="J73" s="400">
        <v>450</v>
      </c>
      <c r="K73" s="402">
        <f t="shared" si="6"/>
        <v>18430.259999999998</v>
      </c>
      <c r="P73" s="192"/>
      <c r="Q73" s="192"/>
      <c r="R73" s="192"/>
    </row>
    <row r="74" spans="2:18">
      <c r="B74" s="669" t="s">
        <v>136</v>
      </c>
      <c r="C74" s="670"/>
      <c r="D74" s="399">
        <v>1378.45</v>
      </c>
      <c r="E74" s="399">
        <v>39.64</v>
      </c>
      <c r="F74" s="399">
        <v>196.83</v>
      </c>
      <c r="G74" s="399">
        <f t="shared" si="5"/>
        <v>1378.45</v>
      </c>
      <c r="H74" s="399">
        <f t="shared" si="5"/>
        <v>1378.45</v>
      </c>
      <c r="I74" s="399">
        <f t="shared" si="5"/>
        <v>1378.45</v>
      </c>
      <c r="J74" s="399">
        <v>450</v>
      </c>
      <c r="K74" s="401">
        <f t="shared" si="6"/>
        <v>23767.560000000005</v>
      </c>
      <c r="N74" s="666" t="s">
        <v>894</v>
      </c>
      <c r="O74" s="666"/>
      <c r="P74" s="666"/>
      <c r="Q74" s="666"/>
      <c r="R74" s="666"/>
    </row>
    <row r="75" spans="2:18">
      <c r="B75" s="667" t="s">
        <v>122</v>
      </c>
      <c r="C75" s="668"/>
      <c r="D75" s="400">
        <v>1441.17</v>
      </c>
      <c r="E75" s="400">
        <v>39.64</v>
      </c>
      <c r="F75" s="400">
        <v>196.83</v>
      </c>
      <c r="G75" s="400">
        <f t="shared" si="5"/>
        <v>1441.17</v>
      </c>
      <c r="H75" s="400">
        <f t="shared" si="5"/>
        <v>1441.17</v>
      </c>
      <c r="I75" s="400">
        <f t="shared" si="5"/>
        <v>1441.17</v>
      </c>
      <c r="J75" s="400">
        <v>450</v>
      </c>
      <c r="K75" s="402">
        <f t="shared" si="6"/>
        <v>24708.36</v>
      </c>
      <c r="N75" s="189" t="s">
        <v>161</v>
      </c>
      <c r="O75" s="189"/>
      <c r="P75" s="203"/>
      <c r="Q75" s="189"/>
      <c r="R75" s="203">
        <v>15.52</v>
      </c>
    </row>
    <row r="76" spans="2:18" ht="13.5" customHeight="1">
      <c r="B76" s="669" t="s">
        <v>137</v>
      </c>
      <c r="C76" s="670"/>
      <c r="D76" s="399">
        <v>1554.28</v>
      </c>
      <c r="E76" s="399">
        <v>39.64</v>
      </c>
      <c r="F76" s="399">
        <v>196.83</v>
      </c>
      <c r="G76" s="399">
        <f t="shared" si="5"/>
        <v>1554.28</v>
      </c>
      <c r="H76" s="399">
        <f t="shared" si="5"/>
        <v>1554.28</v>
      </c>
      <c r="I76" s="399">
        <f t="shared" si="5"/>
        <v>1554.28</v>
      </c>
      <c r="J76" s="399">
        <v>450</v>
      </c>
      <c r="K76" s="401">
        <f t="shared" si="6"/>
        <v>26405.01</v>
      </c>
      <c r="N76" s="13" t="s">
        <v>162</v>
      </c>
      <c r="P76" s="196"/>
      <c r="R76" s="196">
        <v>2.0699999999999998</v>
      </c>
    </row>
    <row r="77" spans="2:18">
      <c r="B77" s="667" t="s">
        <v>138</v>
      </c>
      <c r="C77" s="668"/>
      <c r="D77" s="400">
        <v>1655.28</v>
      </c>
      <c r="E77" s="400">
        <v>39.64</v>
      </c>
      <c r="F77" s="400">
        <v>196.83</v>
      </c>
      <c r="G77" s="400">
        <f t="shared" si="5"/>
        <v>1655.28</v>
      </c>
      <c r="H77" s="400">
        <f t="shared" si="5"/>
        <v>1655.28</v>
      </c>
      <c r="I77" s="400">
        <f t="shared" si="5"/>
        <v>1655.28</v>
      </c>
      <c r="J77" s="400">
        <v>450</v>
      </c>
      <c r="K77" s="402">
        <f t="shared" si="6"/>
        <v>27920.01</v>
      </c>
      <c r="N77" s="189" t="s">
        <v>163</v>
      </c>
      <c r="O77" s="189"/>
      <c r="P77" s="203"/>
      <c r="Q77" s="189"/>
      <c r="R77" s="203">
        <v>1.06</v>
      </c>
    </row>
    <row r="78" spans="2:18">
      <c r="B78" s="669" t="s">
        <v>139</v>
      </c>
      <c r="C78" s="670"/>
      <c r="D78" s="399">
        <v>1864.37</v>
      </c>
      <c r="E78" s="399">
        <v>39.64</v>
      </c>
      <c r="F78" s="399">
        <v>196.83</v>
      </c>
      <c r="G78" s="399">
        <f t="shared" si="5"/>
        <v>1864.37</v>
      </c>
      <c r="H78" s="399">
        <f t="shared" si="5"/>
        <v>1864.37</v>
      </c>
      <c r="I78" s="399">
        <f t="shared" si="5"/>
        <v>1864.37</v>
      </c>
      <c r="J78" s="399">
        <v>450</v>
      </c>
      <c r="K78" s="401">
        <f t="shared" si="6"/>
        <v>31056.359999999997</v>
      </c>
    </row>
    <row r="79" spans="2:18">
      <c r="B79" s="667" t="s">
        <v>140</v>
      </c>
      <c r="C79" s="668"/>
      <c r="D79" s="400">
        <v>1665.31</v>
      </c>
      <c r="E79" s="400">
        <v>39.64</v>
      </c>
      <c r="F79" s="400">
        <v>196.83</v>
      </c>
      <c r="G79" s="400">
        <f t="shared" si="5"/>
        <v>1665.31</v>
      </c>
      <c r="H79" s="400">
        <f t="shared" si="5"/>
        <v>1665.31</v>
      </c>
      <c r="I79" s="400">
        <f t="shared" si="5"/>
        <v>1665.31</v>
      </c>
      <c r="J79" s="400">
        <v>450</v>
      </c>
      <c r="K79" s="402">
        <f t="shared" si="6"/>
        <v>28070.460000000006</v>
      </c>
      <c r="N79" s="666" t="s">
        <v>164</v>
      </c>
      <c r="O79" s="666"/>
      <c r="P79" s="666"/>
      <c r="Q79" s="666"/>
      <c r="R79" s="666"/>
    </row>
    <row r="80" spans="2:18">
      <c r="B80" s="669" t="s">
        <v>141</v>
      </c>
      <c r="C80" s="670"/>
      <c r="D80" s="399">
        <v>1815.34</v>
      </c>
      <c r="E80" s="399">
        <v>39.64</v>
      </c>
      <c r="F80" s="399">
        <v>196.83</v>
      </c>
      <c r="G80" s="399">
        <f t="shared" si="5"/>
        <v>1815.34</v>
      </c>
      <c r="H80" s="399">
        <f t="shared" si="5"/>
        <v>1815.34</v>
      </c>
      <c r="I80" s="399">
        <f t="shared" si="5"/>
        <v>1815.34</v>
      </c>
      <c r="J80" s="399">
        <v>450</v>
      </c>
      <c r="K80" s="401">
        <f t="shared" si="6"/>
        <v>30320.91</v>
      </c>
      <c r="N80" s="189" t="s">
        <v>165</v>
      </c>
      <c r="O80" s="189"/>
      <c r="P80" s="203"/>
      <c r="Q80" s="189"/>
      <c r="R80" s="203">
        <v>12.82</v>
      </c>
    </row>
    <row r="81" spans="2:18">
      <c r="B81" s="667" t="s">
        <v>142</v>
      </c>
      <c r="C81" s="668"/>
      <c r="D81" s="400">
        <v>1952.08</v>
      </c>
      <c r="E81" s="400">
        <v>39.64</v>
      </c>
      <c r="F81" s="400">
        <v>196.83</v>
      </c>
      <c r="G81" s="400">
        <f t="shared" si="5"/>
        <v>1952.08</v>
      </c>
      <c r="H81" s="400">
        <f t="shared" si="5"/>
        <v>1952.08</v>
      </c>
      <c r="I81" s="400">
        <f t="shared" si="5"/>
        <v>1952.08</v>
      </c>
      <c r="J81" s="400">
        <v>450</v>
      </c>
      <c r="K81" s="402">
        <f t="shared" si="6"/>
        <v>32372.010000000002</v>
      </c>
      <c r="N81" s="13" t="s">
        <v>166</v>
      </c>
      <c r="P81" s="196"/>
      <c r="R81" s="196">
        <v>64.11</v>
      </c>
    </row>
    <row r="82" spans="2:18">
      <c r="B82" s="669" t="s">
        <v>143</v>
      </c>
      <c r="C82" s="670"/>
      <c r="D82" s="399">
        <v>2238.89</v>
      </c>
      <c r="E82" s="399">
        <v>39.64</v>
      </c>
      <c r="F82" s="399">
        <v>196.83</v>
      </c>
      <c r="G82" s="399">
        <f t="shared" si="5"/>
        <v>2238.89</v>
      </c>
      <c r="H82" s="399">
        <f t="shared" si="5"/>
        <v>2238.89</v>
      </c>
      <c r="I82" s="399">
        <f t="shared" si="5"/>
        <v>2238.89</v>
      </c>
      <c r="J82" s="399">
        <v>450</v>
      </c>
      <c r="K82" s="401">
        <f t="shared" si="6"/>
        <v>36674.160000000003</v>
      </c>
      <c r="N82" s="493" t="s">
        <v>1082</v>
      </c>
      <c r="O82" s="493"/>
      <c r="P82" s="493"/>
      <c r="Q82" s="493"/>
      <c r="R82" s="494">
        <f>E62*E60+F62*F60</f>
        <v>2640.81</v>
      </c>
    </row>
    <row r="83" spans="2:18">
      <c r="B83" s="10"/>
      <c r="C83" s="10"/>
      <c r="D83" s="201"/>
      <c r="E83" s="9"/>
      <c r="F83" s="9"/>
      <c r="G83" s="200"/>
      <c r="H83" s="200"/>
      <c r="I83" s="200"/>
      <c r="J83" s="197"/>
      <c r="K83" s="197"/>
      <c r="P83" s="192"/>
      <c r="Q83" s="192"/>
      <c r="R83" s="192"/>
    </row>
    <row r="84" spans="2:18">
      <c r="P84" s="192"/>
      <c r="Q84" s="192"/>
      <c r="R84" s="192"/>
    </row>
    <row r="85" spans="2:18" ht="14.4" customHeight="1">
      <c r="B85" s="665" t="s">
        <v>890</v>
      </c>
      <c r="C85" s="665"/>
      <c r="D85" s="665"/>
      <c r="E85" s="665"/>
      <c r="F85" s="665"/>
      <c r="G85" s="665"/>
      <c r="H85" s="665"/>
      <c r="I85" s="665"/>
      <c r="J85" s="665"/>
      <c r="K85" s="665"/>
      <c r="L85" s="665"/>
      <c r="M85" s="665"/>
      <c r="N85" s="665"/>
      <c r="O85" s="665"/>
      <c r="P85" s="665"/>
      <c r="Q85" s="665"/>
      <c r="R85" s="665"/>
    </row>
    <row r="86" spans="2:18" ht="4.8" customHeight="1">
      <c r="B86" s="195"/>
      <c r="C86" s="195"/>
      <c r="F86" s="196"/>
      <c r="G86" s="197"/>
      <c r="H86" s="197"/>
      <c r="P86" s="192"/>
      <c r="Q86" s="192"/>
      <c r="R86" s="192"/>
    </row>
    <row r="87" spans="2:18">
      <c r="B87" s="195"/>
      <c r="C87" s="195"/>
      <c r="D87" s="198">
        <v>12</v>
      </c>
      <c r="E87" s="198">
        <v>12</v>
      </c>
      <c r="F87" s="198">
        <v>11</v>
      </c>
      <c r="G87" s="198"/>
      <c r="H87" s="198"/>
      <c r="I87" s="198"/>
      <c r="J87" s="198"/>
      <c r="K87" s="198"/>
    </row>
    <row r="88" spans="2:18">
      <c r="B88" s="671" t="s">
        <v>125</v>
      </c>
      <c r="C88" s="671"/>
      <c r="D88" s="238" t="s">
        <v>126</v>
      </c>
      <c r="E88" s="239" t="s">
        <v>897</v>
      </c>
      <c r="F88" s="239" t="s">
        <v>127</v>
      </c>
      <c r="G88" s="239" t="s">
        <v>898</v>
      </c>
      <c r="H88" s="239" t="s">
        <v>899</v>
      </c>
      <c r="I88" s="239" t="s">
        <v>182</v>
      </c>
      <c r="J88" s="398" t="s">
        <v>900</v>
      </c>
      <c r="K88" s="398"/>
      <c r="N88" s="666">
        <v>2029</v>
      </c>
      <c r="O88" s="666"/>
      <c r="P88" s="666"/>
      <c r="Q88" s="666"/>
      <c r="R88" s="666"/>
    </row>
    <row r="89" spans="2:18">
      <c r="B89" s="669" t="s">
        <v>902</v>
      </c>
      <c r="C89" s="670"/>
      <c r="D89" s="399">
        <v>1054.3900000000001</v>
      </c>
      <c r="E89" s="399">
        <v>41.42</v>
      </c>
      <c r="F89" s="399">
        <v>226.97</v>
      </c>
      <c r="G89" s="399">
        <f t="shared" ref="G89:I107" si="7">$D89</f>
        <v>1054.3900000000001</v>
      </c>
      <c r="H89" s="399">
        <f t="shared" si="7"/>
        <v>1054.3900000000001</v>
      </c>
      <c r="I89" s="399">
        <f t="shared" si="7"/>
        <v>1054.3900000000001</v>
      </c>
      <c r="J89" s="399">
        <v>900</v>
      </c>
      <c r="K89" s="401">
        <f t="shared" ref="K89:K109" si="8">D89*$D$6+E89*$E$6+F89*$F$6+G89+H89+I89+J89</f>
        <v>19709.560000000001</v>
      </c>
      <c r="N89" s="190" t="s">
        <v>145</v>
      </c>
      <c r="O89" s="190"/>
      <c r="P89" s="190" t="s">
        <v>146</v>
      </c>
      <c r="Q89" s="190" t="s">
        <v>147</v>
      </c>
      <c r="R89" s="190" t="s">
        <v>148</v>
      </c>
    </row>
    <row r="90" spans="2:18">
      <c r="B90" s="667" t="s">
        <v>117</v>
      </c>
      <c r="C90" s="668"/>
      <c r="D90" s="400">
        <v>1284.17</v>
      </c>
      <c r="E90" s="400">
        <v>41.42</v>
      </c>
      <c r="F90" s="400">
        <v>226.97</v>
      </c>
      <c r="G90" s="400">
        <f t="shared" si="7"/>
        <v>1284.17</v>
      </c>
      <c r="H90" s="400">
        <f t="shared" si="7"/>
        <v>1284.17</v>
      </c>
      <c r="I90" s="400">
        <f t="shared" si="7"/>
        <v>1284.17</v>
      </c>
      <c r="J90" s="400">
        <v>900</v>
      </c>
      <c r="K90" s="402">
        <f t="shared" si="8"/>
        <v>23156.259999999995</v>
      </c>
      <c r="N90" s="189" t="s">
        <v>149</v>
      </c>
      <c r="O90" s="189"/>
      <c r="P90" s="191">
        <v>30.22</v>
      </c>
      <c r="Q90" s="191">
        <v>32.72</v>
      </c>
      <c r="R90" s="191">
        <v>41.71</v>
      </c>
    </row>
    <row r="91" spans="2:18">
      <c r="B91" s="669" t="s">
        <v>118</v>
      </c>
      <c r="C91" s="670"/>
      <c r="D91" s="399">
        <v>1361.06</v>
      </c>
      <c r="E91" s="399">
        <v>41.42</v>
      </c>
      <c r="F91" s="399">
        <v>226.97</v>
      </c>
      <c r="G91" s="399">
        <f t="shared" si="7"/>
        <v>1361.06</v>
      </c>
      <c r="H91" s="399">
        <f t="shared" si="7"/>
        <v>1361.06</v>
      </c>
      <c r="I91" s="399">
        <f t="shared" si="7"/>
        <v>1361.06</v>
      </c>
      <c r="J91" s="399">
        <v>900</v>
      </c>
      <c r="K91" s="401">
        <f t="shared" si="8"/>
        <v>24309.610000000004</v>
      </c>
      <c r="N91" s="13" t="s">
        <v>150</v>
      </c>
      <c r="P91" s="192">
        <v>83.75</v>
      </c>
      <c r="Q91" s="192">
        <v>90.44</v>
      </c>
      <c r="R91" s="192">
        <v>114.73</v>
      </c>
    </row>
    <row r="92" spans="2:18">
      <c r="B92" s="667" t="s">
        <v>128</v>
      </c>
      <c r="C92" s="668"/>
      <c r="D92" s="400">
        <v>1361.08</v>
      </c>
      <c r="E92" s="400">
        <v>41.42</v>
      </c>
      <c r="F92" s="400">
        <v>226.97</v>
      </c>
      <c r="G92" s="400">
        <f t="shared" si="7"/>
        <v>1361.08</v>
      </c>
      <c r="H92" s="400">
        <f t="shared" si="7"/>
        <v>1361.08</v>
      </c>
      <c r="I92" s="400">
        <f t="shared" si="7"/>
        <v>1361.08</v>
      </c>
      <c r="J92" s="400">
        <v>900</v>
      </c>
      <c r="K92" s="402">
        <f t="shared" si="8"/>
        <v>24309.910000000003</v>
      </c>
      <c r="N92" s="189" t="s">
        <v>151</v>
      </c>
      <c r="O92" s="189"/>
      <c r="P92" s="191">
        <v>146.58000000000001</v>
      </c>
      <c r="Q92" s="191">
        <v>158.19</v>
      </c>
      <c r="R92" s="191">
        <v>200.77</v>
      </c>
    </row>
    <row r="93" spans="2:18">
      <c r="B93" s="669" t="s">
        <v>129</v>
      </c>
      <c r="C93" s="670"/>
      <c r="D93" s="399">
        <v>1413.18</v>
      </c>
      <c r="E93" s="399">
        <v>41.42</v>
      </c>
      <c r="F93" s="399">
        <v>226.97</v>
      </c>
      <c r="G93" s="399">
        <f t="shared" si="7"/>
        <v>1413.18</v>
      </c>
      <c r="H93" s="399">
        <f t="shared" si="7"/>
        <v>1413.18</v>
      </c>
      <c r="I93" s="399">
        <f t="shared" si="7"/>
        <v>1413.18</v>
      </c>
      <c r="J93" s="399">
        <v>900</v>
      </c>
      <c r="K93" s="401">
        <f t="shared" si="8"/>
        <v>25091.410000000003</v>
      </c>
      <c r="N93" s="13" t="s">
        <v>152</v>
      </c>
      <c r="P93" s="192">
        <v>209.47</v>
      </c>
      <c r="Q93" s="192">
        <v>225.97</v>
      </c>
      <c r="R93" s="192">
        <v>286.8</v>
      </c>
    </row>
    <row r="94" spans="2:18">
      <c r="B94" s="667" t="s">
        <v>119</v>
      </c>
      <c r="C94" s="668"/>
      <c r="D94" s="400">
        <v>1421</v>
      </c>
      <c r="E94" s="400">
        <v>41.42</v>
      </c>
      <c r="F94" s="400">
        <v>226.97</v>
      </c>
      <c r="G94" s="400">
        <f t="shared" si="7"/>
        <v>1421</v>
      </c>
      <c r="H94" s="400">
        <f t="shared" si="7"/>
        <v>1421</v>
      </c>
      <c r="I94" s="400">
        <f t="shared" si="7"/>
        <v>1421</v>
      </c>
      <c r="J94" s="400">
        <v>900</v>
      </c>
      <c r="K94" s="402">
        <f t="shared" si="8"/>
        <v>25208.71</v>
      </c>
      <c r="N94" s="189" t="s">
        <v>153</v>
      </c>
      <c r="O94" s="189"/>
      <c r="P94" s="191">
        <v>262.45999999999998</v>
      </c>
      <c r="Q94" s="191">
        <v>284.06</v>
      </c>
      <c r="R94" s="191">
        <v>361.26</v>
      </c>
    </row>
    <row r="95" spans="2:18">
      <c r="B95" s="669" t="s">
        <v>130</v>
      </c>
      <c r="C95" s="670"/>
      <c r="D95" s="399">
        <v>1497.89</v>
      </c>
      <c r="E95" s="399">
        <v>41.42</v>
      </c>
      <c r="F95" s="399">
        <v>226.97</v>
      </c>
      <c r="G95" s="399">
        <f t="shared" si="7"/>
        <v>1497.89</v>
      </c>
      <c r="H95" s="399">
        <f t="shared" si="7"/>
        <v>1497.89</v>
      </c>
      <c r="I95" s="399">
        <f t="shared" si="7"/>
        <v>1497.89</v>
      </c>
      <c r="J95" s="399">
        <v>900</v>
      </c>
      <c r="K95" s="401">
        <f t="shared" si="8"/>
        <v>26362.059999999998</v>
      </c>
      <c r="N95" s="13" t="s">
        <v>154</v>
      </c>
      <c r="P95" s="192">
        <v>315.52999999999997</v>
      </c>
      <c r="Q95" s="192">
        <v>350.95</v>
      </c>
      <c r="R95" s="192">
        <v>434.73</v>
      </c>
    </row>
    <row r="96" spans="2:18">
      <c r="B96" s="667" t="s">
        <v>131</v>
      </c>
      <c r="C96" s="668"/>
      <c r="D96" s="400">
        <v>1497.89</v>
      </c>
      <c r="E96" s="400">
        <v>41.42</v>
      </c>
      <c r="F96" s="400">
        <v>226.97</v>
      </c>
      <c r="G96" s="400">
        <f t="shared" si="7"/>
        <v>1497.89</v>
      </c>
      <c r="H96" s="400">
        <f t="shared" si="7"/>
        <v>1497.89</v>
      </c>
      <c r="I96" s="400">
        <f t="shared" si="7"/>
        <v>1497.89</v>
      </c>
      <c r="J96" s="400">
        <v>900</v>
      </c>
      <c r="K96" s="402">
        <f t="shared" si="8"/>
        <v>26362.059999999998</v>
      </c>
      <c r="N96" s="189" t="s">
        <v>155</v>
      </c>
      <c r="O96" s="189"/>
      <c r="P96" s="191">
        <v>335.08</v>
      </c>
      <c r="Q96" s="191">
        <v>361.56</v>
      </c>
      <c r="R96" s="191">
        <v>458.83</v>
      </c>
    </row>
    <row r="97" spans="2:18">
      <c r="B97" s="669" t="s">
        <v>132</v>
      </c>
      <c r="C97" s="670"/>
      <c r="D97" s="399">
        <v>1568.28</v>
      </c>
      <c r="E97" s="399">
        <v>41.42</v>
      </c>
      <c r="F97" s="399">
        <v>226.97</v>
      </c>
      <c r="G97" s="399">
        <f t="shared" si="7"/>
        <v>1568.28</v>
      </c>
      <c r="H97" s="399">
        <f t="shared" si="7"/>
        <v>1568.28</v>
      </c>
      <c r="I97" s="399">
        <f t="shared" si="7"/>
        <v>1568.28</v>
      </c>
      <c r="J97" s="399">
        <v>900</v>
      </c>
      <c r="K97" s="401">
        <f t="shared" si="8"/>
        <v>27417.909999999996</v>
      </c>
      <c r="N97" s="13" t="s">
        <v>156</v>
      </c>
      <c r="P97" s="192">
        <v>409.69</v>
      </c>
      <c r="Q97" s="192">
        <v>441.82</v>
      </c>
      <c r="R97" s="192">
        <v>527.49</v>
      </c>
    </row>
    <row r="98" spans="2:18">
      <c r="B98" s="667" t="s">
        <v>133</v>
      </c>
      <c r="C98" s="668"/>
      <c r="D98" s="400">
        <v>1568.28</v>
      </c>
      <c r="E98" s="400">
        <v>41.42</v>
      </c>
      <c r="F98" s="400">
        <v>226.97</v>
      </c>
      <c r="G98" s="400">
        <f t="shared" si="7"/>
        <v>1568.28</v>
      </c>
      <c r="H98" s="400">
        <f t="shared" si="7"/>
        <v>1568.28</v>
      </c>
      <c r="I98" s="400">
        <f t="shared" si="7"/>
        <v>1568.28</v>
      </c>
      <c r="J98" s="400">
        <v>900</v>
      </c>
      <c r="K98" s="402">
        <f t="shared" si="8"/>
        <v>27417.909999999996</v>
      </c>
      <c r="N98" s="189" t="s">
        <v>157</v>
      </c>
      <c r="O98" s="189"/>
      <c r="P98" s="191">
        <v>460.46</v>
      </c>
      <c r="Q98" s="191">
        <v>496.66</v>
      </c>
      <c r="R98" s="191">
        <v>635.80999999999995</v>
      </c>
    </row>
    <row r="99" spans="2:18">
      <c r="B99" s="669" t="s">
        <v>134</v>
      </c>
      <c r="C99" s="670"/>
      <c r="D99" s="399">
        <v>1054.3900000000001</v>
      </c>
      <c r="E99" s="399">
        <v>41.42</v>
      </c>
      <c r="F99" s="399">
        <v>226.97</v>
      </c>
      <c r="G99" s="399">
        <f t="shared" si="7"/>
        <v>1054.3900000000001</v>
      </c>
      <c r="H99" s="399">
        <f t="shared" si="7"/>
        <v>1054.3900000000001</v>
      </c>
      <c r="I99" s="399">
        <f t="shared" si="7"/>
        <v>1054.3900000000001</v>
      </c>
      <c r="J99" s="399">
        <v>900</v>
      </c>
      <c r="K99" s="401">
        <f t="shared" si="8"/>
        <v>19709.560000000001</v>
      </c>
      <c r="N99" s="13" t="s">
        <v>158</v>
      </c>
      <c r="P99" s="192">
        <v>502.58</v>
      </c>
      <c r="Q99" s="192">
        <v>542.37</v>
      </c>
      <c r="R99" s="192">
        <v>688.35</v>
      </c>
    </row>
    <row r="100" spans="2:18">
      <c r="B100" s="667" t="s">
        <v>135</v>
      </c>
      <c r="C100" s="668"/>
      <c r="D100" s="400">
        <v>1054.3900000000001</v>
      </c>
      <c r="E100" s="400">
        <v>41.42</v>
      </c>
      <c r="F100" s="400">
        <v>226.97</v>
      </c>
      <c r="G100" s="400">
        <f t="shared" si="7"/>
        <v>1054.3900000000001</v>
      </c>
      <c r="H100" s="400">
        <f t="shared" si="7"/>
        <v>1054.3900000000001</v>
      </c>
      <c r="I100" s="400">
        <f t="shared" si="7"/>
        <v>1054.3900000000001</v>
      </c>
      <c r="J100" s="400">
        <v>900</v>
      </c>
      <c r="K100" s="402">
        <f t="shared" si="8"/>
        <v>19709.560000000001</v>
      </c>
    </row>
    <row r="101" spans="2:18">
      <c r="B101" s="669" t="s">
        <v>136</v>
      </c>
      <c r="C101" s="670"/>
      <c r="D101" s="399">
        <v>1426.23</v>
      </c>
      <c r="E101" s="399">
        <v>41.42</v>
      </c>
      <c r="F101" s="399">
        <v>226.97</v>
      </c>
      <c r="G101" s="399">
        <f t="shared" si="7"/>
        <v>1426.23</v>
      </c>
      <c r="H101" s="399">
        <f t="shared" si="7"/>
        <v>1426.23</v>
      </c>
      <c r="I101" s="399">
        <f t="shared" si="7"/>
        <v>1426.23</v>
      </c>
      <c r="J101" s="399">
        <v>900</v>
      </c>
      <c r="K101" s="401">
        <f t="shared" si="8"/>
        <v>25287.16</v>
      </c>
      <c r="N101" s="666" t="s">
        <v>894</v>
      </c>
      <c r="O101" s="666"/>
      <c r="P101" s="666"/>
      <c r="Q101" s="666"/>
      <c r="R101" s="666"/>
    </row>
    <row r="102" spans="2:18">
      <c r="B102" s="667" t="s">
        <v>122</v>
      </c>
      <c r="C102" s="668"/>
      <c r="D102" s="400">
        <v>1491.76</v>
      </c>
      <c r="E102" s="400">
        <v>41.42</v>
      </c>
      <c r="F102" s="400">
        <v>226.97</v>
      </c>
      <c r="G102" s="400">
        <f t="shared" si="7"/>
        <v>1491.76</v>
      </c>
      <c r="H102" s="400">
        <f t="shared" si="7"/>
        <v>1491.76</v>
      </c>
      <c r="I102" s="400">
        <f t="shared" si="7"/>
        <v>1491.76</v>
      </c>
      <c r="J102" s="400">
        <v>900</v>
      </c>
      <c r="K102" s="402">
        <f t="shared" si="8"/>
        <v>26270.109999999997</v>
      </c>
      <c r="N102" s="189" t="s">
        <v>161</v>
      </c>
      <c r="O102" s="189"/>
      <c r="P102" s="203"/>
      <c r="Q102" s="189"/>
      <c r="R102" s="203">
        <v>16.22</v>
      </c>
    </row>
    <row r="103" spans="2:18">
      <c r="B103" s="669" t="s">
        <v>137</v>
      </c>
      <c r="C103" s="670"/>
      <c r="D103" s="399">
        <v>1609.96</v>
      </c>
      <c r="E103" s="399">
        <v>41.42</v>
      </c>
      <c r="F103" s="399">
        <v>226.97</v>
      </c>
      <c r="G103" s="399">
        <f t="shared" si="7"/>
        <v>1609.96</v>
      </c>
      <c r="H103" s="399">
        <f t="shared" si="7"/>
        <v>1609.96</v>
      </c>
      <c r="I103" s="399">
        <f t="shared" si="7"/>
        <v>1609.96</v>
      </c>
      <c r="J103" s="399">
        <v>900</v>
      </c>
      <c r="K103" s="401">
        <f t="shared" si="8"/>
        <v>28043.11</v>
      </c>
      <c r="N103" s="13" t="s">
        <v>162</v>
      </c>
      <c r="P103" s="196"/>
      <c r="R103" s="196">
        <v>2.16</v>
      </c>
    </row>
    <row r="104" spans="2:18">
      <c r="B104" s="667" t="s">
        <v>138</v>
      </c>
      <c r="C104" s="668"/>
      <c r="D104" s="400">
        <v>1715.52</v>
      </c>
      <c r="E104" s="400">
        <v>41.42</v>
      </c>
      <c r="F104" s="400">
        <v>226.97</v>
      </c>
      <c r="G104" s="400">
        <f t="shared" si="7"/>
        <v>1715.52</v>
      </c>
      <c r="H104" s="400">
        <f t="shared" si="7"/>
        <v>1715.52</v>
      </c>
      <c r="I104" s="400">
        <f t="shared" si="7"/>
        <v>1715.52</v>
      </c>
      <c r="J104" s="400">
        <v>900</v>
      </c>
      <c r="K104" s="402">
        <f t="shared" si="8"/>
        <v>29626.51</v>
      </c>
      <c r="N104" s="189" t="s">
        <v>163</v>
      </c>
      <c r="O104" s="189"/>
      <c r="P104" s="203"/>
      <c r="Q104" s="189"/>
      <c r="R104" s="203">
        <v>1.1100000000000001</v>
      </c>
    </row>
    <row r="105" spans="2:18">
      <c r="B105" s="669" t="s">
        <v>139</v>
      </c>
      <c r="C105" s="670"/>
      <c r="D105" s="399">
        <v>1934.02</v>
      </c>
      <c r="E105" s="399">
        <v>41.42</v>
      </c>
      <c r="F105" s="399">
        <v>226.97</v>
      </c>
      <c r="G105" s="399">
        <f t="shared" si="7"/>
        <v>1934.02</v>
      </c>
      <c r="H105" s="399">
        <f t="shared" si="7"/>
        <v>1934.02</v>
      </c>
      <c r="I105" s="399">
        <f t="shared" si="7"/>
        <v>1934.02</v>
      </c>
      <c r="J105" s="399">
        <v>900</v>
      </c>
      <c r="K105" s="401">
        <f t="shared" si="8"/>
        <v>32904.009999999995</v>
      </c>
    </row>
    <row r="106" spans="2:18">
      <c r="B106" s="667" t="s">
        <v>140</v>
      </c>
      <c r="C106" s="668"/>
      <c r="D106" s="400">
        <v>1725.99</v>
      </c>
      <c r="E106" s="400">
        <v>41.42</v>
      </c>
      <c r="F106" s="400">
        <v>226.97</v>
      </c>
      <c r="G106" s="400">
        <f t="shared" si="7"/>
        <v>1725.99</v>
      </c>
      <c r="H106" s="400">
        <f t="shared" si="7"/>
        <v>1725.99</v>
      </c>
      <c r="I106" s="400">
        <f t="shared" si="7"/>
        <v>1725.99</v>
      </c>
      <c r="J106" s="400">
        <v>900</v>
      </c>
      <c r="K106" s="402">
        <f t="shared" si="8"/>
        <v>29783.560000000009</v>
      </c>
      <c r="N106" s="666" t="s">
        <v>164</v>
      </c>
      <c r="O106" s="666"/>
      <c r="P106" s="666"/>
      <c r="Q106" s="666"/>
      <c r="R106" s="666"/>
    </row>
    <row r="107" spans="2:18">
      <c r="B107" s="669" t="s">
        <v>141</v>
      </c>
      <c r="C107" s="670"/>
      <c r="D107" s="399">
        <v>1882.77</v>
      </c>
      <c r="E107" s="399">
        <v>41.42</v>
      </c>
      <c r="F107" s="399">
        <v>226.97</v>
      </c>
      <c r="G107" s="399">
        <f t="shared" si="7"/>
        <v>1882.77</v>
      </c>
      <c r="H107" s="399">
        <f t="shared" si="7"/>
        <v>1882.77</v>
      </c>
      <c r="I107" s="399">
        <f t="shared" si="7"/>
        <v>1882.77</v>
      </c>
      <c r="J107" s="399">
        <v>900</v>
      </c>
      <c r="K107" s="401">
        <f t="shared" si="8"/>
        <v>32135.26</v>
      </c>
      <c r="N107" s="189" t="s">
        <v>165</v>
      </c>
      <c r="O107" s="189"/>
      <c r="P107" s="203"/>
      <c r="Q107" s="189"/>
      <c r="R107" s="203">
        <v>13.4</v>
      </c>
    </row>
    <row r="108" spans="2:18">
      <c r="B108" s="667" t="s">
        <v>142</v>
      </c>
      <c r="C108" s="668"/>
      <c r="D108" s="400">
        <v>2025.66</v>
      </c>
      <c r="E108" s="400">
        <v>41.42</v>
      </c>
      <c r="F108" s="400">
        <v>226.97</v>
      </c>
      <c r="G108" s="400">
        <f t="shared" ref="G108:I109" si="9">$D108</f>
        <v>2025.66</v>
      </c>
      <c r="H108" s="400">
        <f t="shared" si="9"/>
        <v>2025.66</v>
      </c>
      <c r="I108" s="400">
        <f t="shared" si="9"/>
        <v>2025.66</v>
      </c>
      <c r="J108" s="400">
        <v>900</v>
      </c>
      <c r="K108" s="402">
        <f t="shared" si="8"/>
        <v>34278.610000000008</v>
      </c>
      <c r="N108" s="13" t="s">
        <v>166</v>
      </c>
      <c r="P108" s="196"/>
      <c r="R108" s="196">
        <v>66.989999999999995</v>
      </c>
    </row>
    <row r="109" spans="2:18">
      <c r="B109" s="669" t="s">
        <v>143</v>
      </c>
      <c r="C109" s="670"/>
      <c r="D109" s="399">
        <v>2325.38</v>
      </c>
      <c r="E109" s="399">
        <v>41.42</v>
      </c>
      <c r="F109" s="399">
        <v>226.97</v>
      </c>
      <c r="G109" s="399">
        <f t="shared" si="9"/>
        <v>2325.38</v>
      </c>
      <c r="H109" s="399">
        <f t="shared" si="9"/>
        <v>2325.38</v>
      </c>
      <c r="I109" s="399">
        <f t="shared" si="9"/>
        <v>2325.38</v>
      </c>
      <c r="J109" s="399">
        <v>900</v>
      </c>
      <c r="K109" s="401">
        <f t="shared" si="8"/>
        <v>38774.409999999996</v>
      </c>
      <c r="N109" s="493" t="s">
        <v>1082</v>
      </c>
      <c r="O109" s="493"/>
      <c r="P109" s="493"/>
      <c r="Q109" s="493"/>
      <c r="R109" s="494">
        <f>E89*E87+F89*F87</f>
        <v>2993.71</v>
      </c>
    </row>
    <row r="110" spans="2:18">
      <c r="B110" s="10"/>
      <c r="C110" s="10"/>
      <c r="D110" s="201"/>
      <c r="E110" s="9"/>
      <c r="F110" s="9"/>
      <c r="G110" s="200"/>
      <c r="H110" s="200"/>
      <c r="I110" s="200"/>
      <c r="J110" s="197"/>
      <c r="K110" s="197"/>
    </row>
    <row r="111" spans="2:18" ht="12.75" customHeight="1">
      <c r="B111" s="195"/>
      <c r="C111" s="195"/>
      <c r="F111" s="196"/>
      <c r="G111" s="197"/>
      <c r="H111" s="197"/>
    </row>
    <row r="112" spans="2:18" ht="14.4" customHeight="1">
      <c r="B112" s="665" t="s">
        <v>891</v>
      </c>
      <c r="C112" s="665"/>
      <c r="D112" s="665"/>
      <c r="E112" s="665"/>
      <c r="F112" s="665"/>
      <c r="G112" s="665"/>
      <c r="H112" s="665"/>
      <c r="I112" s="665"/>
      <c r="J112" s="665"/>
      <c r="K112" s="665"/>
      <c r="L112" s="665"/>
      <c r="M112" s="665"/>
      <c r="N112" s="665"/>
      <c r="O112" s="665"/>
      <c r="P112" s="665"/>
      <c r="Q112" s="665"/>
      <c r="R112" s="665"/>
    </row>
    <row r="113" spans="2:19" ht="6.6" customHeight="1">
      <c r="B113" s="195"/>
      <c r="C113" s="195"/>
      <c r="F113" s="196"/>
      <c r="G113" s="197"/>
      <c r="H113" s="197"/>
    </row>
    <row r="114" spans="2:19">
      <c r="B114" s="195"/>
      <c r="C114" s="195"/>
      <c r="D114" s="198">
        <v>12</v>
      </c>
      <c r="E114" s="198">
        <v>12</v>
      </c>
      <c r="F114" s="198">
        <v>11</v>
      </c>
      <c r="G114" s="198"/>
      <c r="H114" s="198"/>
      <c r="I114" s="198"/>
      <c r="J114" s="198"/>
      <c r="K114" s="198"/>
    </row>
    <row r="115" spans="2:19">
      <c r="B115" s="671" t="s">
        <v>125</v>
      </c>
      <c r="C115" s="671"/>
      <c r="D115" s="238" t="s">
        <v>126</v>
      </c>
      <c r="E115" s="239" t="s">
        <v>897</v>
      </c>
      <c r="F115" s="239" t="s">
        <v>127</v>
      </c>
      <c r="G115" s="239" t="s">
        <v>898</v>
      </c>
      <c r="H115" s="239" t="s">
        <v>899</v>
      </c>
      <c r="I115" s="239" t="s">
        <v>182</v>
      </c>
      <c r="J115" s="398" t="s">
        <v>900</v>
      </c>
      <c r="K115" s="398"/>
      <c r="N115" s="666">
        <v>2030</v>
      </c>
      <c r="O115" s="666"/>
      <c r="P115" s="666"/>
      <c r="Q115" s="666"/>
      <c r="R115" s="666"/>
    </row>
    <row r="116" spans="2:19">
      <c r="B116" s="669" t="s">
        <v>902</v>
      </c>
      <c r="C116" s="670"/>
      <c r="D116" s="399">
        <v>1093.08</v>
      </c>
      <c r="E116" s="399">
        <v>43.49</v>
      </c>
      <c r="F116" s="399">
        <v>261.54000000000002</v>
      </c>
      <c r="G116" s="399">
        <f t="shared" ref="G116:I136" si="10">$D116</f>
        <v>1093.08</v>
      </c>
      <c r="H116" s="399">
        <f t="shared" si="10"/>
        <v>1093.08</v>
      </c>
      <c r="I116" s="399">
        <f t="shared" si="10"/>
        <v>1093.08</v>
      </c>
      <c r="J116" s="399">
        <v>900</v>
      </c>
      <c r="K116" s="401">
        <f t="shared" ref="K116:K136" si="11">D116*$D$6+E116*$E$6+F116*$F$6+G116+H116+I116+J116</f>
        <v>20695.020000000004</v>
      </c>
      <c r="N116" s="190" t="s">
        <v>145</v>
      </c>
      <c r="O116" s="190"/>
      <c r="P116" s="190" t="s">
        <v>146</v>
      </c>
      <c r="Q116" s="190" t="s">
        <v>147</v>
      </c>
      <c r="R116" s="190" t="s">
        <v>148</v>
      </c>
    </row>
    <row r="117" spans="2:19">
      <c r="B117" s="667" t="s">
        <v>117</v>
      </c>
      <c r="C117" s="668"/>
      <c r="D117" s="400">
        <v>1334.35</v>
      </c>
      <c r="E117" s="400">
        <v>43.49</v>
      </c>
      <c r="F117" s="400">
        <v>261.54000000000002</v>
      </c>
      <c r="G117" s="400">
        <f t="shared" si="10"/>
        <v>1334.35</v>
      </c>
      <c r="H117" s="400">
        <f t="shared" si="10"/>
        <v>1334.35</v>
      </c>
      <c r="I117" s="400">
        <f t="shared" si="10"/>
        <v>1334.35</v>
      </c>
      <c r="J117" s="400">
        <v>900</v>
      </c>
      <c r="K117" s="402">
        <f t="shared" si="11"/>
        <v>24314.069999999992</v>
      </c>
      <c r="N117" s="189" t="s">
        <v>149</v>
      </c>
      <c r="O117" s="189"/>
      <c r="P117" s="191">
        <v>31.73</v>
      </c>
      <c r="Q117" s="191">
        <v>34.36</v>
      </c>
      <c r="R117" s="191">
        <v>43.79</v>
      </c>
    </row>
    <row r="118" spans="2:19">
      <c r="B118" s="669" t="s">
        <v>118</v>
      </c>
      <c r="C118" s="670"/>
      <c r="D118" s="399">
        <v>1415.08</v>
      </c>
      <c r="E118" s="399">
        <v>43.49</v>
      </c>
      <c r="F118" s="399">
        <v>261.54000000000002</v>
      </c>
      <c r="G118" s="399">
        <f t="shared" si="10"/>
        <v>1415.08</v>
      </c>
      <c r="H118" s="399">
        <f t="shared" si="10"/>
        <v>1415.08</v>
      </c>
      <c r="I118" s="399">
        <f t="shared" si="10"/>
        <v>1415.08</v>
      </c>
      <c r="J118" s="399">
        <v>900</v>
      </c>
      <c r="K118" s="401">
        <f t="shared" si="11"/>
        <v>25525.020000000004</v>
      </c>
      <c r="N118" s="13" t="s">
        <v>150</v>
      </c>
      <c r="P118" s="192">
        <v>87.94</v>
      </c>
      <c r="Q118" s="192">
        <v>94.97</v>
      </c>
      <c r="R118" s="192">
        <v>120.46</v>
      </c>
    </row>
    <row r="119" spans="2:19">
      <c r="B119" s="667" t="s">
        <v>128</v>
      </c>
      <c r="C119" s="668"/>
      <c r="D119" s="400">
        <v>1415.11</v>
      </c>
      <c r="E119" s="400">
        <v>43.49</v>
      </c>
      <c r="F119" s="400">
        <v>261.54000000000002</v>
      </c>
      <c r="G119" s="400">
        <f t="shared" si="10"/>
        <v>1415.11</v>
      </c>
      <c r="H119" s="400">
        <f t="shared" si="10"/>
        <v>1415.11</v>
      </c>
      <c r="I119" s="400">
        <f t="shared" si="10"/>
        <v>1415.11</v>
      </c>
      <c r="J119" s="400">
        <v>900</v>
      </c>
      <c r="K119" s="402">
        <f t="shared" si="11"/>
        <v>25525.47</v>
      </c>
      <c r="N119" s="189" t="s">
        <v>151</v>
      </c>
      <c r="O119" s="189"/>
      <c r="P119" s="191">
        <v>153.91</v>
      </c>
      <c r="Q119" s="191">
        <v>166.1</v>
      </c>
      <c r="R119" s="191">
        <v>210.81</v>
      </c>
      <c r="S119" s="185"/>
    </row>
    <row r="120" spans="2:19">
      <c r="B120" s="669" t="s">
        <v>129</v>
      </c>
      <c r="C120" s="670"/>
      <c r="D120" s="399">
        <v>1469.81</v>
      </c>
      <c r="E120" s="399">
        <v>43.49</v>
      </c>
      <c r="F120" s="399">
        <v>261.54000000000002</v>
      </c>
      <c r="G120" s="399">
        <f t="shared" si="10"/>
        <v>1469.81</v>
      </c>
      <c r="H120" s="399">
        <f t="shared" si="10"/>
        <v>1469.81</v>
      </c>
      <c r="I120" s="399">
        <f t="shared" si="10"/>
        <v>1469.81</v>
      </c>
      <c r="J120" s="399">
        <v>900</v>
      </c>
      <c r="K120" s="401">
        <f t="shared" si="11"/>
        <v>26345.970000000005</v>
      </c>
      <c r="N120" s="13" t="s">
        <v>152</v>
      </c>
      <c r="P120" s="192">
        <v>219.94</v>
      </c>
      <c r="Q120" s="192">
        <v>237.27</v>
      </c>
      <c r="R120" s="192">
        <v>301.14</v>
      </c>
    </row>
    <row r="121" spans="2:19">
      <c r="B121" s="667" t="s">
        <v>119</v>
      </c>
      <c r="C121" s="668"/>
      <c r="D121" s="400">
        <v>1478.02</v>
      </c>
      <c r="E121" s="400">
        <v>43.49</v>
      </c>
      <c r="F121" s="400">
        <v>261.54000000000002</v>
      </c>
      <c r="G121" s="400">
        <f t="shared" si="10"/>
        <v>1478.02</v>
      </c>
      <c r="H121" s="400">
        <f t="shared" si="10"/>
        <v>1478.02</v>
      </c>
      <c r="I121" s="400">
        <f t="shared" si="10"/>
        <v>1478.02</v>
      </c>
      <c r="J121" s="400">
        <v>900</v>
      </c>
      <c r="K121" s="402">
        <f t="shared" si="11"/>
        <v>26469.119999999999</v>
      </c>
      <c r="N121" s="189" t="s">
        <v>153</v>
      </c>
      <c r="O121" s="189"/>
      <c r="P121" s="191">
        <v>275.58999999999997</v>
      </c>
      <c r="Q121" s="191">
        <v>298.27</v>
      </c>
      <c r="R121" s="191">
        <v>379.32</v>
      </c>
    </row>
    <row r="122" spans="2:19">
      <c r="B122" s="669" t="s">
        <v>130</v>
      </c>
      <c r="C122" s="670"/>
      <c r="D122" s="399">
        <v>1558.75</v>
      </c>
      <c r="E122" s="399">
        <v>43.49</v>
      </c>
      <c r="F122" s="399">
        <v>261.54000000000002</v>
      </c>
      <c r="G122" s="399">
        <f t="shared" si="10"/>
        <v>1558.75</v>
      </c>
      <c r="H122" s="399">
        <f t="shared" si="10"/>
        <v>1558.75</v>
      </c>
      <c r="I122" s="399">
        <f t="shared" si="10"/>
        <v>1558.75</v>
      </c>
      <c r="J122" s="399">
        <v>900</v>
      </c>
      <c r="K122" s="401">
        <f t="shared" si="11"/>
        <v>27680.07</v>
      </c>
      <c r="N122" s="13" t="s">
        <v>154</v>
      </c>
      <c r="P122" s="192">
        <v>331.31</v>
      </c>
      <c r="Q122" s="192">
        <v>368.5</v>
      </c>
      <c r="R122" s="192">
        <v>456.47</v>
      </c>
    </row>
    <row r="123" spans="2:19">
      <c r="B123" s="667" t="s">
        <v>131</v>
      </c>
      <c r="C123" s="668"/>
      <c r="D123" s="400">
        <v>1558.75</v>
      </c>
      <c r="E123" s="400">
        <v>43.49</v>
      </c>
      <c r="F123" s="400">
        <v>261.54000000000002</v>
      </c>
      <c r="G123" s="400">
        <f t="shared" si="10"/>
        <v>1558.75</v>
      </c>
      <c r="H123" s="400">
        <f t="shared" si="10"/>
        <v>1558.75</v>
      </c>
      <c r="I123" s="400">
        <f t="shared" si="10"/>
        <v>1558.75</v>
      </c>
      <c r="J123" s="400">
        <v>900</v>
      </c>
      <c r="K123" s="402">
        <f t="shared" si="11"/>
        <v>27680.07</v>
      </c>
      <c r="N123" s="189" t="s">
        <v>155</v>
      </c>
      <c r="O123" s="189"/>
      <c r="P123" s="191">
        <v>351.83</v>
      </c>
      <c r="Q123" s="191">
        <v>379.64</v>
      </c>
      <c r="R123" s="191">
        <v>481.77</v>
      </c>
    </row>
    <row r="124" spans="2:19">
      <c r="B124" s="669" t="s">
        <v>132</v>
      </c>
      <c r="C124" s="670"/>
      <c r="D124" s="399">
        <v>1632.66</v>
      </c>
      <c r="E124" s="399">
        <v>43.49</v>
      </c>
      <c r="F124" s="399">
        <v>261.54000000000002</v>
      </c>
      <c r="G124" s="399">
        <f t="shared" si="10"/>
        <v>1632.66</v>
      </c>
      <c r="H124" s="399">
        <f t="shared" si="10"/>
        <v>1632.66</v>
      </c>
      <c r="I124" s="399">
        <f t="shared" si="10"/>
        <v>1632.66</v>
      </c>
      <c r="J124" s="399">
        <v>900</v>
      </c>
      <c r="K124" s="401">
        <f t="shared" si="11"/>
        <v>28788.720000000001</v>
      </c>
      <c r="N124" s="13" t="s">
        <v>156</v>
      </c>
      <c r="P124" s="192">
        <v>430.17</v>
      </c>
      <c r="Q124" s="192">
        <v>463.91</v>
      </c>
      <c r="R124" s="192">
        <v>553.87</v>
      </c>
    </row>
    <row r="125" spans="2:19">
      <c r="B125" s="667" t="s">
        <v>133</v>
      </c>
      <c r="C125" s="668"/>
      <c r="D125" s="400">
        <v>1632.66</v>
      </c>
      <c r="E125" s="400">
        <v>43.49</v>
      </c>
      <c r="F125" s="400">
        <v>261.54000000000002</v>
      </c>
      <c r="G125" s="400">
        <f t="shared" si="10"/>
        <v>1632.66</v>
      </c>
      <c r="H125" s="400">
        <f t="shared" si="10"/>
        <v>1632.66</v>
      </c>
      <c r="I125" s="400">
        <f t="shared" si="10"/>
        <v>1632.66</v>
      </c>
      <c r="J125" s="400">
        <v>900</v>
      </c>
      <c r="K125" s="402">
        <f t="shared" si="11"/>
        <v>28788.720000000001</v>
      </c>
      <c r="N125" s="189" t="s">
        <v>157</v>
      </c>
      <c r="O125" s="189"/>
      <c r="P125" s="191">
        <v>483.49</v>
      </c>
      <c r="Q125" s="191">
        <v>521.49</v>
      </c>
      <c r="R125" s="191">
        <v>667.6</v>
      </c>
    </row>
    <row r="126" spans="2:19">
      <c r="B126" s="669" t="s">
        <v>134</v>
      </c>
      <c r="C126" s="670"/>
      <c r="D126" s="399">
        <v>1093.08</v>
      </c>
      <c r="E126" s="399">
        <v>43.49</v>
      </c>
      <c r="F126" s="399">
        <v>261.54000000000002</v>
      </c>
      <c r="G126" s="399">
        <f t="shared" si="10"/>
        <v>1093.08</v>
      </c>
      <c r="H126" s="399">
        <f t="shared" si="10"/>
        <v>1093.08</v>
      </c>
      <c r="I126" s="399">
        <f t="shared" si="10"/>
        <v>1093.08</v>
      </c>
      <c r="J126" s="399">
        <v>900</v>
      </c>
      <c r="K126" s="401">
        <f t="shared" si="11"/>
        <v>20695.020000000004</v>
      </c>
      <c r="N126" s="13" t="s">
        <v>158</v>
      </c>
      <c r="P126" s="192">
        <v>527.70000000000005</v>
      </c>
      <c r="Q126" s="192">
        <v>569.49</v>
      </c>
      <c r="R126" s="192">
        <v>722.77</v>
      </c>
    </row>
    <row r="127" spans="2:19">
      <c r="B127" s="667" t="s">
        <v>135</v>
      </c>
      <c r="C127" s="668"/>
      <c r="D127" s="400">
        <v>1093.08</v>
      </c>
      <c r="E127" s="400">
        <v>43.49</v>
      </c>
      <c r="F127" s="400">
        <v>261.54000000000002</v>
      </c>
      <c r="G127" s="400">
        <f t="shared" si="10"/>
        <v>1093.08</v>
      </c>
      <c r="H127" s="400">
        <f t="shared" si="10"/>
        <v>1093.08</v>
      </c>
      <c r="I127" s="400">
        <f t="shared" si="10"/>
        <v>1093.08</v>
      </c>
      <c r="J127" s="400">
        <v>900</v>
      </c>
      <c r="K127" s="402">
        <f t="shared" si="11"/>
        <v>20695.020000000004</v>
      </c>
    </row>
    <row r="128" spans="2:19">
      <c r="B128" s="669" t="s">
        <v>136</v>
      </c>
      <c r="C128" s="670"/>
      <c r="D128" s="399">
        <v>1483.51</v>
      </c>
      <c r="E128" s="399">
        <v>43.49</v>
      </c>
      <c r="F128" s="399">
        <v>261.54000000000002</v>
      </c>
      <c r="G128" s="399">
        <f t="shared" si="10"/>
        <v>1483.51</v>
      </c>
      <c r="H128" s="399">
        <f t="shared" si="10"/>
        <v>1483.51</v>
      </c>
      <c r="I128" s="399">
        <f t="shared" si="10"/>
        <v>1483.51</v>
      </c>
      <c r="J128" s="399">
        <v>900</v>
      </c>
      <c r="K128" s="401">
        <f t="shared" si="11"/>
        <v>26551.469999999994</v>
      </c>
      <c r="N128" s="666" t="s">
        <v>894</v>
      </c>
      <c r="O128" s="666"/>
      <c r="P128" s="666"/>
      <c r="Q128" s="666"/>
      <c r="R128" s="666"/>
    </row>
    <row r="129" spans="2:18">
      <c r="B129" s="667" t="s">
        <v>122</v>
      </c>
      <c r="C129" s="668"/>
      <c r="D129" s="400">
        <v>1552.32</v>
      </c>
      <c r="E129" s="400">
        <v>43.49</v>
      </c>
      <c r="F129" s="400">
        <v>261.54000000000002</v>
      </c>
      <c r="G129" s="400">
        <f t="shared" si="10"/>
        <v>1552.32</v>
      </c>
      <c r="H129" s="400">
        <f t="shared" si="10"/>
        <v>1552.32</v>
      </c>
      <c r="I129" s="400">
        <f t="shared" si="10"/>
        <v>1552.32</v>
      </c>
      <c r="J129" s="400">
        <v>900</v>
      </c>
      <c r="K129" s="402">
        <f t="shared" si="11"/>
        <v>27583.62</v>
      </c>
      <c r="N129" s="189" t="s">
        <v>161</v>
      </c>
      <c r="O129" s="189"/>
      <c r="P129" s="203"/>
      <c r="Q129" s="189"/>
      <c r="R129" s="203">
        <v>17.03</v>
      </c>
    </row>
    <row r="130" spans="2:18">
      <c r="B130" s="669" t="s">
        <v>137</v>
      </c>
      <c r="C130" s="670"/>
      <c r="D130" s="399">
        <v>1676.43</v>
      </c>
      <c r="E130" s="399">
        <v>43.49</v>
      </c>
      <c r="F130" s="399">
        <v>261.54000000000002</v>
      </c>
      <c r="G130" s="399">
        <f t="shared" si="10"/>
        <v>1676.43</v>
      </c>
      <c r="H130" s="399">
        <f t="shared" si="10"/>
        <v>1676.43</v>
      </c>
      <c r="I130" s="399">
        <f t="shared" si="10"/>
        <v>1676.43</v>
      </c>
      <c r="J130" s="399">
        <v>900</v>
      </c>
      <c r="K130" s="401">
        <f t="shared" si="11"/>
        <v>29445.27</v>
      </c>
      <c r="N130" s="13" t="s">
        <v>162</v>
      </c>
      <c r="P130" s="196"/>
      <c r="R130" s="196">
        <v>2.27</v>
      </c>
    </row>
    <row r="131" spans="2:18">
      <c r="B131" s="667" t="s">
        <v>138</v>
      </c>
      <c r="C131" s="668"/>
      <c r="D131" s="400">
        <v>1787.26</v>
      </c>
      <c r="E131" s="400">
        <v>43.49</v>
      </c>
      <c r="F131" s="400">
        <v>261.54000000000002</v>
      </c>
      <c r="G131" s="400">
        <f t="shared" si="10"/>
        <v>1787.26</v>
      </c>
      <c r="H131" s="400">
        <f t="shared" si="10"/>
        <v>1787.26</v>
      </c>
      <c r="I131" s="400">
        <f t="shared" si="10"/>
        <v>1787.26</v>
      </c>
      <c r="J131" s="400">
        <v>900</v>
      </c>
      <c r="K131" s="402">
        <f t="shared" si="11"/>
        <v>31107.719999999994</v>
      </c>
      <c r="N131" s="189" t="s">
        <v>163</v>
      </c>
      <c r="O131" s="189"/>
      <c r="P131" s="203"/>
      <c r="Q131" s="189"/>
      <c r="R131" s="203">
        <v>1.17</v>
      </c>
    </row>
    <row r="132" spans="2:18">
      <c r="B132" s="669" t="s">
        <v>139</v>
      </c>
      <c r="C132" s="670"/>
      <c r="D132" s="399">
        <v>2016.69</v>
      </c>
      <c r="E132" s="399">
        <v>43.49</v>
      </c>
      <c r="F132" s="399">
        <v>261.54000000000002</v>
      </c>
      <c r="G132" s="399">
        <f t="shared" si="10"/>
        <v>2016.69</v>
      </c>
      <c r="H132" s="399">
        <f t="shared" si="10"/>
        <v>2016.69</v>
      </c>
      <c r="I132" s="399">
        <f t="shared" si="10"/>
        <v>2016.69</v>
      </c>
      <c r="J132" s="399">
        <v>900</v>
      </c>
      <c r="K132" s="401">
        <f t="shared" si="11"/>
        <v>34549.17</v>
      </c>
    </row>
    <row r="133" spans="2:18">
      <c r="B133" s="667" t="s">
        <v>140</v>
      </c>
      <c r="C133" s="668"/>
      <c r="D133" s="400">
        <v>1798.26</v>
      </c>
      <c r="E133" s="400">
        <v>43.49</v>
      </c>
      <c r="F133" s="400">
        <v>261.54000000000002</v>
      </c>
      <c r="G133" s="400">
        <f t="shared" si="10"/>
        <v>1798.26</v>
      </c>
      <c r="H133" s="400">
        <f t="shared" si="10"/>
        <v>1798.26</v>
      </c>
      <c r="I133" s="400">
        <f t="shared" si="10"/>
        <v>1798.26</v>
      </c>
      <c r="J133" s="400">
        <v>900</v>
      </c>
      <c r="K133" s="402">
        <f t="shared" si="11"/>
        <v>31272.719999999994</v>
      </c>
      <c r="N133" s="666" t="s">
        <v>164</v>
      </c>
      <c r="O133" s="666"/>
      <c r="P133" s="666"/>
      <c r="Q133" s="666"/>
      <c r="R133" s="666"/>
    </row>
    <row r="134" spans="2:18">
      <c r="B134" s="669" t="s">
        <v>141</v>
      </c>
      <c r="C134" s="670"/>
      <c r="D134" s="399">
        <v>1962.88</v>
      </c>
      <c r="E134" s="399">
        <v>43.49</v>
      </c>
      <c r="F134" s="399">
        <v>261.54000000000002</v>
      </c>
      <c r="G134" s="399">
        <f t="shared" si="10"/>
        <v>1962.88</v>
      </c>
      <c r="H134" s="399">
        <f t="shared" si="10"/>
        <v>1962.88</v>
      </c>
      <c r="I134" s="399">
        <f t="shared" si="10"/>
        <v>1962.88</v>
      </c>
      <c r="J134" s="399">
        <v>900</v>
      </c>
      <c r="K134" s="401">
        <f t="shared" si="11"/>
        <v>33742.020000000004</v>
      </c>
      <c r="N134" s="189" t="s">
        <v>165</v>
      </c>
      <c r="O134" s="189"/>
      <c r="P134" s="203"/>
      <c r="Q134" s="189"/>
      <c r="R134" s="203">
        <v>14.07</v>
      </c>
    </row>
    <row r="135" spans="2:18" ht="12.75" customHeight="1">
      <c r="B135" s="667" t="s">
        <v>142</v>
      </c>
      <c r="C135" s="668"/>
      <c r="D135" s="400">
        <v>2112.92</v>
      </c>
      <c r="E135" s="400">
        <v>43.49</v>
      </c>
      <c r="F135" s="400">
        <v>261.54000000000002</v>
      </c>
      <c r="G135" s="400">
        <f t="shared" si="10"/>
        <v>2112.92</v>
      </c>
      <c r="H135" s="400">
        <f t="shared" si="10"/>
        <v>2112.92</v>
      </c>
      <c r="I135" s="400">
        <f t="shared" si="10"/>
        <v>2112.92</v>
      </c>
      <c r="J135" s="400">
        <v>900</v>
      </c>
      <c r="K135" s="402">
        <f t="shared" si="11"/>
        <v>35992.619999999995</v>
      </c>
      <c r="N135" s="13" t="s">
        <v>166</v>
      </c>
      <c r="P135" s="196"/>
      <c r="R135" s="196">
        <v>70.34</v>
      </c>
    </row>
    <row r="136" spans="2:18">
      <c r="B136" s="669" t="s">
        <v>143</v>
      </c>
      <c r="C136" s="670"/>
      <c r="D136" s="399">
        <v>2427.62</v>
      </c>
      <c r="E136" s="399">
        <v>43.49</v>
      </c>
      <c r="F136" s="399">
        <v>261.54000000000002</v>
      </c>
      <c r="G136" s="399">
        <f t="shared" si="10"/>
        <v>2427.62</v>
      </c>
      <c r="H136" s="399">
        <f t="shared" si="10"/>
        <v>2427.62</v>
      </c>
      <c r="I136" s="399">
        <f t="shared" si="10"/>
        <v>2427.62</v>
      </c>
      <c r="J136" s="399">
        <v>900</v>
      </c>
      <c r="K136" s="401">
        <f t="shared" si="11"/>
        <v>40713.120000000003</v>
      </c>
      <c r="N136" s="493" t="s">
        <v>1082</v>
      </c>
      <c r="O136" s="493"/>
      <c r="P136" s="493"/>
      <c r="Q136" s="493"/>
      <c r="R136" s="494">
        <f>E116*E114+F116*F114</f>
        <v>3398.82</v>
      </c>
    </row>
    <row r="137" spans="2:18" ht="15" customHeight="1">
      <c r="B137" s="10"/>
      <c r="C137" s="10"/>
      <c r="D137" s="201"/>
      <c r="E137" s="9"/>
      <c r="F137" s="9"/>
      <c r="G137" s="200"/>
      <c r="H137" s="200"/>
      <c r="I137" s="200"/>
      <c r="J137" s="197"/>
      <c r="K137" s="197"/>
    </row>
    <row r="138" spans="2:18">
      <c r="B138" s="195"/>
      <c r="C138" s="195"/>
      <c r="F138" s="196"/>
      <c r="G138" s="197"/>
      <c r="H138" s="197"/>
    </row>
    <row r="139" spans="2:18" ht="14.4" customHeight="1">
      <c r="B139" s="665" t="s">
        <v>892</v>
      </c>
      <c r="C139" s="665"/>
      <c r="D139" s="665"/>
      <c r="E139" s="665"/>
      <c r="F139" s="665"/>
      <c r="G139" s="665"/>
      <c r="H139" s="665"/>
      <c r="I139" s="665"/>
      <c r="J139" s="665"/>
      <c r="K139" s="665"/>
      <c r="L139" s="665"/>
      <c r="M139" s="665"/>
      <c r="N139" s="665"/>
      <c r="O139" s="665"/>
      <c r="P139" s="665"/>
      <c r="Q139" s="665"/>
      <c r="R139" s="665"/>
    </row>
    <row r="140" spans="2:18" ht="14.4" customHeight="1">
      <c r="B140" s="195"/>
      <c r="C140" s="195"/>
      <c r="F140" s="196"/>
      <c r="G140" s="197"/>
      <c r="H140" s="197"/>
    </row>
    <row r="141" spans="2:18">
      <c r="B141" s="202" t="s">
        <v>159</v>
      </c>
      <c r="C141" s="507">
        <f>'Caracteristicas Contrato'!E20</f>
        <v>0.03</v>
      </c>
      <c r="D141" s="109"/>
      <c r="E141" s="109"/>
      <c r="F141" s="203"/>
      <c r="G141" s="204"/>
      <c r="H141" s="205"/>
      <c r="I141" s="109"/>
      <c r="J141" s="109"/>
      <c r="K141" s="109"/>
      <c r="L141" s="206"/>
    </row>
    <row r="142" spans="2:18">
      <c r="B142" s="195"/>
      <c r="C142" s="198"/>
      <c r="D142" s="198">
        <v>12</v>
      </c>
      <c r="E142" s="198">
        <v>12</v>
      </c>
      <c r="F142" s="198">
        <v>11</v>
      </c>
      <c r="G142" s="198"/>
      <c r="H142" s="198"/>
      <c r="I142" s="198"/>
      <c r="J142" s="198"/>
      <c r="K142" s="198"/>
    </row>
    <row r="143" spans="2:18">
      <c r="B143" s="671" t="s">
        <v>125</v>
      </c>
      <c r="C143" s="671"/>
      <c r="D143" s="238" t="s">
        <v>126</v>
      </c>
      <c r="E143" s="239" t="s">
        <v>897</v>
      </c>
      <c r="F143" s="239" t="s">
        <v>127</v>
      </c>
      <c r="G143" s="239" t="s">
        <v>898</v>
      </c>
      <c r="H143" s="239" t="s">
        <v>899</v>
      </c>
      <c r="I143" s="239" t="s">
        <v>182</v>
      </c>
      <c r="J143" s="398" t="s">
        <v>900</v>
      </c>
      <c r="K143" s="398"/>
      <c r="N143" s="666">
        <v>2031</v>
      </c>
      <c r="O143" s="666"/>
      <c r="P143" s="666"/>
      <c r="Q143" s="666"/>
      <c r="R143" s="666"/>
    </row>
    <row r="144" spans="2:18">
      <c r="B144" s="669" t="s">
        <v>902</v>
      </c>
      <c r="C144" s="670"/>
      <c r="D144" s="399">
        <f>($C$141+1)*D116</f>
        <v>1125.8724</v>
      </c>
      <c r="E144" s="399">
        <f t="shared" ref="E144:F144" si="12">($C$141+1)*E116</f>
        <v>44.794700000000006</v>
      </c>
      <c r="F144" s="399">
        <f t="shared" si="12"/>
        <v>269.38620000000003</v>
      </c>
      <c r="G144" s="399">
        <f t="shared" ref="G144:I164" si="13">$D144</f>
        <v>1125.8724</v>
      </c>
      <c r="H144" s="399">
        <f t="shared" si="13"/>
        <v>1125.8724</v>
      </c>
      <c r="I144" s="399">
        <f t="shared" si="13"/>
        <v>1125.8724</v>
      </c>
      <c r="J144" s="399">
        <v>900</v>
      </c>
      <c r="K144" s="401">
        <f t="shared" ref="K144:K164" si="14">D144*$D$6+E144*$E$6+F144*$F$6+G144+H144+I144+J144</f>
        <v>21288.870600000002</v>
      </c>
      <c r="N144" s="190" t="s">
        <v>145</v>
      </c>
      <c r="O144" s="190"/>
      <c r="P144" s="190" t="s">
        <v>146</v>
      </c>
      <c r="Q144" s="190" t="s">
        <v>147</v>
      </c>
      <c r="R144" s="190" t="s">
        <v>148</v>
      </c>
    </row>
    <row r="145" spans="2:18">
      <c r="B145" s="667" t="s">
        <v>117</v>
      </c>
      <c r="C145" s="668"/>
      <c r="D145" s="400">
        <f t="shared" ref="D145:F164" si="15">($C$141+1)*D117</f>
        <v>1374.3805</v>
      </c>
      <c r="E145" s="400">
        <f t="shared" si="15"/>
        <v>44.794700000000006</v>
      </c>
      <c r="F145" s="400">
        <f t="shared" si="15"/>
        <v>269.38620000000003</v>
      </c>
      <c r="G145" s="400">
        <f t="shared" si="13"/>
        <v>1374.3805</v>
      </c>
      <c r="H145" s="400">
        <f t="shared" si="13"/>
        <v>1374.3805</v>
      </c>
      <c r="I145" s="400">
        <f t="shared" si="13"/>
        <v>1374.3805</v>
      </c>
      <c r="J145" s="400">
        <v>900</v>
      </c>
      <c r="K145" s="402">
        <f t="shared" si="14"/>
        <v>25016.492099999999</v>
      </c>
      <c r="N145" s="189" t="s">
        <v>149</v>
      </c>
      <c r="O145" s="189"/>
      <c r="P145" s="191">
        <f>(1+$C$141)*P117</f>
        <v>32.681899999999999</v>
      </c>
      <c r="Q145" s="191">
        <f t="shared" ref="Q145:R145" si="16">(1+$C$141)*Q117</f>
        <v>35.390799999999999</v>
      </c>
      <c r="R145" s="191">
        <f t="shared" si="16"/>
        <v>45.103700000000003</v>
      </c>
    </row>
    <row r="146" spans="2:18">
      <c r="B146" s="669" t="s">
        <v>118</v>
      </c>
      <c r="C146" s="670"/>
      <c r="D146" s="399">
        <f t="shared" si="15"/>
        <v>1457.5324000000001</v>
      </c>
      <c r="E146" s="399">
        <f t="shared" si="15"/>
        <v>44.794700000000006</v>
      </c>
      <c r="F146" s="399">
        <f t="shared" si="15"/>
        <v>269.38620000000003</v>
      </c>
      <c r="G146" s="399">
        <f t="shared" si="13"/>
        <v>1457.5324000000001</v>
      </c>
      <c r="H146" s="399">
        <f t="shared" si="13"/>
        <v>1457.5324000000001</v>
      </c>
      <c r="I146" s="399">
        <f t="shared" si="13"/>
        <v>1457.5324000000001</v>
      </c>
      <c r="J146" s="399">
        <v>900</v>
      </c>
      <c r="K146" s="401">
        <f t="shared" si="14"/>
        <v>26263.770600000003</v>
      </c>
      <c r="N146" s="13" t="s">
        <v>150</v>
      </c>
      <c r="P146" s="192">
        <f t="shared" ref="P146:R146" si="17">(1+$C$141)*P118</f>
        <v>90.578199999999995</v>
      </c>
      <c r="Q146" s="192">
        <f t="shared" si="17"/>
        <v>97.819100000000006</v>
      </c>
      <c r="R146" s="192">
        <f t="shared" si="17"/>
        <v>124.07379999999999</v>
      </c>
    </row>
    <row r="147" spans="2:18">
      <c r="B147" s="667" t="s">
        <v>128</v>
      </c>
      <c r="C147" s="668"/>
      <c r="D147" s="400">
        <f t="shared" si="15"/>
        <v>1457.5633</v>
      </c>
      <c r="E147" s="400">
        <f t="shared" si="15"/>
        <v>44.794700000000006</v>
      </c>
      <c r="F147" s="400">
        <f t="shared" si="15"/>
        <v>269.38620000000003</v>
      </c>
      <c r="G147" s="400">
        <f t="shared" si="13"/>
        <v>1457.5633</v>
      </c>
      <c r="H147" s="400">
        <f t="shared" si="13"/>
        <v>1457.5633</v>
      </c>
      <c r="I147" s="400">
        <f t="shared" si="13"/>
        <v>1457.5633</v>
      </c>
      <c r="J147" s="400">
        <v>900</v>
      </c>
      <c r="K147" s="402">
        <f t="shared" si="14"/>
        <v>26264.234100000009</v>
      </c>
      <c r="N147" s="189" t="s">
        <v>151</v>
      </c>
      <c r="O147" s="189"/>
      <c r="P147" s="191">
        <f t="shared" ref="P147:R147" si="18">(1+$C$141)*P119</f>
        <v>158.5273</v>
      </c>
      <c r="Q147" s="191">
        <f t="shared" si="18"/>
        <v>171.083</v>
      </c>
      <c r="R147" s="191">
        <f t="shared" si="18"/>
        <v>217.1343</v>
      </c>
    </row>
    <row r="148" spans="2:18">
      <c r="B148" s="669" t="s">
        <v>129</v>
      </c>
      <c r="C148" s="670"/>
      <c r="D148" s="399">
        <f t="shared" si="15"/>
        <v>1513.9042999999999</v>
      </c>
      <c r="E148" s="399">
        <f t="shared" si="15"/>
        <v>44.794700000000006</v>
      </c>
      <c r="F148" s="399">
        <f t="shared" si="15"/>
        <v>269.38620000000003</v>
      </c>
      <c r="G148" s="399">
        <f t="shared" si="13"/>
        <v>1513.9042999999999</v>
      </c>
      <c r="H148" s="399">
        <f t="shared" si="13"/>
        <v>1513.9042999999999</v>
      </c>
      <c r="I148" s="399">
        <f t="shared" si="13"/>
        <v>1513.9042999999999</v>
      </c>
      <c r="J148" s="399">
        <v>900</v>
      </c>
      <c r="K148" s="401">
        <f t="shared" si="14"/>
        <v>27109.349099999996</v>
      </c>
      <c r="N148" s="13" t="s">
        <v>152</v>
      </c>
      <c r="P148" s="192">
        <f t="shared" ref="P148:R148" si="19">(1+$C$141)*P120</f>
        <v>226.53820000000002</v>
      </c>
      <c r="Q148" s="192">
        <f t="shared" si="19"/>
        <v>244.38810000000001</v>
      </c>
      <c r="R148" s="192">
        <f t="shared" si="19"/>
        <v>310.17419999999998</v>
      </c>
    </row>
    <row r="149" spans="2:18">
      <c r="B149" s="667" t="s">
        <v>119</v>
      </c>
      <c r="C149" s="668"/>
      <c r="D149" s="400">
        <f t="shared" si="15"/>
        <v>1522.3606</v>
      </c>
      <c r="E149" s="400">
        <f t="shared" si="15"/>
        <v>44.794700000000006</v>
      </c>
      <c r="F149" s="400">
        <f t="shared" si="15"/>
        <v>269.38620000000003</v>
      </c>
      <c r="G149" s="400">
        <f t="shared" si="13"/>
        <v>1522.3606</v>
      </c>
      <c r="H149" s="400">
        <f t="shared" si="13"/>
        <v>1522.3606</v>
      </c>
      <c r="I149" s="400">
        <f t="shared" si="13"/>
        <v>1522.3606</v>
      </c>
      <c r="J149" s="400">
        <v>900</v>
      </c>
      <c r="K149" s="402">
        <f t="shared" si="14"/>
        <v>27236.193600000002</v>
      </c>
      <c r="N149" s="189" t="s">
        <v>153</v>
      </c>
      <c r="O149" s="189"/>
      <c r="P149" s="191">
        <f t="shared" ref="P149:R149" si="20">(1+$C$141)*P121</f>
        <v>283.85769999999997</v>
      </c>
      <c r="Q149" s="191">
        <f t="shared" si="20"/>
        <v>307.21809999999999</v>
      </c>
      <c r="R149" s="191">
        <f t="shared" si="20"/>
        <v>390.69959999999998</v>
      </c>
    </row>
    <row r="150" spans="2:18">
      <c r="B150" s="669" t="s">
        <v>130</v>
      </c>
      <c r="C150" s="670"/>
      <c r="D150" s="399">
        <f t="shared" si="15"/>
        <v>1605.5125</v>
      </c>
      <c r="E150" s="399">
        <f t="shared" si="15"/>
        <v>44.794700000000006</v>
      </c>
      <c r="F150" s="399">
        <f t="shared" si="15"/>
        <v>269.38620000000003</v>
      </c>
      <c r="G150" s="399">
        <f t="shared" si="13"/>
        <v>1605.5125</v>
      </c>
      <c r="H150" s="399">
        <f t="shared" si="13"/>
        <v>1605.5125</v>
      </c>
      <c r="I150" s="399">
        <f t="shared" si="13"/>
        <v>1605.5125</v>
      </c>
      <c r="J150" s="399">
        <v>900</v>
      </c>
      <c r="K150" s="401">
        <f t="shared" si="14"/>
        <v>28483.472100000006</v>
      </c>
      <c r="N150" s="13" t="s">
        <v>154</v>
      </c>
      <c r="P150" s="192">
        <f t="shared" ref="P150:R150" si="21">(1+$C$141)*P122</f>
        <v>341.24930000000001</v>
      </c>
      <c r="Q150" s="192">
        <f t="shared" si="21"/>
        <v>379.55500000000001</v>
      </c>
      <c r="R150" s="192">
        <f t="shared" si="21"/>
        <v>470.16410000000002</v>
      </c>
    </row>
    <row r="151" spans="2:18">
      <c r="B151" s="667" t="s">
        <v>131</v>
      </c>
      <c r="C151" s="668"/>
      <c r="D151" s="400">
        <f t="shared" si="15"/>
        <v>1605.5125</v>
      </c>
      <c r="E151" s="400">
        <f t="shared" si="15"/>
        <v>44.794700000000006</v>
      </c>
      <c r="F151" s="400">
        <f t="shared" si="15"/>
        <v>269.38620000000003</v>
      </c>
      <c r="G151" s="400">
        <f t="shared" si="13"/>
        <v>1605.5125</v>
      </c>
      <c r="H151" s="400">
        <f t="shared" si="13"/>
        <v>1605.5125</v>
      </c>
      <c r="I151" s="400">
        <f t="shared" si="13"/>
        <v>1605.5125</v>
      </c>
      <c r="J151" s="400">
        <v>900</v>
      </c>
      <c r="K151" s="402">
        <f t="shared" si="14"/>
        <v>28483.472100000006</v>
      </c>
      <c r="N151" s="189" t="s">
        <v>155</v>
      </c>
      <c r="O151" s="189"/>
      <c r="P151" s="191">
        <f t="shared" ref="P151:R151" si="22">(1+$C$141)*P123</f>
        <v>362.38490000000002</v>
      </c>
      <c r="Q151" s="191">
        <f t="shared" si="22"/>
        <v>391.0292</v>
      </c>
      <c r="R151" s="191">
        <f t="shared" si="22"/>
        <v>496.22309999999999</v>
      </c>
    </row>
    <row r="152" spans="2:18">
      <c r="B152" s="669" t="s">
        <v>132</v>
      </c>
      <c r="C152" s="670"/>
      <c r="D152" s="399">
        <f t="shared" si="15"/>
        <v>1681.6398000000002</v>
      </c>
      <c r="E152" s="399">
        <f t="shared" si="15"/>
        <v>44.794700000000006</v>
      </c>
      <c r="F152" s="399">
        <f t="shared" si="15"/>
        <v>269.38620000000003</v>
      </c>
      <c r="G152" s="399">
        <f t="shared" si="13"/>
        <v>1681.6398000000002</v>
      </c>
      <c r="H152" s="399">
        <f t="shared" si="13"/>
        <v>1681.6398000000002</v>
      </c>
      <c r="I152" s="399">
        <f t="shared" si="13"/>
        <v>1681.6398000000002</v>
      </c>
      <c r="J152" s="399">
        <v>900</v>
      </c>
      <c r="K152" s="401">
        <f t="shared" si="14"/>
        <v>29625.381600000008</v>
      </c>
      <c r="N152" s="13" t="s">
        <v>156</v>
      </c>
      <c r="P152" s="192">
        <f t="shared" ref="P152:R152" si="23">(1+$C$141)*P124</f>
        <v>443.07510000000002</v>
      </c>
      <c r="Q152" s="192">
        <f t="shared" si="23"/>
        <v>477.82730000000004</v>
      </c>
      <c r="R152" s="192">
        <f t="shared" si="23"/>
        <v>570.48609999999996</v>
      </c>
    </row>
    <row r="153" spans="2:18">
      <c r="B153" s="667" t="s">
        <v>133</v>
      </c>
      <c r="C153" s="668"/>
      <c r="D153" s="400">
        <f t="shared" si="15"/>
        <v>1681.6398000000002</v>
      </c>
      <c r="E153" s="400">
        <f t="shared" si="15"/>
        <v>44.794700000000006</v>
      </c>
      <c r="F153" s="400">
        <f t="shared" si="15"/>
        <v>269.38620000000003</v>
      </c>
      <c r="G153" s="400">
        <f t="shared" si="13"/>
        <v>1681.6398000000002</v>
      </c>
      <c r="H153" s="400">
        <f t="shared" si="13"/>
        <v>1681.6398000000002</v>
      </c>
      <c r="I153" s="400">
        <f t="shared" si="13"/>
        <v>1681.6398000000002</v>
      </c>
      <c r="J153" s="400">
        <v>900</v>
      </c>
      <c r="K153" s="402">
        <f t="shared" si="14"/>
        <v>29625.381600000008</v>
      </c>
      <c r="N153" s="189" t="s">
        <v>157</v>
      </c>
      <c r="O153" s="189"/>
      <c r="P153" s="191">
        <f t="shared" ref="P153:R153" si="24">(1+$C$141)*P125</f>
        <v>497.99470000000002</v>
      </c>
      <c r="Q153" s="191">
        <f t="shared" si="24"/>
        <v>537.13470000000007</v>
      </c>
      <c r="R153" s="191">
        <f t="shared" si="24"/>
        <v>687.62800000000004</v>
      </c>
    </row>
    <row r="154" spans="2:18">
      <c r="B154" s="669" t="s">
        <v>134</v>
      </c>
      <c r="C154" s="670"/>
      <c r="D154" s="399">
        <f t="shared" si="15"/>
        <v>1125.8724</v>
      </c>
      <c r="E154" s="399">
        <f t="shared" si="15"/>
        <v>44.794700000000006</v>
      </c>
      <c r="F154" s="399">
        <f t="shared" si="15"/>
        <v>269.38620000000003</v>
      </c>
      <c r="G154" s="399">
        <f t="shared" si="13"/>
        <v>1125.8724</v>
      </c>
      <c r="H154" s="399">
        <f t="shared" si="13"/>
        <v>1125.8724</v>
      </c>
      <c r="I154" s="399">
        <f t="shared" si="13"/>
        <v>1125.8724</v>
      </c>
      <c r="J154" s="399">
        <v>900</v>
      </c>
      <c r="K154" s="401">
        <f t="shared" si="14"/>
        <v>21288.870600000002</v>
      </c>
      <c r="N154" s="13" t="s">
        <v>158</v>
      </c>
      <c r="P154" s="192">
        <f t="shared" ref="P154:R154" si="25">(1+$C$141)*P126</f>
        <v>543.53100000000006</v>
      </c>
      <c r="Q154" s="192">
        <f t="shared" si="25"/>
        <v>586.57470000000001</v>
      </c>
      <c r="R154" s="192">
        <f t="shared" si="25"/>
        <v>744.45309999999995</v>
      </c>
    </row>
    <row r="155" spans="2:18">
      <c r="B155" s="667" t="s">
        <v>135</v>
      </c>
      <c r="C155" s="668"/>
      <c r="D155" s="400">
        <f t="shared" si="15"/>
        <v>1125.8724</v>
      </c>
      <c r="E155" s="400">
        <f t="shared" si="15"/>
        <v>44.794700000000006</v>
      </c>
      <c r="F155" s="400">
        <f t="shared" si="15"/>
        <v>269.38620000000003</v>
      </c>
      <c r="G155" s="400">
        <f t="shared" si="13"/>
        <v>1125.8724</v>
      </c>
      <c r="H155" s="400">
        <f t="shared" si="13"/>
        <v>1125.8724</v>
      </c>
      <c r="I155" s="400">
        <f t="shared" si="13"/>
        <v>1125.8724</v>
      </c>
      <c r="J155" s="400">
        <v>900</v>
      </c>
      <c r="K155" s="402">
        <f t="shared" si="14"/>
        <v>21288.870600000002</v>
      </c>
    </row>
    <row r="156" spans="2:18">
      <c r="B156" s="669" t="s">
        <v>136</v>
      </c>
      <c r="C156" s="670"/>
      <c r="D156" s="399">
        <f t="shared" si="15"/>
        <v>1528.0153</v>
      </c>
      <c r="E156" s="399">
        <f t="shared" si="15"/>
        <v>44.794700000000006</v>
      </c>
      <c r="F156" s="399">
        <f t="shared" si="15"/>
        <v>269.38620000000003</v>
      </c>
      <c r="G156" s="399">
        <f t="shared" si="13"/>
        <v>1528.0153</v>
      </c>
      <c r="H156" s="399">
        <f t="shared" si="13"/>
        <v>1528.0153</v>
      </c>
      <c r="I156" s="399">
        <f t="shared" si="13"/>
        <v>1528.0153</v>
      </c>
      <c r="J156" s="399">
        <v>900</v>
      </c>
      <c r="K156" s="401">
        <f t="shared" si="14"/>
        <v>27321.0141</v>
      </c>
      <c r="N156" s="666" t="s">
        <v>894</v>
      </c>
      <c r="O156" s="666"/>
      <c r="P156" s="666"/>
      <c r="Q156" s="666"/>
      <c r="R156" s="666"/>
    </row>
    <row r="157" spans="2:18">
      <c r="B157" s="667" t="s">
        <v>122</v>
      </c>
      <c r="C157" s="668"/>
      <c r="D157" s="400">
        <f t="shared" si="15"/>
        <v>1598.8896</v>
      </c>
      <c r="E157" s="400">
        <f t="shared" si="15"/>
        <v>44.794700000000006</v>
      </c>
      <c r="F157" s="400">
        <f t="shared" si="15"/>
        <v>269.38620000000003</v>
      </c>
      <c r="G157" s="400">
        <f t="shared" si="13"/>
        <v>1598.8896</v>
      </c>
      <c r="H157" s="400">
        <f t="shared" si="13"/>
        <v>1598.8896</v>
      </c>
      <c r="I157" s="400">
        <f t="shared" si="13"/>
        <v>1598.8896</v>
      </c>
      <c r="J157" s="400">
        <v>900</v>
      </c>
      <c r="K157" s="402">
        <f t="shared" si="14"/>
        <v>28384.128599999996</v>
      </c>
      <c r="N157" s="189" t="s">
        <v>161</v>
      </c>
      <c r="O157" s="189"/>
      <c r="P157" s="203"/>
      <c r="Q157" s="189"/>
      <c r="R157" s="203">
        <f>(1+$C$141)*R129</f>
        <v>17.540900000000001</v>
      </c>
    </row>
    <row r="158" spans="2:18">
      <c r="B158" s="669" t="s">
        <v>137</v>
      </c>
      <c r="C158" s="670"/>
      <c r="D158" s="399">
        <f t="shared" si="15"/>
        <v>1726.7229000000002</v>
      </c>
      <c r="E158" s="399">
        <f t="shared" si="15"/>
        <v>44.794700000000006</v>
      </c>
      <c r="F158" s="399">
        <f t="shared" si="15"/>
        <v>269.38620000000003</v>
      </c>
      <c r="G158" s="399">
        <f t="shared" si="13"/>
        <v>1726.7229000000002</v>
      </c>
      <c r="H158" s="399">
        <f t="shared" si="13"/>
        <v>1726.7229000000002</v>
      </c>
      <c r="I158" s="399">
        <f t="shared" si="13"/>
        <v>1726.7229000000002</v>
      </c>
      <c r="J158" s="399">
        <v>900</v>
      </c>
      <c r="K158" s="401">
        <f t="shared" si="14"/>
        <v>30301.628100000005</v>
      </c>
      <c r="N158" s="13" t="s">
        <v>162</v>
      </c>
      <c r="P158" s="196"/>
      <c r="R158" s="196">
        <f t="shared" ref="R158:R159" si="26">(1+$C$141)*R130</f>
        <v>2.3381000000000003</v>
      </c>
    </row>
    <row r="159" spans="2:18">
      <c r="B159" s="667" t="s">
        <v>138</v>
      </c>
      <c r="C159" s="668"/>
      <c r="D159" s="400">
        <f t="shared" si="15"/>
        <v>1840.8778</v>
      </c>
      <c r="E159" s="400">
        <f t="shared" si="15"/>
        <v>44.794700000000006</v>
      </c>
      <c r="F159" s="400">
        <f t="shared" si="15"/>
        <v>269.38620000000003</v>
      </c>
      <c r="G159" s="400">
        <f t="shared" si="13"/>
        <v>1840.8778</v>
      </c>
      <c r="H159" s="400">
        <f t="shared" si="13"/>
        <v>1840.8778</v>
      </c>
      <c r="I159" s="400">
        <f t="shared" si="13"/>
        <v>1840.8778</v>
      </c>
      <c r="J159" s="400">
        <v>900</v>
      </c>
      <c r="K159" s="402">
        <f t="shared" si="14"/>
        <v>32013.951599999997</v>
      </c>
      <c r="N159" s="189" t="s">
        <v>163</v>
      </c>
      <c r="O159" s="189"/>
      <c r="P159" s="203"/>
      <c r="Q159" s="189"/>
      <c r="R159" s="203">
        <f t="shared" si="26"/>
        <v>1.2051000000000001</v>
      </c>
    </row>
    <row r="160" spans="2:18">
      <c r="B160" s="669" t="s">
        <v>139</v>
      </c>
      <c r="C160" s="670"/>
      <c r="D160" s="399">
        <f t="shared" si="15"/>
        <v>2077.1907000000001</v>
      </c>
      <c r="E160" s="399">
        <f t="shared" si="15"/>
        <v>44.794700000000006</v>
      </c>
      <c r="F160" s="399">
        <f t="shared" si="15"/>
        <v>269.38620000000003</v>
      </c>
      <c r="G160" s="399">
        <f t="shared" si="13"/>
        <v>2077.1907000000001</v>
      </c>
      <c r="H160" s="399">
        <f t="shared" si="13"/>
        <v>2077.1907000000001</v>
      </c>
      <c r="I160" s="399">
        <f t="shared" si="13"/>
        <v>2077.1907000000001</v>
      </c>
      <c r="J160" s="399">
        <v>900</v>
      </c>
      <c r="K160" s="401">
        <f t="shared" si="14"/>
        <v>35558.645100000002</v>
      </c>
    </row>
    <row r="161" spans="2:18" ht="12.75" customHeight="1">
      <c r="B161" s="667" t="s">
        <v>140</v>
      </c>
      <c r="C161" s="668"/>
      <c r="D161" s="400">
        <f t="shared" si="15"/>
        <v>1852.2078000000001</v>
      </c>
      <c r="E161" s="400">
        <f t="shared" si="15"/>
        <v>44.794700000000006</v>
      </c>
      <c r="F161" s="400">
        <f t="shared" si="15"/>
        <v>269.38620000000003</v>
      </c>
      <c r="G161" s="400">
        <f t="shared" si="13"/>
        <v>1852.2078000000001</v>
      </c>
      <c r="H161" s="400">
        <f t="shared" si="13"/>
        <v>1852.2078000000001</v>
      </c>
      <c r="I161" s="400">
        <f t="shared" si="13"/>
        <v>1852.2078000000001</v>
      </c>
      <c r="J161" s="400">
        <v>900</v>
      </c>
      <c r="K161" s="402">
        <f t="shared" si="14"/>
        <v>32183.901600000005</v>
      </c>
      <c r="N161" s="666" t="s">
        <v>164</v>
      </c>
      <c r="O161" s="666"/>
      <c r="P161" s="666"/>
      <c r="Q161" s="666"/>
      <c r="R161" s="666"/>
    </row>
    <row r="162" spans="2:18">
      <c r="B162" s="669" t="s">
        <v>141</v>
      </c>
      <c r="C162" s="670"/>
      <c r="D162" s="399">
        <f t="shared" si="15"/>
        <v>2021.7664000000002</v>
      </c>
      <c r="E162" s="399">
        <f t="shared" si="15"/>
        <v>44.794700000000006</v>
      </c>
      <c r="F162" s="399">
        <f t="shared" si="15"/>
        <v>269.38620000000003</v>
      </c>
      <c r="G162" s="399">
        <f t="shared" si="13"/>
        <v>2021.7664000000002</v>
      </c>
      <c r="H162" s="399">
        <f t="shared" si="13"/>
        <v>2021.7664000000002</v>
      </c>
      <c r="I162" s="399">
        <f t="shared" si="13"/>
        <v>2021.7664000000002</v>
      </c>
      <c r="J162" s="399">
        <v>900</v>
      </c>
      <c r="K162" s="401">
        <f t="shared" si="14"/>
        <v>34727.280600000006</v>
      </c>
      <c r="N162" s="189" t="s">
        <v>165</v>
      </c>
      <c r="O162" s="189"/>
      <c r="P162" s="203"/>
      <c r="Q162" s="189"/>
      <c r="R162" s="203">
        <f>(1+$C$141)*R134</f>
        <v>14.492100000000001</v>
      </c>
    </row>
    <row r="163" spans="2:18" s="185" customFormat="1" ht="18.75" customHeight="1">
      <c r="B163" s="667" t="s">
        <v>142</v>
      </c>
      <c r="C163" s="668"/>
      <c r="D163" s="400">
        <f t="shared" si="15"/>
        <v>2176.3076000000001</v>
      </c>
      <c r="E163" s="400">
        <f t="shared" si="15"/>
        <v>44.794700000000006</v>
      </c>
      <c r="F163" s="400">
        <f t="shared" si="15"/>
        <v>269.38620000000003</v>
      </c>
      <c r="G163" s="400">
        <f t="shared" si="13"/>
        <v>2176.3076000000001</v>
      </c>
      <c r="H163" s="400">
        <f t="shared" si="13"/>
        <v>2176.3076000000001</v>
      </c>
      <c r="I163" s="400">
        <f t="shared" si="13"/>
        <v>2176.3076000000001</v>
      </c>
      <c r="J163" s="400">
        <v>900</v>
      </c>
      <c r="K163" s="402">
        <f t="shared" si="14"/>
        <v>37045.3986</v>
      </c>
      <c r="L163" s="15"/>
      <c r="M163" s="13"/>
      <c r="N163" s="13" t="s">
        <v>166</v>
      </c>
      <c r="O163" s="13"/>
      <c r="P163" s="196"/>
      <c r="Q163" s="13"/>
      <c r="R163" s="196">
        <f>(1+$C$141)*R135</f>
        <v>72.450200000000009</v>
      </c>
    </row>
    <row r="164" spans="2:18">
      <c r="B164" s="669" t="s">
        <v>143</v>
      </c>
      <c r="C164" s="670"/>
      <c r="D164" s="399">
        <f t="shared" si="15"/>
        <v>2500.4486000000002</v>
      </c>
      <c r="E164" s="399">
        <f t="shared" si="15"/>
        <v>44.794700000000006</v>
      </c>
      <c r="F164" s="399">
        <f t="shared" si="15"/>
        <v>269.38620000000003</v>
      </c>
      <c r="G164" s="399">
        <f t="shared" si="13"/>
        <v>2500.4486000000002</v>
      </c>
      <c r="H164" s="399">
        <f t="shared" si="13"/>
        <v>2500.4486000000002</v>
      </c>
      <c r="I164" s="399">
        <f t="shared" si="13"/>
        <v>2500.4486000000002</v>
      </c>
      <c r="J164" s="399">
        <v>900</v>
      </c>
      <c r="K164" s="401">
        <f t="shared" si="14"/>
        <v>41907.513600000013</v>
      </c>
      <c r="N164" s="493" t="s">
        <v>1082</v>
      </c>
      <c r="O164" s="493"/>
      <c r="P164" s="493"/>
      <c r="Q164" s="493"/>
      <c r="R164" s="494">
        <f>E144*E142+F144*F142</f>
        <v>3500.7846000000004</v>
      </c>
    </row>
    <row r="165" spans="2:18">
      <c r="B165" s="10"/>
      <c r="C165" s="10"/>
      <c r="D165" s="201"/>
      <c r="E165" s="9"/>
      <c r="F165" s="9"/>
      <c r="G165" s="200"/>
      <c r="H165" s="200"/>
      <c r="I165" s="200"/>
      <c r="J165" s="197"/>
      <c r="K165" s="197"/>
      <c r="M165" s="185"/>
    </row>
    <row r="167" spans="2:18">
      <c r="B167" s="665" t="s">
        <v>893</v>
      </c>
      <c r="C167" s="665"/>
      <c r="D167" s="665"/>
      <c r="E167" s="665"/>
      <c r="F167" s="665"/>
      <c r="G167" s="665"/>
      <c r="H167" s="665"/>
      <c r="I167" s="665"/>
      <c r="J167" s="665"/>
      <c r="K167" s="665"/>
      <c r="L167" s="665"/>
      <c r="M167" s="665"/>
      <c r="N167" s="665"/>
      <c r="O167" s="665"/>
      <c r="P167" s="665"/>
      <c r="Q167" s="665"/>
      <c r="R167" s="665"/>
    </row>
    <row r="168" spans="2:18">
      <c r="B168" s="195"/>
      <c r="C168" s="195"/>
      <c r="F168" s="196"/>
      <c r="G168" s="197"/>
      <c r="H168" s="197"/>
    </row>
    <row r="169" spans="2:18">
      <c r="B169" s="202" t="s">
        <v>159</v>
      </c>
      <c r="C169" s="507">
        <f>'Caracteristicas Contrato'!E22</f>
        <v>0.03</v>
      </c>
      <c r="D169" s="109"/>
      <c r="E169" s="109"/>
      <c r="F169" s="203"/>
      <c r="G169" s="204"/>
      <c r="H169" s="205"/>
      <c r="I169" s="109"/>
      <c r="J169" s="109"/>
      <c r="K169" s="109"/>
      <c r="L169" s="206"/>
    </row>
    <row r="170" spans="2:18">
      <c r="B170" s="195"/>
      <c r="C170" s="195"/>
      <c r="D170" s="198">
        <v>12</v>
      </c>
      <c r="E170" s="198">
        <v>12</v>
      </c>
      <c r="F170" s="198">
        <v>11</v>
      </c>
      <c r="G170" s="198"/>
      <c r="H170" s="198"/>
      <c r="I170" s="198"/>
      <c r="J170" s="198"/>
      <c r="K170" s="198"/>
    </row>
    <row r="171" spans="2:18">
      <c r="B171" s="671" t="s">
        <v>125</v>
      </c>
      <c r="C171" s="671"/>
      <c r="D171" s="238" t="s">
        <v>126</v>
      </c>
      <c r="E171" s="239" t="s">
        <v>897</v>
      </c>
      <c r="F171" s="239" t="s">
        <v>127</v>
      </c>
      <c r="G171" s="239" t="s">
        <v>898</v>
      </c>
      <c r="H171" s="239" t="s">
        <v>899</v>
      </c>
      <c r="I171" s="239" t="s">
        <v>182</v>
      </c>
      <c r="J171" s="398" t="s">
        <v>900</v>
      </c>
      <c r="K171" s="398"/>
      <c r="N171" s="666">
        <v>2032</v>
      </c>
      <c r="O171" s="666"/>
      <c r="P171" s="666"/>
      <c r="Q171" s="666"/>
      <c r="R171" s="666"/>
    </row>
    <row r="172" spans="2:18">
      <c r="B172" s="669" t="s">
        <v>124</v>
      </c>
      <c r="C172" s="670"/>
      <c r="D172" s="399">
        <f>($C$169+1)*D144</f>
        <v>1159.6485720000001</v>
      </c>
      <c r="E172" s="399">
        <f t="shared" ref="E172:F172" si="27">($C$169+1)*E144</f>
        <v>46.138541000000011</v>
      </c>
      <c r="F172" s="399">
        <f t="shared" si="27"/>
        <v>277.46778600000005</v>
      </c>
      <c r="G172" s="399">
        <f t="shared" ref="G172:I192" si="28">$D172</f>
        <v>1159.6485720000001</v>
      </c>
      <c r="H172" s="399">
        <f t="shared" si="28"/>
        <v>1159.6485720000001</v>
      </c>
      <c r="I172" s="399">
        <f t="shared" si="28"/>
        <v>1159.6485720000001</v>
      </c>
      <c r="J172" s="399">
        <v>900</v>
      </c>
      <c r="K172" s="401">
        <f t="shared" ref="K172:K192" si="29">D172*$D$6+E172*$E$6+F172*$F$6+G172+H172+I172+J172</f>
        <v>21900.536717999996</v>
      </c>
      <c r="N172" s="190" t="s">
        <v>145</v>
      </c>
      <c r="O172" s="190"/>
      <c r="P172" s="190" t="s">
        <v>146</v>
      </c>
      <c r="Q172" s="190" t="s">
        <v>147</v>
      </c>
      <c r="R172" s="190" t="s">
        <v>148</v>
      </c>
    </row>
    <row r="173" spans="2:18">
      <c r="B173" s="667" t="s">
        <v>117</v>
      </c>
      <c r="C173" s="668"/>
      <c r="D173" s="400">
        <f t="shared" ref="D173:F173" si="30">($C$169+1)*D145</f>
        <v>1415.611915</v>
      </c>
      <c r="E173" s="400">
        <f t="shared" si="30"/>
        <v>46.138541000000011</v>
      </c>
      <c r="F173" s="400">
        <f t="shared" si="30"/>
        <v>277.46778600000005</v>
      </c>
      <c r="G173" s="400">
        <f t="shared" si="28"/>
        <v>1415.611915</v>
      </c>
      <c r="H173" s="400">
        <f t="shared" si="28"/>
        <v>1415.611915</v>
      </c>
      <c r="I173" s="400">
        <f t="shared" si="28"/>
        <v>1415.611915</v>
      </c>
      <c r="J173" s="400">
        <v>900</v>
      </c>
      <c r="K173" s="402">
        <f t="shared" si="29"/>
        <v>25739.986863000006</v>
      </c>
      <c r="N173" s="189" t="s">
        <v>149</v>
      </c>
      <c r="O173" s="189"/>
      <c r="P173" s="191">
        <f>(1+$C$169)*P145</f>
        <v>33.662357</v>
      </c>
      <c r="Q173" s="191">
        <f>(1+$C$169)*Q145</f>
        <v>36.452523999999997</v>
      </c>
      <c r="R173" s="191">
        <f>(1+$C$169)*R145</f>
        <v>46.456811000000002</v>
      </c>
    </row>
    <row r="174" spans="2:18">
      <c r="B174" s="669" t="s">
        <v>118</v>
      </c>
      <c r="C174" s="670"/>
      <c r="D174" s="399">
        <f t="shared" ref="D174:F174" si="31">($C$169+1)*D146</f>
        <v>1501.258372</v>
      </c>
      <c r="E174" s="399">
        <f t="shared" si="31"/>
        <v>46.138541000000011</v>
      </c>
      <c r="F174" s="399">
        <f t="shared" si="31"/>
        <v>277.46778600000005</v>
      </c>
      <c r="G174" s="399">
        <f t="shared" si="28"/>
        <v>1501.258372</v>
      </c>
      <c r="H174" s="399">
        <f t="shared" si="28"/>
        <v>1501.258372</v>
      </c>
      <c r="I174" s="399">
        <f t="shared" si="28"/>
        <v>1501.258372</v>
      </c>
      <c r="J174" s="399">
        <v>900</v>
      </c>
      <c r="K174" s="401">
        <f t="shared" si="29"/>
        <v>27024.683718</v>
      </c>
      <c r="N174" s="13" t="s">
        <v>150</v>
      </c>
      <c r="P174" s="192">
        <f t="shared" ref="P174:R174" si="32">(1+$C$169)*P146</f>
        <v>93.295546000000002</v>
      </c>
      <c r="Q174" s="192">
        <f t="shared" si="32"/>
        <v>100.75367300000001</v>
      </c>
      <c r="R174" s="192">
        <f t="shared" si="32"/>
        <v>127.796014</v>
      </c>
    </row>
    <row r="175" spans="2:18">
      <c r="B175" s="667" t="s">
        <v>128</v>
      </c>
      <c r="C175" s="668"/>
      <c r="D175" s="400">
        <f t="shared" ref="D175:F175" si="33">($C$169+1)*D147</f>
        <v>1501.290199</v>
      </c>
      <c r="E175" s="400">
        <f t="shared" si="33"/>
        <v>46.138541000000011</v>
      </c>
      <c r="F175" s="400">
        <f t="shared" si="33"/>
        <v>277.46778600000005</v>
      </c>
      <c r="G175" s="400">
        <f t="shared" si="28"/>
        <v>1501.290199</v>
      </c>
      <c r="H175" s="400">
        <f t="shared" si="28"/>
        <v>1501.290199</v>
      </c>
      <c r="I175" s="400">
        <f t="shared" si="28"/>
        <v>1501.290199</v>
      </c>
      <c r="J175" s="400">
        <v>900</v>
      </c>
      <c r="K175" s="402">
        <f t="shared" si="29"/>
        <v>27025.161122999998</v>
      </c>
      <c r="N175" s="189" t="s">
        <v>151</v>
      </c>
      <c r="O175" s="189"/>
      <c r="P175" s="191">
        <f t="shared" ref="P175:R175" si="34">(1+$C$169)*P147</f>
        <v>163.283119</v>
      </c>
      <c r="Q175" s="191">
        <f t="shared" si="34"/>
        <v>176.21549000000002</v>
      </c>
      <c r="R175" s="191">
        <f t="shared" si="34"/>
        <v>223.64832899999999</v>
      </c>
    </row>
    <row r="176" spans="2:18">
      <c r="B176" s="669" t="s">
        <v>129</v>
      </c>
      <c r="C176" s="670"/>
      <c r="D176" s="399">
        <f t="shared" ref="D176:F176" si="35">($C$169+1)*D148</f>
        <v>1559.3214289999999</v>
      </c>
      <c r="E176" s="399">
        <f t="shared" si="35"/>
        <v>46.138541000000011</v>
      </c>
      <c r="F176" s="399">
        <f t="shared" si="35"/>
        <v>277.46778600000005</v>
      </c>
      <c r="G176" s="399">
        <f t="shared" si="28"/>
        <v>1559.3214289999999</v>
      </c>
      <c r="H176" s="399">
        <f t="shared" si="28"/>
        <v>1559.3214289999999</v>
      </c>
      <c r="I176" s="399">
        <f t="shared" si="28"/>
        <v>1559.3214289999999</v>
      </c>
      <c r="J176" s="399">
        <v>900</v>
      </c>
      <c r="K176" s="401">
        <f t="shared" si="29"/>
        <v>27895.629572999998</v>
      </c>
      <c r="N176" s="13" t="s">
        <v>152</v>
      </c>
      <c r="P176" s="192">
        <f t="shared" ref="P176:R176" si="36">(1+$C$169)*P148</f>
        <v>233.33434600000001</v>
      </c>
      <c r="Q176" s="192">
        <f t="shared" si="36"/>
        <v>251.71974300000002</v>
      </c>
      <c r="R176" s="192">
        <f t="shared" si="36"/>
        <v>319.47942599999999</v>
      </c>
    </row>
    <row r="177" spans="2:18">
      <c r="B177" s="667" t="s">
        <v>119</v>
      </c>
      <c r="C177" s="668"/>
      <c r="D177" s="400">
        <f t="shared" ref="D177:F177" si="37">($C$169+1)*D149</f>
        <v>1568.031418</v>
      </c>
      <c r="E177" s="400">
        <f t="shared" si="37"/>
        <v>46.138541000000011</v>
      </c>
      <c r="F177" s="400">
        <f t="shared" si="37"/>
        <v>277.46778600000005</v>
      </c>
      <c r="G177" s="400">
        <f t="shared" si="28"/>
        <v>1568.031418</v>
      </c>
      <c r="H177" s="400">
        <f t="shared" si="28"/>
        <v>1568.031418</v>
      </c>
      <c r="I177" s="400">
        <f t="shared" si="28"/>
        <v>1568.031418</v>
      </c>
      <c r="J177" s="400">
        <v>900</v>
      </c>
      <c r="K177" s="402">
        <f t="shared" si="29"/>
        <v>28026.279407999995</v>
      </c>
      <c r="N177" s="189" t="s">
        <v>153</v>
      </c>
      <c r="O177" s="189"/>
      <c r="P177" s="191">
        <f t="shared" ref="P177:R177" si="38">(1+$C$169)*P149</f>
        <v>292.37343099999998</v>
      </c>
      <c r="Q177" s="191">
        <f t="shared" si="38"/>
        <v>316.43464299999999</v>
      </c>
      <c r="R177" s="191">
        <f t="shared" si="38"/>
        <v>402.42058800000001</v>
      </c>
    </row>
    <row r="178" spans="2:18">
      <c r="B178" s="669" t="s">
        <v>130</v>
      </c>
      <c r="C178" s="670"/>
      <c r="D178" s="399">
        <f t="shared" ref="D178:F178" si="39">($C$169+1)*D150</f>
        <v>1653.6778750000001</v>
      </c>
      <c r="E178" s="399">
        <f t="shared" si="39"/>
        <v>46.138541000000011</v>
      </c>
      <c r="F178" s="399">
        <f t="shared" si="39"/>
        <v>277.46778600000005</v>
      </c>
      <c r="G178" s="399">
        <f t="shared" si="28"/>
        <v>1653.6778750000001</v>
      </c>
      <c r="H178" s="399">
        <f t="shared" si="28"/>
        <v>1653.6778750000001</v>
      </c>
      <c r="I178" s="399">
        <f t="shared" si="28"/>
        <v>1653.6778750000001</v>
      </c>
      <c r="J178" s="399">
        <v>900</v>
      </c>
      <c r="K178" s="401">
        <f t="shared" si="29"/>
        <v>29310.976263000004</v>
      </c>
      <c r="N178" s="13" t="s">
        <v>154</v>
      </c>
      <c r="P178" s="192">
        <f t="shared" ref="P178:R178" si="40">(1+$C$169)*P150</f>
        <v>351.48677900000001</v>
      </c>
      <c r="Q178" s="192">
        <f t="shared" si="40"/>
        <v>390.94165000000004</v>
      </c>
      <c r="R178" s="192">
        <f t="shared" si="40"/>
        <v>484.269023</v>
      </c>
    </row>
    <row r="179" spans="2:18">
      <c r="B179" s="667" t="s">
        <v>131</v>
      </c>
      <c r="C179" s="668"/>
      <c r="D179" s="400">
        <f t="shared" ref="D179:F179" si="41">($C$169+1)*D151</f>
        <v>1653.6778750000001</v>
      </c>
      <c r="E179" s="400">
        <f t="shared" si="41"/>
        <v>46.138541000000011</v>
      </c>
      <c r="F179" s="400">
        <f t="shared" si="41"/>
        <v>277.46778600000005</v>
      </c>
      <c r="G179" s="400">
        <f t="shared" si="28"/>
        <v>1653.6778750000001</v>
      </c>
      <c r="H179" s="400">
        <f t="shared" si="28"/>
        <v>1653.6778750000001</v>
      </c>
      <c r="I179" s="400">
        <f t="shared" si="28"/>
        <v>1653.6778750000001</v>
      </c>
      <c r="J179" s="400">
        <v>900</v>
      </c>
      <c r="K179" s="402">
        <f t="shared" si="29"/>
        <v>29310.976263000004</v>
      </c>
      <c r="N179" s="189" t="s">
        <v>155</v>
      </c>
      <c r="O179" s="189"/>
      <c r="P179" s="191">
        <f t="shared" ref="P179:R179" si="42">(1+$C$169)*P151</f>
        <v>373.25644700000004</v>
      </c>
      <c r="Q179" s="191">
        <f t="shared" si="42"/>
        <v>402.76007600000003</v>
      </c>
      <c r="R179" s="191">
        <f t="shared" si="42"/>
        <v>511.10979300000002</v>
      </c>
    </row>
    <row r="180" spans="2:18">
      <c r="B180" s="669" t="s">
        <v>132</v>
      </c>
      <c r="C180" s="670"/>
      <c r="D180" s="399">
        <f t="shared" ref="D180:F180" si="43">($C$169+1)*D152</f>
        <v>1732.0889940000002</v>
      </c>
      <c r="E180" s="399">
        <f t="shared" si="43"/>
        <v>46.138541000000011</v>
      </c>
      <c r="F180" s="399">
        <f t="shared" si="43"/>
        <v>277.46778600000005</v>
      </c>
      <c r="G180" s="399">
        <f t="shared" si="28"/>
        <v>1732.0889940000002</v>
      </c>
      <c r="H180" s="399">
        <f t="shared" si="28"/>
        <v>1732.0889940000002</v>
      </c>
      <c r="I180" s="399">
        <f t="shared" si="28"/>
        <v>1732.0889940000002</v>
      </c>
      <c r="J180" s="399">
        <v>900</v>
      </c>
      <c r="K180" s="401">
        <f t="shared" si="29"/>
        <v>30487.143048000009</v>
      </c>
      <c r="N180" s="13" t="s">
        <v>156</v>
      </c>
      <c r="P180" s="192">
        <f t="shared" ref="P180:R180" si="44">(1+$C$169)*P152</f>
        <v>456.36735300000004</v>
      </c>
      <c r="Q180" s="192">
        <f t="shared" si="44"/>
        <v>492.16211900000008</v>
      </c>
      <c r="R180" s="192">
        <f t="shared" si="44"/>
        <v>587.600683</v>
      </c>
    </row>
    <row r="181" spans="2:18">
      <c r="B181" s="667" t="s">
        <v>133</v>
      </c>
      <c r="C181" s="668"/>
      <c r="D181" s="400">
        <f t="shared" ref="D181:F181" si="45">($C$169+1)*D153</f>
        <v>1732.0889940000002</v>
      </c>
      <c r="E181" s="400">
        <f t="shared" si="45"/>
        <v>46.138541000000011</v>
      </c>
      <c r="F181" s="400">
        <f t="shared" si="45"/>
        <v>277.46778600000005</v>
      </c>
      <c r="G181" s="400">
        <f t="shared" si="28"/>
        <v>1732.0889940000002</v>
      </c>
      <c r="H181" s="400">
        <f t="shared" si="28"/>
        <v>1732.0889940000002</v>
      </c>
      <c r="I181" s="400">
        <f t="shared" si="28"/>
        <v>1732.0889940000002</v>
      </c>
      <c r="J181" s="400">
        <v>900</v>
      </c>
      <c r="K181" s="402">
        <f t="shared" si="29"/>
        <v>30487.143048000009</v>
      </c>
      <c r="N181" s="189" t="s">
        <v>157</v>
      </c>
      <c r="O181" s="189"/>
      <c r="P181" s="191">
        <f t="shared" ref="P181:R181" si="46">(1+$C$169)*P153</f>
        <v>512.93454100000008</v>
      </c>
      <c r="Q181" s="191">
        <f t="shared" si="46"/>
        <v>553.24874100000011</v>
      </c>
      <c r="R181" s="191">
        <f t="shared" si="46"/>
        <v>708.25684000000001</v>
      </c>
    </row>
    <row r="182" spans="2:18">
      <c r="B182" s="669" t="s">
        <v>134</v>
      </c>
      <c r="C182" s="670"/>
      <c r="D182" s="399">
        <f t="shared" ref="D182:F182" si="47">($C$169+1)*D154</f>
        <v>1159.6485720000001</v>
      </c>
      <c r="E182" s="399">
        <f t="shared" si="47"/>
        <v>46.138541000000011</v>
      </c>
      <c r="F182" s="399">
        <f t="shared" si="47"/>
        <v>277.46778600000005</v>
      </c>
      <c r="G182" s="399">
        <f t="shared" si="28"/>
        <v>1159.6485720000001</v>
      </c>
      <c r="H182" s="399">
        <f t="shared" si="28"/>
        <v>1159.6485720000001</v>
      </c>
      <c r="I182" s="399">
        <f t="shared" si="28"/>
        <v>1159.6485720000001</v>
      </c>
      <c r="J182" s="399">
        <v>900</v>
      </c>
      <c r="K182" s="401">
        <f t="shared" si="29"/>
        <v>21900.536717999996</v>
      </c>
      <c r="N182" s="13" t="s">
        <v>158</v>
      </c>
      <c r="P182" s="192">
        <f t="shared" ref="P182:R182" si="48">(1+$C$169)*P154</f>
        <v>559.83693000000005</v>
      </c>
      <c r="Q182" s="192">
        <f t="shared" si="48"/>
        <v>604.17194100000006</v>
      </c>
      <c r="R182" s="192">
        <f t="shared" si="48"/>
        <v>766.78669300000001</v>
      </c>
    </row>
    <row r="183" spans="2:18">
      <c r="B183" s="667" t="s">
        <v>135</v>
      </c>
      <c r="C183" s="668"/>
      <c r="D183" s="400">
        <f t="shared" ref="D183:F183" si="49">($C$169+1)*D155</f>
        <v>1159.6485720000001</v>
      </c>
      <c r="E183" s="400">
        <f t="shared" si="49"/>
        <v>46.138541000000011</v>
      </c>
      <c r="F183" s="400">
        <f t="shared" si="49"/>
        <v>277.46778600000005</v>
      </c>
      <c r="G183" s="400">
        <f t="shared" si="28"/>
        <v>1159.6485720000001</v>
      </c>
      <c r="H183" s="400">
        <f t="shared" si="28"/>
        <v>1159.6485720000001</v>
      </c>
      <c r="I183" s="400">
        <f t="shared" si="28"/>
        <v>1159.6485720000001</v>
      </c>
      <c r="J183" s="400">
        <v>900</v>
      </c>
      <c r="K183" s="402">
        <f t="shared" si="29"/>
        <v>21900.536717999996</v>
      </c>
    </row>
    <row r="184" spans="2:18">
      <c r="B184" s="669" t="s">
        <v>136</v>
      </c>
      <c r="C184" s="670"/>
      <c r="D184" s="399">
        <f t="shared" ref="D184:F184" si="50">($C$169+1)*D156</f>
        <v>1573.855759</v>
      </c>
      <c r="E184" s="399">
        <f t="shared" si="50"/>
        <v>46.138541000000011</v>
      </c>
      <c r="F184" s="399">
        <f t="shared" si="50"/>
        <v>277.46778600000005</v>
      </c>
      <c r="G184" s="399">
        <f t="shared" si="28"/>
        <v>1573.855759</v>
      </c>
      <c r="H184" s="399">
        <f t="shared" si="28"/>
        <v>1573.855759</v>
      </c>
      <c r="I184" s="399">
        <f t="shared" si="28"/>
        <v>1573.855759</v>
      </c>
      <c r="J184" s="399">
        <v>900</v>
      </c>
      <c r="K184" s="401">
        <f t="shared" si="29"/>
        <v>28113.644522999995</v>
      </c>
      <c r="N184" s="666" t="s">
        <v>894</v>
      </c>
      <c r="O184" s="666"/>
      <c r="P184" s="666"/>
      <c r="Q184" s="666"/>
      <c r="R184" s="666"/>
    </row>
    <row r="185" spans="2:18">
      <c r="B185" s="667" t="s">
        <v>122</v>
      </c>
      <c r="C185" s="668"/>
      <c r="D185" s="400">
        <f t="shared" ref="D185:F185" si="51">($C$169+1)*D157</f>
        <v>1646.8562879999999</v>
      </c>
      <c r="E185" s="400">
        <f t="shared" si="51"/>
        <v>46.138541000000011</v>
      </c>
      <c r="F185" s="400">
        <f t="shared" si="51"/>
        <v>277.46778600000005</v>
      </c>
      <c r="G185" s="400">
        <f t="shared" si="28"/>
        <v>1646.8562879999999</v>
      </c>
      <c r="H185" s="400">
        <f t="shared" si="28"/>
        <v>1646.8562879999999</v>
      </c>
      <c r="I185" s="400">
        <f t="shared" si="28"/>
        <v>1646.8562879999999</v>
      </c>
      <c r="J185" s="400">
        <v>900</v>
      </c>
      <c r="K185" s="402">
        <f t="shared" si="29"/>
        <v>29208.652457999997</v>
      </c>
      <c r="N185" s="189" t="s">
        <v>161</v>
      </c>
      <c r="O185" s="189"/>
      <c r="P185" s="203"/>
      <c r="Q185" s="189"/>
      <c r="R185" s="203">
        <f>(1+$C$169)*R157</f>
        <v>18.067127000000003</v>
      </c>
    </row>
    <row r="186" spans="2:18">
      <c r="B186" s="669" t="s">
        <v>137</v>
      </c>
      <c r="C186" s="670"/>
      <c r="D186" s="399">
        <f t="shared" ref="D186:F186" si="52">($C$169+1)*D158</f>
        <v>1778.5245870000003</v>
      </c>
      <c r="E186" s="399">
        <f t="shared" si="52"/>
        <v>46.138541000000011</v>
      </c>
      <c r="F186" s="399">
        <f t="shared" si="52"/>
        <v>277.46778600000005</v>
      </c>
      <c r="G186" s="399">
        <f t="shared" si="28"/>
        <v>1778.5245870000003</v>
      </c>
      <c r="H186" s="399">
        <f t="shared" si="28"/>
        <v>1778.5245870000003</v>
      </c>
      <c r="I186" s="399">
        <f t="shared" si="28"/>
        <v>1778.5245870000003</v>
      </c>
      <c r="J186" s="399">
        <v>900</v>
      </c>
      <c r="K186" s="401">
        <f t="shared" si="29"/>
        <v>31183.676943000006</v>
      </c>
      <c r="N186" s="13" t="s">
        <v>162</v>
      </c>
      <c r="P186" s="196"/>
      <c r="R186" s="196">
        <f t="shared" ref="R186:R187" si="53">(1+$C$169)*R158</f>
        <v>2.4082430000000006</v>
      </c>
    </row>
    <row r="187" spans="2:18">
      <c r="B187" s="667" t="s">
        <v>138</v>
      </c>
      <c r="C187" s="668"/>
      <c r="D187" s="400">
        <f t="shared" ref="D187:F187" si="54">($C$169+1)*D159</f>
        <v>1896.1041339999999</v>
      </c>
      <c r="E187" s="400">
        <f t="shared" si="54"/>
        <v>46.138541000000011</v>
      </c>
      <c r="F187" s="400">
        <f t="shared" si="54"/>
        <v>277.46778600000005</v>
      </c>
      <c r="G187" s="400">
        <f t="shared" si="28"/>
        <v>1896.1041339999999</v>
      </c>
      <c r="H187" s="400">
        <f t="shared" si="28"/>
        <v>1896.1041339999999</v>
      </c>
      <c r="I187" s="400">
        <f t="shared" si="28"/>
        <v>1896.1041339999999</v>
      </c>
      <c r="J187" s="400">
        <v>900</v>
      </c>
      <c r="K187" s="402">
        <f t="shared" si="29"/>
        <v>32947.370148000002</v>
      </c>
      <c r="N187" s="189" t="s">
        <v>163</v>
      </c>
      <c r="O187" s="189"/>
      <c r="P187" s="203"/>
      <c r="Q187" s="189"/>
      <c r="R187" s="203">
        <f t="shared" si="53"/>
        <v>1.2412530000000002</v>
      </c>
    </row>
    <row r="188" spans="2:18">
      <c r="B188" s="669" t="s">
        <v>139</v>
      </c>
      <c r="C188" s="670"/>
      <c r="D188" s="399">
        <f t="shared" ref="D188:F188" si="55">($C$169+1)*D160</f>
        <v>2139.506421</v>
      </c>
      <c r="E188" s="399">
        <f t="shared" si="55"/>
        <v>46.138541000000011</v>
      </c>
      <c r="F188" s="399">
        <f t="shared" si="55"/>
        <v>277.46778600000005</v>
      </c>
      <c r="G188" s="399">
        <f t="shared" si="28"/>
        <v>2139.506421</v>
      </c>
      <c r="H188" s="399">
        <f t="shared" si="28"/>
        <v>2139.506421</v>
      </c>
      <c r="I188" s="399">
        <f t="shared" si="28"/>
        <v>2139.506421</v>
      </c>
      <c r="J188" s="399">
        <v>900</v>
      </c>
      <c r="K188" s="401">
        <f t="shared" si="29"/>
        <v>36598.404452999996</v>
      </c>
    </row>
    <row r="189" spans="2:18">
      <c r="B189" s="667" t="s">
        <v>140</v>
      </c>
      <c r="C189" s="668"/>
      <c r="D189" s="400">
        <f t="shared" ref="D189:F189" si="56">($C$169+1)*D161</f>
        <v>1907.7740340000003</v>
      </c>
      <c r="E189" s="400">
        <f t="shared" si="56"/>
        <v>46.138541000000011</v>
      </c>
      <c r="F189" s="400">
        <f t="shared" si="56"/>
        <v>277.46778600000005</v>
      </c>
      <c r="G189" s="400">
        <f t="shared" si="28"/>
        <v>1907.7740340000003</v>
      </c>
      <c r="H189" s="400">
        <f t="shared" si="28"/>
        <v>1907.7740340000003</v>
      </c>
      <c r="I189" s="400">
        <f t="shared" si="28"/>
        <v>1907.7740340000003</v>
      </c>
      <c r="J189" s="400">
        <v>900</v>
      </c>
      <c r="K189" s="402">
        <f t="shared" si="29"/>
        <v>33122.418648000006</v>
      </c>
      <c r="N189" s="666" t="s">
        <v>164</v>
      </c>
      <c r="O189" s="666"/>
      <c r="P189" s="666"/>
      <c r="Q189" s="666"/>
      <c r="R189" s="666"/>
    </row>
    <row r="190" spans="2:18">
      <c r="B190" s="669" t="s">
        <v>141</v>
      </c>
      <c r="C190" s="670"/>
      <c r="D190" s="399">
        <f t="shared" ref="D190:F190" si="57">($C$169+1)*D162</f>
        <v>2082.4193920000002</v>
      </c>
      <c r="E190" s="399">
        <f t="shared" si="57"/>
        <v>46.138541000000011</v>
      </c>
      <c r="F190" s="399">
        <f t="shared" si="57"/>
        <v>277.46778600000005</v>
      </c>
      <c r="G190" s="399">
        <f t="shared" si="28"/>
        <v>2082.4193920000002</v>
      </c>
      <c r="H190" s="399">
        <f t="shared" si="28"/>
        <v>2082.4193920000002</v>
      </c>
      <c r="I190" s="399">
        <f t="shared" si="28"/>
        <v>2082.4193920000002</v>
      </c>
      <c r="J190" s="399">
        <v>900</v>
      </c>
      <c r="K190" s="401">
        <f t="shared" si="29"/>
        <v>35742.099018000008</v>
      </c>
      <c r="N190" s="189" t="s">
        <v>165</v>
      </c>
      <c r="O190" s="189"/>
      <c r="P190" s="203"/>
      <c r="Q190" s="189"/>
      <c r="R190" s="203">
        <f>(1+$C$169)*R162</f>
        <v>14.926863000000001</v>
      </c>
    </row>
    <row r="191" spans="2:18">
      <c r="B191" s="667" t="s">
        <v>142</v>
      </c>
      <c r="C191" s="668"/>
      <c r="D191" s="400">
        <f t="shared" ref="D191:F191" si="58">($C$169+1)*D163</f>
        <v>2241.5968280000002</v>
      </c>
      <c r="E191" s="400">
        <f t="shared" si="58"/>
        <v>46.138541000000011</v>
      </c>
      <c r="F191" s="400">
        <f t="shared" si="58"/>
        <v>277.46778600000005</v>
      </c>
      <c r="G191" s="400">
        <f t="shared" si="28"/>
        <v>2241.5968280000002</v>
      </c>
      <c r="H191" s="400">
        <f t="shared" si="28"/>
        <v>2241.5968280000002</v>
      </c>
      <c r="I191" s="400">
        <f t="shared" si="28"/>
        <v>2241.5968280000002</v>
      </c>
      <c r="J191" s="400">
        <v>900</v>
      </c>
      <c r="K191" s="402">
        <f t="shared" si="29"/>
        <v>38129.760558000009</v>
      </c>
      <c r="N191" s="13" t="s">
        <v>166</v>
      </c>
      <c r="P191" s="196"/>
      <c r="R191" s="196"/>
    </row>
    <row r="192" spans="2:18">
      <c r="B192" s="669" t="s">
        <v>143</v>
      </c>
      <c r="C192" s="670"/>
      <c r="D192" s="399">
        <f t="shared" ref="D192:F192" si="59">($C$169+1)*D164</f>
        <v>2575.4620580000001</v>
      </c>
      <c r="E192" s="399">
        <f t="shared" si="59"/>
        <v>46.138541000000011</v>
      </c>
      <c r="F192" s="399">
        <f t="shared" si="59"/>
        <v>277.46778600000005</v>
      </c>
      <c r="G192" s="399">
        <f t="shared" si="28"/>
        <v>2575.4620580000001</v>
      </c>
      <c r="H192" s="399">
        <f t="shared" si="28"/>
        <v>2575.4620580000001</v>
      </c>
      <c r="I192" s="399">
        <f t="shared" si="28"/>
        <v>2575.4620580000001</v>
      </c>
      <c r="J192" s="399">
        <v>900</v>
      </c>
      <c r="K192" s="401">
        <f t="shared" si="29"/>
        <v>43137.73900799999</v>
      </c>
      <c r="N192" s="493" t="s">
        <v>1082</v>
      </c>
      <c r="R192" s="494">
        <f>E172*E170+F172*F170</f>
        <v>3605.8081380000003</v>
      </c>
    </row>
    <row r="193" spans="2:11">
      <c r="B193" s="10"/>
      <c r="C193" s="10"/>
      <c r="D193" s="201"/>
      <c r="E193" s="9"/>
      <c r="F193" s="9"/>
      <c r="G193" s="200"/>
      <c r="H193" s="200"/>
      <c r="I193" s="200"/>
      <c r="J193" s="197"/>
      <c r="K193" s="197"/>
    </row>
    <row r="195" spans="2:11">
      <c r="B195" s="397" t="s">
        <v>160</v>
      </c>
      <c r="C195" s="397"/>
      <c r="D195" s="397"/>
      <c r="E195" s="397"/>
      <c r="F195" s="397"/>
      <c r="G195" s="397"/>
      <c r="H195" s="397"/>
      <c r="I195" s="397"/>
      <c r="J195" s="397"/>
      <c r="K195" s="397"/>
    </row>
    <row r="196" spans="2:11">
      <c r="B196" s="13"/>
      <c r="C196" s="13"/>
      <c r="D196" s="13"/>
      <c r="E196" s="13"/>
    </row>
    <row r="197" spans="2:11">
      <c r="B197" s="666" t="s">
        <v>167</v>
      </c>
      <c r="C197" s="666"/>
      <c r="D197" s="666"/>
      <c r="E197" s="666"/>
      <c r="F197" s="666"/>
      <c r="G197" s="666"/>
      <c r="H197" s="666"/>
      <c r="I197" s="666"/>
      <c r="J197" s="393"/>
      <c r="K197" s="393"/>
    </row>
    <row r="198" spans="2:11">
      <c r="B198" s="393"/>
      <c r="C198" s="393">
        <v>2026</v>
      </c>
      <c r="D198" s="393">
        <v>2027</v>
      </c>
      <c r="E198" s="393">
        <v>2028</v>
      </c>
      <c r="F198" s="393">
        <v>2029</v>
      </c>
      <c r="G198" s="393">
        <v>2030</v>
      </c>
      <c r="H198" s="393">
        <v>2031</v>
      </c>
      <c r="I198" s="393">
        <v>2032</v>
      </c>
      <c r="J198" s="393"/>
      <c r="K198" s="393"/>
    </row>
    <row r="199" spans="2:11">
      <c r="B199" s="189" t="s">
        <v>169</v>
      </c>
      <c r="C199" s="399">
        <v>3500.97</v>
      </c>
      <c r="D199" s="399">
        <v>3623.5</v>
      </c>
      <c r="E199" s="399">
        <v>3768.44</v>
      </c>
      <c r="F199" s="399">
        <v>3938.02</v>
      </c>
      <c r="G199" s="399">
        <v>4134.93</v>
      </c>
      <c r="H199" s="399">
        <f>(1+$C$141)*G199</f>
        <v>4258.9779000000008</v>
      </c>
      <c r="I199" s="399">
        <f>(1+$C$169)*H199</f>
        <v>4386.7472370000005</v>
      </c>
      <c r="J199" s="203"/>
      <c r="K199" s="203"/>
    </row>
    <row r="200" spans="2:11">
      <c r="B200" s="13" t="s">
        <v>170</v>
      </c>
      <c r="C200" s="400">
        <v>3182.7</v>
      </c>
      <c r="D200" s="400">
        <v>3294.09</v>
      </c>
      <c r="E200" s="400">
        <v>3425.86</v>
      </c>
      <c r="F200" s="400">
        <v>3580.02</v>
      </c>
      <c r="G200" s="400">
        <v>3759.02</v>
      </c>
      <c r="H200" s="400">
        <f t="shared" ref="H200" si="60">(1+$C$141)*G200</f>
        <v>3871.7906000000003</v>
      </c>
      <c r="I200" s="400">
        <f t="shared" ref="I200:I203" si="61">(1+$C$169)*H200</f>
        <v>3987.9443180000003</v>
      </c>
      <c r="J200" s="196"/>
      <c r="K200" s="196"/>
    </row>
    <row r="201" spans="2:11">
      <c r="B201" s="189" t="s">
        <v>171</v>
      </c>
      <c r="C201" s="399">
        <v>2811.39</v>
      </c>
      <c r="D201" s="399">
        <v>2909.78</v>
      </c>
      <c r="E201" s="399">
        <v>3026.17</v>
      </c>
      <c r="F201" s="399">
        <v>3162.35</v>
      </c>
      <c r="G201" s="399">
        <v>3320.47</v>
      </c>
      <c r="H201" s="399">
        <f t="shared" ref="H201" si="62">(1+$C$141)*G201</f>
        <v>3420.0841</v>
      </c>
      <c r="I201" s="399">
        <f t="shared" si="61"/>
        <v>3522.6866230000001</v>
      </c>
      <c r="J201" s="203"/>
      <c r="K201" s="203"/>
    </row>
    <row r="202" spans="2:11">
      <c r="B202" s="13" t="s">
        <v>172</v>
      </c>
      <c r="C202" s="400">
        <v>2440.0700000000002</v>
      </c>
      <c r="D202" s="400">
        <v>2525.4699999999998</v>
      </c>
      <c r="E202" s="400">
        <v>2626.49</v>
      </c>
      <c r="F202" s="400">
        <v>2744.68</v>
      </c>
      <c r="G202" s="400">
        <v>2881.92</v>
      </c>
      <c r="H202" s="400">
        <f t="shared" ref="H202" si="63">(1+$C$141)*G202</f>
        <v>2968.3776000000003</v>
      </c>
      <c r="I202" s="400">
        <f t="shared" si="61"/>
        <v>3057.4289280000003</v>
      </c>
      <c r="J202" s="196"/>
      <c r="K202" s="196"/>
    </row>
    <row r="203" spans="2:11">
      <c r="B203" s="189" t="s">
        <v>173</v>
      </c>
      <c r="C203" s="399">
        <v>2121.8000000000002</v>
      </c>
      <c r="D203" s="399">
        <v>2196.06</v>
      </c>
      <c r="E203" s="399">
        <v>2283.91</v>
      </c>
      <c r="F203" s="399">
        <v>2386.6799999999998</v>
      </c>
      <c r="G203" s="399">
        <v>2506.02</v>
      </c>
      <c r="H203" s="399">
        <f t="shared" ref="H203" si="64">(1+$C$141)*G203</f>
        <v>2581.2006000000001</v>
      </c>
      <c r="I203" s="399">
        <f t="shared" si="61"/>
        <v>2658.636618</v>
      </c>
      <c r="J203" s="203"/>
      <c r="K203" s="203"/>
    </row>
    <row r="204" spans="2:11">
      <c r="B204" s="13"/>
      <c r="C204" s="13"/>
      <c r="D204" s="13"/>
      <c r="E204" s="13"/>
    </row>
    <row r="205" spans="2:11">
      <c r="B205" s="666" t="s">
        <v>174</v>
      </c>
      <c r="C205" s="666"/>
      <c r="D205" s="666"/>
      <c r="E205" s="666"/>
      <c r="F205" s="666"/>
      <c r="G205" s="666"/>
      <c r="H205" s="666"/>
      <c r="I205" s="666"/>
      <c r="J205" s="393"/>
      <c r="K205" s="393"/>
    </row>
    <row r="206" spans="2:11">
      <c r="B206" s="393"/>
      <c r="C206" s="393">
        <v>2026</v>
      </c>
      <c r="D206" s="393">
        <v>2027</v>
      </c>
      <c r="E206" s="393">
        <v>2028</v>
      </c>
      <c r="F206" s="393">
        <v>2029</v>
      </c>
      <c r="G206" s="393">
        <v>2030</v>
      </c>
      <c r="H206" s="393">
        <v>2031</v>
      </c>
      <c r="I206" s="393">
        <v>2032</v>
      </c>
      <c r="J206" s="393"/>
      <c r="K206" s="393"/>
    </row>
    <row r="207" spans="2:11">
      <c r="B207" s="189" t="s">
        <v>895</v>
      </c>
      <c r="C207" s="399">
        <v>148.53</v>
      </c>
      <c r="D207" s="399">
        <v>153.72</v>
      </c>
      <c r="E207" s="399">
        <v>159.87</v>
      </c>
      <c r="F207" s="399">
        <v>167.07</v>
      </c>
      <c r="G207" s="399">
        <v>175.42</v>
      </c>
      <c r="H207" s="399">
        <f t="shared" ref="H207" si="65">(1+$C$141)*G207</f>
        <v>180.68259999999998</v>
      </c>
      <c r="I207" s="399">
        <f t="shared" ref="I207:I208" si="66">(1+$C$169)*H207</f>
        <v>186.10307799999998</v>
      </c>
      <c r="J207" s="401"/>
      <c r="K207" s="399"/>
    </row>
    <row r="208" spans="2:11">
      <c r="B208" s="13" t="s">
        <v>896</v>
      </c>
      <c r="C208" s="400">
        <v>148.53</v>
      </c>
      <c r="D208" s="400">
        <v>153.72</v>
      </c>
      <c r="E208" s="400">
        <v>159.87</v>
      </c>
      <c r="F208" s="400">
        <v>167.07</v>
      </c>
      <c r="G208" s="400">
        <v>175.42</v>
      </c>
      <c r="H208" s="400">
        <f t="shared" ref="H208" si="67">(1+$C$141)*G208</f>
        <v>180.68259999999998</v>
      </c>
      <c r="I208" s="400">
        <f t="shared" si="66"/>
        <v>186.10307799999998</v>
      </c>
      <c r="J208" s="402"/>
      <c r="K208" s="400"/>
    </row>
    <row r="211" spans="2:18">
      <c r="B211" s="665" t="s">
        <v>1071</v>
      </c>
      <c r="C211" s="665"/>
      <c r="D211" s="665"/>
      <c r="E211" s="665"/>
      <c r="F211" s="665"/>
      <c r="G211" s="665"/>
      <c r="H211" s="665"/>
      <c r="I211" s="665"/>
      <c r="J211" s="665"/>
      <c r="K211" s="665"/>
      <c r="L211" s="665"/>
      <c r="M211" s="665"/>
      <c r="N211" s="665"/>
      <c r="O211" s="665"/>
      <c r="P211" s="665"/>
      <c r="Q211" s="665"/>
      <c r="R211" s="665"/>
    </row>
    <row r="213" spans="2:18">
      <c r="B213" s="666" t="s">
        <v>1072</v>
      </c>
      <c r="C213" s="666"/>
      <c r="D213" s="666"/>
      <c r="E213" s="666"/>
      <c r="F213" s="666"/>
      <c r="G213" s="666"/>
      <c r="H213" s="666"/>
      <c r="I213" s="666"/>
    </row>
    <row r="214" spans="2:18">
      <c r="B214" s="393" t="s">
        <v>178</v>
      </c>
      <c r="C214" s="393">
        <v>2026</v>
      </c>
      <c r="D214" s="393">
        <v>2027</v>
      </c>
      <c r="E214" s="393">
        <v>2028</v>
      </c>
      <c r="F214" s="393">
        <v>2029</v>
      </c>
      <c r="G214" s="393">
        <v>2030</v>
      </c>
      <c r="H214" s="393">
        <v>2031</v>
      </c>
      <c r="I214" s="393">
        <v>2032</v>
      </c>
    </row>
    <row r="215" spans="2:18">
      <c r="B215" s="15">
        <v>100</v>
      </c>
      <c r="C215" s="477">
        <v>0.34250000000000003</v>
      </c>
      <c r="D215" s="477">
        <v>0.34329999999999999</v>
      </c>
      <c r="E215" s="477">
        <v>0.34420000000000001</v>
      </c>
      <c r="F215" s="478">
        <v>0.34499999999999997</v>
      </c>
      <c r="G215" s="479">
        <f>F215+0.085%</f>
        <v>0.34584999999999999</v>
      </c>
      <c r="H215" s="479">
        <f t="shared" ref="H215:I215" si="68">G215+0.085%</f>
        <v>0.34670000000000001</v>
      </c>
      <c r="I215" s="479">
        <f t="shared" si="68"/>
        <v>0.34755000000000003</v>
      </c>
    </row>
    <row r="216" spans="2:18">
      <c r="B216" s="15">
        <v>150</v>
      </c>
      <c r="C216" s="477">
        <v>0.34250000000000003</v>
      </c>
      <c r="D216" s="477">
        <v>0.34329999999999999</v>
      </c>
      <c r="E216" s="477">
        <v>0.34420000000000001</v>
      </c>
      <c r="F216" s="478">
        <v>0.34499999999999997</v>
      </c>
      <c r="G216" s="479">
        <f t="shared" ref="G216:I216" si="69">F216+0.085%</f>
        <v>0.34584999999999999</v>
      </c>
      <c r="H216" s="479">
        <f t="shared" si="69"/>
        <v>0.34670000000000001</v>
      </c>
      <c r="I216" s="479">
        <f t="shared" si="69"/>
        <v>0.34755000000000003</v>
      </c>
    </row>
    <row r="217" spans="2:18">
      <c r="B217" s="15">
        <v>189</v>
      </c>
      <c r="C217" s="477">
        <v>0.34250000000000003</v>
      </c>
      <c r="D217" s="477">
        <v>0.34329999999999999</v>
      </c>
      <c r="E217" s="477">
        <v>0.34420000000000001</v>
      </c>
      <c r="F217" s="478">
        <v>0.34499999999999997</v>
      </c>
      <c r="G217" s="479">
        <f t="shared" ref="G217:I217" si="70">F217+0.085%</f>
        <v>0.34584999999999999</v>
      </c>
      <c r="H217" s="479">
        <f t="shared" si="70"/>
        <v>0.34670000000000001</v>
      </c>
      <c r="I217" s="479">
        <f t="shared" si="70"/>
        <v>0.34755000000000003</v>
      </c>
    </row>
    <row r="218" spans="2:18">
      <c r="B218" s="15">
        <v>400</v>
      </c>
      <c r="C218" s="477">
        <v>0.35449999999999998</v>
      </c>
      <c r="D218" s="477">
        <v>0.3553</v>
      </c>
      <c r="E218" s="477">
        <v>0.35620000000000002</v>
      </c>
      <c r="F218" s="478">
        <v>0.35699999999999998</v>
      </c>
      <c r="G218" s="479">
        <f>F218+0.085%</f>
        <v>0.35785</v>
      </c>
      <c r="H218" s="479">
        <f t="shared" ref="H218:I218" si="71">G218+0.085%</f>
        <v>0.35870000000000002</v>
      </c>
      <c r="I218" s="479">
        <f t="shared" si="71"/>
        <v>0.35955000000000004</v>
      </c>
    </row>
    <row r="219" spans="2:18">
      <c r="B219" s="15">
        <v>450</v>
      </c>
      <c r="C219" s="477">
        <v>0.35449999999999998</v>
      </c>
      <c r="D219" s="477">
        <v>0.3553</v>
      </c>
      <c r="E219" s="477">
        <v>0.35620000000000002</v>
      </c>
      <c r="F219" s="478">
        <v>0.35699999999999998</v>
      </c>
      <c r="G219" s="479">
        <f t="shared" ref="G219:I219" si="72">F219+0.085%</f>
        <v>0.35785</v>
      </c>
      <c r="H219" s="479">
        <f t="shared" si="72"/>
        <v>0.35870000000000002</v>
      </c>
      <c r="I219" s="479">
        <f t="shared" si="72"/>
        <v>0.35955000000000004</v>
      </c>
    </row>
    <row r="220" spans="2:18">
      <c r="B220" s="15">
        <v>401</v>
      </c>
      <c r="C220" s="477">
        <v>0.35449999999999998</v>
      </c>
      <c r="D220" s="477">
        <v>0.3553</v>
      </c>
      <c r="E220" s="477">
        <v>0.35620000000000002</v>
      </c>
      <c r="F220" s="478">
        <v>0.35699999999999998</v>
      </c>
      <c r="G220" s="479">
        <f t="shared" ref="G220:I220" si="73">F220+0.085%</f>
        <v>0.35785</v>
      </c>
      <c r="H220" s="479">
        <f t="shared" si="73"/>
        <v>0.35870000000000002</v>
      </c>
      <c r="I220" s="479">
        <f t="shared" si="73"/>
        <v>0.35955000000000004</v>
      </c>
    </row>
    <row r="221" spans="2:18">
      <c r="B221" s="15">
        <v>451</v>
      </c>
      <c r="C221" s="477">
        <v>0.35449999999999998</v>
      </c>
      <c r="D221" s="477">
        <v>0.3553</v>
      </c>
      <c r="E221" s="477">
        <v>0.35620000000000002</v>
      </c>
      <c r="F221" s="478">
        <v>0.35699999999999998</v>
      </c>
      <c r="G221" s="479">
        <f t="shared" ref="G221:I221" si="74">F221+0.085%</f>
        <v>0.35785</v>
      </c>
      <c r="H221" s="479">
        <f t="shared" si="74"/>
        <v>0.35870000000000002</v>
      </c>
      <c r="I221" s="479">
        <f t="shared" si="74"/>
        <v>0.35955000000000004</v>
      </c>
    </row>
    <row r="223" spans="2:18">
      <c r="D223" s="477"/>
      <c r="E223" s="477"/>
      <c r="F223" s="477"/>
    </row>
    <row r="224" spans="2:18">
      <c r="D224" s="477"/>
      <c r="E224" s="477"/>
      <c r="F224" s="477"/>
    </row>
    <row r="225" spans="2:9">
      <c r="B225" s="666" t="s">
        <v>1073</v>
      </c>
      <c r="C225" s="666"/>
      <c r="D225" s="666"/>
      <c r="E225" s="666"/>
      <c r="F225" s="666"/>
      <c r="G225" s="666"/>
      <c r="H225" s="666"/>
      <c r="I225" s="666"/>
    </row>
    <row r="226" spans="2:9">
      <c r="B226" s="393" t="s">
        <v>178</v>
      </c>
      <c r="C226" s="393">
        <v>2026</v>
      </c>
      <c r="D226" s="393">
        <v>2027</v>
      </c>
      <c r="E226" s="393">
        <v>2028</v>
      </c>
      <c r="F226" s="393">
        <v>2029</v>
      </c>
      <c r="G226" s="393">
        <v>2030</v>
      </c>
      <c r="H226" s="393">
        <v>2031</v>
      </c>
      <c r="I226" s="393">
        <v>2032</v>
      </c>
    </row>
    <row r="227" spans="2:9">
      <c r="B227" s="15">
        <v>100</v>
      </c>
      <c r="C227" s="477">
        <v>0.3735</v>
      </c>
      <c r="D227" s="477">
        <v>0.37430000000000002</v>
      </c>
      <c r="E227" s="477">
        <v>0.37519999999999998</v>
      </c>
      <c r="F227" s="478">
        <v>0.376</v>
      </c>
      <c r="G227" s="479">
        <f>F227+0.085%</f>
        <v>0.37685000000000002</v>
      </c>
      <c r="H227" s="479">
        <f t="shared" ref="H227:I227" si="75">G227+0.085%</f>
        <v>0.37770000000000004</v>
      </c>
      <c r="I227" s="479">
        <f t="shared" si="75"/>
        <v>0.37855000000000005</v>
      </c>
    </row>
    <row r="228" spans="2:9">
      <c r="B228" s="15">
        <v>150</v>
      </c>
      <c r="C228" s="477">
        <v>0.3735</v>
      </c>
      <c r="D228" s="477">
        <v>0.37430000000000002</v>
      </c>
      <c r="E228" s="477">
        <v>0.37519999999999998</v>
      </c>
      <c r="F228" s="478">
        <v>0.376</v>
      </c>
      <c r="G228" s="479">
        <f t="shared" ref="G228:I228" si="76">F228+0.085%</f>
        <v>0.37685000000000002</v>
      </c>
      <c r="H228" s="479">
        <f t="shared" si="76"/>
        <v>0.37770000000000004</v>
      </c>
      <c r="I228" s="479">
        <f t="shared" si="76"/>
        <v>0.37855000000000005</v>
      </c>
    </row>
    <row r="229" spans="2:9">
      <c r="B229" s="15">
        <v>189</v>
      </c>
      <c r="C229" s="477">
        <v>0.3735</v>
      </c>
      <c r="D229" s="477">
        <v>0.37430000000000002</v>
      </c>
      <c r="E229" s="477">
        <v>0.37519999999999998</v>
      </c>
      <c r="F229" s="478">
        <v>0.376</v>
      </c>
      <c r="G229" s="479">
        <f t="shared" ref="G229:I229" si="77">F229+0.085%</f>
        <v>0.37685000000000002</v>
      </c>
      <c r="H229" s="479">
        <f t="shared" si="77"/>
        <v>0.37770000000000004</v>
      </c>
      <c r="I229" s="479">
        <f t="shared" si="77"/>
        <v>0.37855000000000005</v>
      </c>
    </row>
    <row r="230" spans="2:9">
      <c r="B230" s="15">
        <v>400</v>
      </c>
      <c r="C230" s="477">
        <v>0.38550000000000001</v>
      </c>
      <c r="D230" s="477">
        <v>0.38629999999999998</v>
      </c>
      <c r="E230" s="477">
        <v>0.38719999999999999</v>
      </c>
      <c r="F230" s="478">
        <v>0.38800000000000001</v>
      </c>
      <c r="G230" s="479">
        <f>F230+0.085%</f>
        <v>0.38885000000000003</v>
      </c>
      <c r="H230" s="479">
        <f t="shared" ref="H230:I230" si="78">G230+0.085%</f>
        <v>0.38970000000000005</v>
      </c>
      <c r="I230" s="479">
        <f t="shared" si="78"/>
        <v>0.39055000000000006</v>
      </c>
    </row>
    <row r="231" spans="2:9">
      <c r="B231" s="15">
        <v>450</v>
      </c>
      <c r="C231" s="477">
        <v>0.38550000000000001</v>
      </c>
      <c r="D231" s="477">
        <v>0.38629999999999998</v>
      </c>
      <c r="E231" s="477">
        <v>0.38719999999999999</v>
      </c>
      <c r="F231" s="478">
        <v>0.38800000000000001</v>
      </c>
      <c r="G231" s="479">
        <f t="shared" ref="G231:I231" si="79">F231+0.085%</f>
        <v>0.38885000000000003</v>
      </c>
      <c r="H231" s="479">
        <f t="shared" si="79"/>
        <v>0.38970000000000005</v>
      </c>
      <c r="I231" s="479">
        <f t="shared" si="79"/>
        <v>0.39055000000000006</v>
      </c>
    </row>
    <row r="232" spans="2:9">
      <c r="B232" s="15">
        <v>401</v>
      </c>
      <c r="C232" s="477">
        <v>0.38550000000000001</v>
      </c>
      <c r="D232" s="477">
        <v>0.38629999999999998</v>
      </c>
      <c r="E232" s="477">
        <v>0.38719999999999999</v>
      </c>
      <c r="F232" s="478">
        <v>0.38800000000000001</v>
      </c>
      <c r="G232" s="479">
        <f t="shared" ref="G232:I232" si="80">F232+0.085%</f>
        <v>0.38885000000000003</v>
      </c>
      <c r="H232" s="479">
        <f t="shared" si="80"/>
        <v>0.38970000000000005</v>
      </c>
      <c r="I232" s="479">
        <f t="shared" si="80"/>
        <v>0.39055000000000006</v>
      </c>
    </row>
    <row r="233" spans="2:9">
      <c r="B233" s="15">
        <v>451</v>
      </c>
      <c r="C233" s="477">
        <v>0.38550000000000001</v>
      </c>
      <c r="D233" s="477">
        <v>0.38629999999999998</v>
      </c>
      <c r="E233" s="477">
        <v>0.38719999999999999</v>
      </c>
      <c r="F233" s="478">
        <v>0.38800000000000001</v>
      </c>
      <c r="G233" s="479">
        <f t="shared" ref="G233:I233" si="81">F233+0.085%</f>
        <v>0.38885000000000003</v>
      </c>
      <c r="H233" s="479">
        <f t="shared" si="81"/>
        <v>0.38970000000000005</v>
      </c>
      <c r="I233" s="479">
        <f t="shared" si="81"/>
        <v>0.39055000000000006</v>
      </c>
    </row>
    <row r="234" spans="2:9">
      <c r="D234" s="477"/>
    </row>
    <row r="243" spans="14:18">
      <c r="N243" s="185"/>
      <c r="O243" s="185"/>
      <c r="P243" s="185"/>
      <c r="Q243" s="185"/>
      <c r="R243" s="185"/>
    </row>
  </sheetData>
  <mergeCells count="189">
    <mergeCell ref="B197:I197"/>
    <mergeCell ref="B205:I205"/>
    <mergeCell ref="B159:C159"/>
    <mergeCell ref="B160:C160"/>
    <mergeCell ref="B161:C161"/>
    <mergeCell ref="B162:C162"/>
    <mergeCell ref="B163:C163"/>
    <mergeCell ref="B164:C164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67:R167"/>
    <mergeCell ref="B171:C171"/>
    <mergeCell ref="N171:R171"/>
    <mergeCell ref="B172:C172"/>
    <mergeCell ref="B173:C173"/>
    <mergeCell ref="B174:C174"/>
    <mergeCell ref="B175:C175"/>
    <mergeCell ref="B147:C147"/>
    <mergeCell ref="B148:C148"/>
    <mergeCell ref="B149:C149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9:R139"/>
    <mergeCell ref="N128:R128"/>
    <mergeCell ref="N133:R133"/>
    <mergeCell ref="B123:C123"/>
    <mergeCell ref="B124:C124"/>
    <mergeCell ref="B125:C125"/>
    <mergeCell ref="B126:C126"/>
    <mergeCell ref="B136:C136"/>
    <mergeCell ref="B143:C143"/>
    <mergeCell ref="B144:C144"/>
    <mergeCell ref="B145:C145"/>
    <mergeCell ref="B146:C146"/>
    <mergeCell ref="B116:C116"/>
    <mergeCell ref="B117:C117"/>
    <mergeCell ref="B112:R112"/>
    <mergeCell ref="N106:R106"/>
    <mergeCell ref="B118:C118"/>
    <mergeCell ref="B119:C119"/>
    <mergeCell ref="B120:C120"/>
    <mergeCell ref="B121:C121"/>
    <mergeCell ref="B122:C122"/>
    <mergeCell ref="B89:C89"/>
    <mergeCell ref="B90:C90"/>
    <mergeCell ref="B91:C91"/>
    <mergeCell ref="B92:C92"/>
    <mergeCell ref="B93:C93"/>
    <mergeCell ref="B94:C94"/>
    <mergeCell ref="B95:C95"/>
    <mergeCell ref="N143:R143"/>
    <mergeCell ref="N115:R11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5:C115"/>
    <mergeCell ref="B76:C76"/>
    <mergeCell ref="B77:C77"/>
    <mergeCell ref="B78:C78"/>
    <mergeCell ref="B79:C79"/>
    <mergeCell ref="B80:C80"/>
    <mergeCell ref="B81:C81"/>
    <mergeCell ref="B82:C82"/>
    <mergeCell ref="B85:R85"/>
    <mergeCell ref="B88:C88"/>
    <mergeCell ref="B186:C186"/>
    <mergeCell ref="B187:C187"/>
    <mergeCell ref="B188:C188"/>
    <mergeCell ref="B189:C189"/>
    <mergeCell ref="B190:C190"/>
    <mergeCell ref="B191:C191"/>
    <mergeCell ref="B176:C176"/>
    <mergeCell ref="B177:C177"/>
    <mergeCell ref="B178:C178"/>
    <mergeCell ref="B179:C179"/>
    <mergeCell ref="B180:C180"/>
    <mergeCell ref="B181:C181"/>
    <mergeCell ref="B182:C182"/>
    <mergeCell ref="B65:C65"/>
    <mergeCell ref="B66:C66"/>
    <mergeCell ref="B67:C67"/>
    <mergeCell ref="B68:C68"/>
    <mergeCell ref="B58:R58"/>
    <mergeCell ref="B192:C192"/>
    <mergeCell ref="N79:R79"/>
    <mergeCell ref="N101:R101"/>
    <mergeCell ref="B69:C69"/>
    <mergeCell ref="B70:C70"/>
    <mergeCell ref="B71:C71"/>
    <mergeCell ref="B72:C72"/>
    <mergeCell ref="B73:C73"/>
    <mergeCell ref="B74:C74"/>
    <mergeCell ref="B75:C75"/>
    <mergeCell ref="N88:R88"/>
    <mergeCell ref="N74:R74"/>
    <mergeCell ref="N156:R156"/>
    <mergeCell ref="N161:R161"/>
    <mergeCell ref="N184:R184"/>
    <mergeCell ref="N189:R189"/>
    <mergeCell ref="B183:C183"/>
    <mergeCell ref="B184:C184"/>
    <mergeCell ref="B185:C185"/>
    <mergeCell ref="B53:C53"/>
    <mergeCell ref="B54:C54"/>
    <mergeCell ref="B55:C55"/>
    <mergeCell ref="N61:R61"/>
    <mergeCell ref="N52:R52"/>
    <mergeCell ref="B61:C61"/>
    <mergeCell ref="B62:C62"/>
    <mergeCell ref="B63:C63"/>
    <mergeCell ref="B64:C64"/>
    <mergeCell ref="B45:C45"/>
    <mergeCell ref="B46:C46"/>
    <mergeCell ref="B47:C47"/>
    <mergeCell ref="N47:R47"/>
    <mergeCell ref="B48:C48"/>
    <mergeCell ref="B49:C49"/>
    <mergeCell ref="B50:C50"/>
    <mergeCell ref="B51:C51"/>
    <mergeCell ref="B52:C52"/>
    <mergeCell ref="B14:C14"/>
    <mergeCell ref="B15:C15"/>
    <mergeCell ref="B16:C16"/>
    <mergeCell ref="B40:C40"/>
    <mergeCell ref="B41:C41"/>
    <mergeCell ref="B42:C42"/>
    <mergeCell ref="N34:R34"/>
    <mergeCell ref="B43:C43"/>
    <mergeCell ref="B44:C44"/>
    <mergeCell ref="N25:R25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2:R2"/>
    <mergeCell ref="B4:R4"/>
    <mergeCell ref="B211:R211"/>
    <mergeCell ref="B213:I213"/>
    <mergeCell ref="B225:I225"/>
    <mergeCell ref="B17:C17"/>
    <mergeCell ref="B18:C18"/>
    <mergeCell ref="B9:C9"/>
    <mergeCell ref="B10:C10"/>
    <mergeCell ref="B11:C11"/>
    <mergeCell ref="B12:C12"/>
    <mergeCell ref="B13:C13"/>
    <mergeCell ref="B7:C7"/>
    <mergeCell ref="B8:C8"/>
    <mergeCell ref="N6:R6"/>
    <mergeCell ref="N7:R7"/>
    <mergeCell ref="B34:C34"/>
    <mergeCell ref="B35:C35"/>
    <mergeCell ref="B36:C36"/>
    <mergeCell ref="B37:C37"/>
    <mergeCell ref="B38:C38"/>
    <mergeCell ref="B39:C39"/>
    <mergeCell ref="B31:R31"/>
    <mergeCell ref="N20:R20"/>
  </mergeCells>
  <printOptions horizontalCentered="1" verticalCentered="1"/>
  <pageMargins left="0.78740157480314998" right="0.78740157480314998" top="0.98425196850393704" bottom="0.98425196850393704" header="0" footer="0"/>
  <pageSetup paperSize="8" scale="43" orientation="portrait" horizontalDpi="300" verticalDpi="300"/>
  <headerFooter alignWithMargins="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737B-4730-4940-A80C-616107F15E6E}">
  <sheetPr>
    <tabColor theme="4" tint="-0.249977111117893"/>
  </sheetPr>
  <dimension ref="A1:K180"/>
  <sheetViews>
    <sheetView zoomScale="85" zoomScaleNormal="85" workbookViewId="0">
      <pane xSplit="2" ySplit="3" topLeftCell="C155" activePane="bottomRight" state="frozen"/>
      <selection pane="topRight"/>
      <selection pane="bottomLeft"/>
      <selection pane="bottomRight" activeCell="K182" sqref="K182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5" width="5.109375" style="47" customWidth="1"/>
    <col min="6" max="7" width="6.109375" style="47" customWidth="1"/>
    <col min="8" max="9" width="11.44140625" style="47" customWidth="1"/>
    <col min="10" max="11" width="12.33203125" style="47" customWidth="1"/>
    <col min="12" max="16384" width="11.44140625" style="48"/>
  </cols>
  <sheetData>
    <row r="1" spans="1:11" ht="37.799999999999997" customHeight="1">
      <c r="A1" s="673" t="s">
        <v>1000</v>
      </c>
      <c r="B1" s="674"/>
      <c r="C1" s="674"/>
      <c r="D1" s="674"/>
      <c r="E1" s="674"/>
      <c r="F1" s="674"/>
      <c r="G1" s="674"/>
      <c r="H1" s="674"/>
      <c r="I1" s="674"/>
      <c r="J1" s="674"/>
      <c r="K1" s="506"/>
    </row>
    <row r="2" spans="1:11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180</v>
      </c>
      <c r="F3" s="241" t="s">
        <v>181</v>
      </c>
      <c r="G3" s="241" t="s">
        <v>998</v>
      </c>
      <c r="H3" s="241" t="s">
        <v>179</v>
      </c>
      <c r="I3" s="241" t="s">
        <v>999</v>
      </c>
      <c r="J3" s="241" t="s">
        <v>1103</v>
      </c>
      <c r="K3" s="246" t="s">
        <v>1105</v>
      </c>
    </row>
    <row r="4" spans="1:11" ht="19.5" customHeight="1">
      <c r="A4" s="169"/>
      <c r="B4" s="93"/>
      <c r="C4" s="675" t="s">
        <v>183</v>
      </c>
      <c r="D4" s="675"/>
      <c r="E4" s="675"/>
      <c r="F4" s="675"/>
      <c r="G4" s="675"/>
      <c r="H4" s="675"/>
      <c r="I4" s="675"/>
      <c r="J4" s="675"/>
      <c r="K4" s="93"/>
    </row>
    <row r="5" spans="1:11">
      <c r="A5" s="176">
        <v>0</v>
      </c>
      <c r="B5" s="51" t="s">
        <v>184</v>
      </c>
      <c r="C5" s="51"/>
      <c r="D5" s="51"/>
      <c r="E5" s="51"/>
      <c r="F5" s="182"/>
      <c r="G5" s="182"/>
      <c r="H5" s="171"/>
      <c r="I5" s="521"/>
      <c r="J5" s="521"/>
      <c r="K5" s="522"/>
    </row>
    <row r="6" spans="1:11">
      <c r="A6" s="176">
        <v>0</v>
      </c>
      <c r="B6" s="51" t="s">
        <v>184</v>
      </c>
      <c r="C6" s="51"/>
      <c r="D6" s="51"/>
      <c r="E6" s="51"/>
      <c r="F6" s="182"/>
      <c r="G6" s="182"/>
      <c r="H6" s="171"/>
      <c r="I6" s="521"/>
      <c r="J6" s="521"/>
      <c r="K6" s="522"/>
    </row>
    <row r="7" spans="1:11">
      <c r="A7" s="176">
        <v>0</v>
      </c>
      <c r="B7" s="51" t="s">
        <v>184</v>
      </c>
      <c r="C7" s="51"/>
      <c r="D7" s="51"/>
      <c r="E7" s="51"/>
      <c r="F7" s="182"/>
      <c r="G7" s="182"/>
      <c r="H7" s="171"/>
      <c r="I7" s="521"/>
      <c r="J7" s="521"/>
      <c r="K7" s="522"/>
    </row>
    <row r="8" spans="1:11">
      <c r="A8" s="176">
        <v>0</v>
      </c>
      <c r="B8" s="51" t="s">
        <v>184</v>
      </c>
      <c r="C8" s="51"/>
      <c r="D8" s="51"/>
      <c r="E8" s="51"/>
      <c r="F8" s="182"/>
      <c r="G8" s="182"/>
      <c r="H8" s="171"/>
      <c r="I8" s="521"/>
      <c r="J8" s="521"/>
      <c r="K8" s="522"/>
    </row>
    <row r="9" spans="1:11">
      <c r="A9" s="176">
        <v>0</v>
      </c>
      <c r="B9" s="51" t="s">
        <v>184</v>
      </c>
      <c r="C9" s="51"/>
      <c r="D9" s="51"/>
      <c r="E9" s="51"/>
      <c r="F9" s="182"/>
      <c r="G9" s="182"/>
      <c r="H9" s="171"/>
      <c r="I9" s="521"/>
      <c r="J9" s="521"/>
      <c r="K9" s="522"/>
    </row>
    <row r="10" spans="1:11">
      <c r="A10" s="176">
        <v>0</v>
      </c>
      <c r="B10" s="51" t="s">
        <v>184</v>
      </c>
      <c r="C10" s="51"/>
      <c r="D10" s="51"/>
      <c r="E10" s="51"/>
      <c r="F10" s="182"/>
      <c r="G10" s="182"/>
      <c r="H10" s="171"/>
      <c r="I10" s="521"/>
      <c r="J10" s="521"/>
      <c r="K10" s="522"/>
    </row>
    <row r="11" spans="1:11">
      <c r="A11" s="176">
        <v>0</v>
      </c>
      <c r="B11" s="51" t="s">
        <v>184</v>
      </c>
      <c r="C11" s="51"/>
      <c r="D11" s="51"/>
      <c r="E11" s="51"/>
      <c r="F11" s="182"/>
      <c r="G11" s="182"/>
      <c r="H11" s="171"/>
      <c r="I11" s="521"/>
      <c r="J11" s="521"/>
      <c r="K11" s="522"/>
    </row>
    <row r="12" spans="1:11">
      <c r="A12" s="176">
        <v>0</v>
      </c>
      <c r="B12" s="51" t="s">
        <v>184</v>
      </c>
      <c r="C12" s="51"/>
      <c r="D12" s="51"/>
      <c r="E12" s="51"/>
      <c r="F12" s="182"/>
      <c r="G12" s="182"/>
      <c r="H12" s="171"/>
      <c r="I12" s="521"/>
      <c r="J12" s="521"/>
      <c r="K12" s="522"/>
    </row>
    <row r="13" spans="1:11">
      <c r="A13" s="174"/>
      <c r="B13" s="174"/>
      <c r="C13" s="174"/>
      <c r="D13" s="174"/>
      <c r="E13" s="174"/>
      <c r="F13" s="174"/>
      <c r="G13" s="174"/>
      <c r="H13" s="174"/>
      <c r="I13" s="416"/>
      <c r="J13" s="416"/>
      <c r="K13" s="416"/>
    </row>
    <row r="14" spans="1:11">
      <c r="A14" s="176">
        <v>0</v>
      </c>
      <c r="B14" s="51" t="s">
        <v>185</v>
      </c>
      <c r="C14" s="51"/>
      <c r="D14" s="15"/>
      <c r="E14" s="51"/>
      <c r="F14" s="182"/>
      <c r="G14" s="182"/>
      <c r="H14" s="171"/>
      <c r="I14" s="521"/>
      <c r="J14" s="521"/>
      <c r="K14" s="522"/>
    </row>
    <row r="15" spans="1:11">
      <c r="A15" s="176">
        <v>0</v>
      </c>
      <c r="B15" s="51" t="s">
        <v>185</v>
      </c>
      <c r="C15" s="51"/>
      <c r="D15" s="15"/>
      <c r="E15" s="51"/>
      <c r="F15" s="182"/>
      <c r="G15" s="182"/>
      <c r="H15" s="171"/>
      <c r="I15" s="521"/>
      <c r="J15" s="521"/>
      <c r="K15" s="522"/>
    </row>
    <row r="16" spans="1:11">
      <c r="A16" s="176">
        <v>0</v>
      </c>
      <c r="B16" s="51" t="s">
        <v>185</v>
      </c>
      <c r="C16" s="51"/>
      <c r="D16" s="15"/>
      <c r="E16" s="51"/>
      <c r="F16" s="182"/>
      <c r="G16" s="182"/>
      <c r="H16" s="171"/>
      <c r="I16" s="521"/>
      <c r="J16" s="521"/>
      <c r="K16" s="522"/>
    </row>
    <row r="17" spans="1:11">
      <c r="A17" s="176">
        <v>0</v>
      </c>
      <c r="B17" s="51" t="s">
        <v>185</v>
      </c>
      <c r="C17" s="51"/>
      <c r="D17" s="15"/>
      <c r="E17" s="51"/>
      <c r="F17" s="182"/>
      <c r="G17" s="182"/>
      <c r="H17" s="171"/>
      <c r="I17" s="521"/>
      <c r="J17" s="521"/>
      <c r="K17" s="522"/>
    </row>
    <row r="18" spans="1:11">
      <c r="A18" s="176">
        <v>0</v>
      </c>
      <c r="B18" s="51" t="s">
        <v>185</v>
      </c>
      <c r="C18" s="51"/>
      <c r="D18" s="15"/>
      <c r="E18" s="51"/>
      <c r="F18" s="182"/>
      <c r="G18" s="182"/>
      <c r="H18" s="171"/>
      <c r="I18" s="521"/>
      <c r="J18" s="521"/>
      <c r="K18" s="522"/>
    </row>
    <row r="19" spans="1:11">
      <c r="A19" s="176">
        <v>0</v>
      </c>
      <c r="B19" s="51" t="s">
        <v>185</v>
      </c>
      <c r="C19" s="51"/>
      <c r="D19" s="15"/>
      <c r="E19" s="51"/>
      <c r="F19" s="182"/>
      <c r="G19" s="182"/>
      <c r="H19" s="171"/>
      <c r="I19" s="521"/>
      <c r="J19" s="521"/>
      <c r="K19" s="522"/>
    </row>
    <row r="20" spans="1:11">
      <c r="A20" s="176">
        <v>0</v>
      </c>
      <c r="B20" s="51" t="s">
        <v>185</v>
      </c>
      <c r="C20" s="51"/>
      <c r="D20" s="15"/>
      <c r="E20" s="51"/>
      <c r="F20" s="182"/>
      <c r="G20" s="182"/>
      <c r="H20" s="171"/>
      <c r="I20" s="521"/>
      <c r="J20" s="521"/>
      <c r="K20" s="522"/>
    </row>
    <row r="21" spans="1:11">
      <c r="A21" s="176">
        <v>0</v>
      </c>
      <c r="B21" s="51" t="s">
        <v>185</v>
      </c>
      <c r="C21" s="51"/>
      <c r="D21" s="15"/>
      <c r="E21" s="51"/>
      <c r="F21" s="182"/>
      <c r="G21" s="182"/>
      <c r="H21" s="171"/>
      <c r="I21" s="521"/>
      <c r="J21" s="521"/>
      <c r="K21" s="522"/>
    </row>
    <row r="22" spans="1:11">
      <c r="A22" s="176">
        <v>0</v>
      </c>
      <c r="B22" s="51" t="s">
        <v>185</v>
      </c>
      <c r="C22" s="51"/>
      <c r="D22" s="15"/>
      <c r="E22" s="51"/>
      <c r="F22" s="182"/>
      <c r="G22" s="182"/>
      <c r="H22" s="171"/>
      <c r="I22" s="521"/>
      <c r="J22" s="521"/>
      <c r="K22" s="522"/>
    </row>
    <row r="23" spans="1:11">
      <c r="A23" s="176">
        <v>0</v>
      </c>
      <c r="B23" s="51" t="s">
        <v>185</v>
      </c>
      <c r="C23" s="51"/>
      <c r="D23" s="15"/>
      <c r="E23" s="51"/>
      <c r="F23" s="182"/>
      <c r="G23" s="182"/>
      <c r="H23" s="171"/>
      <c r="I23" s="521"/>
      <c r="J23" s="521"/>
      <c r="K23" s="522"/>
    </row>
    <row r="24" spans="1:11">
      <c r="A24" s="176">
        <v>0</v>
      </c>
      <c r="B24" s="51" t="s">
        <v>185</v>
      </c>
      <c r="C24" s="51"/>
      <c r="D24" s="15"/>
      <c r="E24" s="51"/>
      <c r="F24" s="182"/>
      <c r="G24" s="182"/>
      <c r="H24" s="171"/>
      <c r="I24" s="521"/>
      <c r="J24" s="521"/>
      <c r="K24" s="522"/>
    </row>
    <row r="25" spans="1:11">
      <c r="A25" s="176">
        <v>0</v>
      </c>
      <c r="B25" s="51" t="s">
        <v>185</v>
      </c>
      <c r="C25" s="51"/>
      <c r="D25" s="15"/>
      <c r="E25" s="51"/>
      <c r="F25" s="182"/>
      <c r="G25" s="182"/>
      <c r="H25" s="171"/>
      <c r="I25" s="521"/>
      <c r="J25" s="521"/>
      <c r="K25" s="522"/>
    </row>
    <row r="26" spans="1:11">
      <c r="A26" s="176">
        <v>0</v>
      </c>
      <c r="B26" s="51" t="s">
        <v>185</v>
      </c>
      <c r="C26" s="51"/>
      <c r="D26" s="15"/>
      <c r="E26" s="51"/>
      <c r="F26" s="182"/>
      <c r="G26" s="182"/>
      <c r="H26" s="171"/>
      <c r="I26" s="521"/>
      <c r="J26" s="521"/>
      <c r="K26" s="522"/>
    </row>
    <row r="27" spans="1:11">
      <c r="A27" s="176">
        <v>0</v>
      </c>
      <c r="B27" s="51" t="s">
        <v>185</v>
      </c>
      <c r="C27" s="51"/>
      <c r="D27" s="15"/>
      <c r="E27" s="51"/>
      <c r="F27" s="182"/>
      <c r="G27" s="182"/>
      <c r="H27" s="171"/>
      <c r="I27" s="521"/>
      <c r="J27" s="521"/>
      <c r="K27" s="522"/>
    </row>
    <row r="28" spans="1:11">
      <c r="A28" s="176">
        <v>0</v>
      </c>
      <c r="B28" s="51" t="s">
        <v>185</v>
      </c>
      <c r="C28" s="51"/>
      <c r="D28" s="15"/>
      <c r="E28" s="51"/>
      <c r="F28" s="182"/>
      <c r="G28" s="182"/>
      <c r="H28" s="171"/>
      <c r="I28" s="521"/>
      <c r="J28" s="521"/>
      <c r="K28" s="522"/>
    </row>
    <row r="29" spans="1:11">
      <c r="A29" s="176">
        <v>0</v>
      </c>
      <c r="B29" s="51" t="s">
        <v>185</v>
      </c>
      <c r="C29" s="51"/>
      <c r="D29" s="15"/>
      <c r="E29" s="51"/>
      <c r="F29" s="182"/>
      <c r="G29" s="182"/>
      <c r="H29" s="171"/>
      <c r="I29" s="521"/>
      <c r="J29" s="521"/>
      <c r="K29" s="522"/>
    </row>
    <row r="30" spans="1:11">
      <c r="A30" s="176">
        <v>0</v>
      </c>
      <c r="B30" s="51" t="s">
        <v>185</v>
      </c>
      <c r="C30" s="51"/>
      <c r="D30" s="15"/>
      <c r="E30" s="51"/>
      <c r="F30" s="182"/>
      <c r="G30" s="182"/>
      <c r="H30" s="171"/>
      <c r="I30" s="521"/>
      <c r="J30" s="521"/>
      <c r="K30" s="522"/>
    </row>
    <row r="31" spans="1:11">
      <c r="A31" s="176">
        <v>0</v>
      </c>
      <c r="B31" s="51" t="s">
        <v>185</v>
      </c>
      <c r="C31" s="51"/>
      <c r="D31" s="15"/>
      <c r="E31" s="51"/>
      <c r="F31" s="182"/>
      <c r="G31" s="182"/>
      <c r="H31" s="171"/>
      <c r="I31" s="521"/>
      <c r="J31" s="521"/>
      <c r="K31" s="522"/>
    </row>
    <row r="32" spans="1:11">
      <c r="A32" s="176">
        <v>0</v>
      </c>
      <c r="B32" s="51" t="s">
        <v>185</v>
      </c>
      <c r="C32" s="51"/>
      <c r="D32" s="15"/>
      <c r="E32" s="51"/>
      <c r="F32" s="182"/>
      <c r="G32" s="182"/>
      <c r="H32" s="171"/>
      <c r="I32" s="521"/>
      <c r="J32" s="521"/>
      <c r="K32" s="522"/>
    </row>
    <row r="33" spans="1:11">
      <c r="A33" s="176">
        <v>0</v>
      </c>
      <c r="B33" s="51" t="s">
        <v>185</v>
      </c>
      <c r="C33" s="51"/>
      <c r="D33" s="15"/>
      <c r="E33" s="51"/>
      <c r="F33" s="182"/>
      <c r="G33" s="182"/>
      <c r="H33" s="171"/>
      <c r="I33" s="521"/>
      <c r="J33" s="521"/>
      <c r="K33" s="522"/>
    </row>
    <row r="34" spans="1:11">
      <c r="A34" s="176">
        <v>0</v>
      </c>
      <c r="B34" s="51" t="s">
        <v>185</v>
      </c>
      <c r="C34" s="51"/>
      <c r="D34" s="15"/>
      <c r="E34" s="51"/>
      <c r="F34" s="182"/>
      <c r="G34" s="182"/>
      <c r="H34" s="171"/>
      <c r="I34" s="521"/>
      <c r="J34" s="521"/>
      <c r="K34" s="522"/>
    </row>
    <row r="35" spans="1:11">
      <c r="A35" s="176">
        <v>0</v>
      </c>
      <c r="B35" s="51" t="s">
        <v>185</v>
      </c>
      <c r="C35" s="51"/>
      <c r="D35" s="15"/>
      <c r="E35" s="51"/>
      <c r="F35" s="182"/>
      <c r="G35" s="182"/>
      <c r="H35" s="171"/>
      <c r="I35" s="521"/>
      <c r="J35" s="521"/>
      <c r="K35" s="522"/>
    </row>
    <row r="36" spans="1:11">
      <c r="A36" s="176">
        <v>0</v>
      </c>
      <c r="B36" s="51" t="s">
        <v>185</v>
      </c>
      <c r="C36" s="51"/>
      <c r="D36" s="15"/>
      <c r="E36" s="51"/>
      <c r="F36" s="182"/>
      <c r="G36" s="182"/>
      <c r="H36" s="171"/>
      <c r="I36" s="521"/>
      <c r="J36" s="521"/>
      <c r="K36" s="522"/>
    </row>
    <row r="37" spans="1:11">
      <c r="A37" s="176">
        <v>0</v>
      </c>
      <c r="B37" s="51" t="s">
        <v>185</v>
      </c>
      <c r="C37" s="51"/>
      <c r="D37" s="15"/>
      <c r="E37" s="51"/>
      <c r="F37" s="182"/>
      <c r="G37" s="182"/>
      <c r="H37" s="171"/>
      <c r="I37" s="521"/>
      <c r="J37" s="521"/>
      <c r="K37" s="522"/>
    </row>
    <row r="38" spans="1:11">
      <c r="A38" s="176">
        <v>0</v>
      </c>
      <c r="B38" s="51" t="s">
        <v>185</v>
      </c>
      <c r="C38" s="51"/>
      <c r="D38" s="15"/>
      <c r="E38" s="51"/>
      <c r="F38" s="182"/>
      <c r="G38" s="182"/>
      <c r="H38" s="171"/>
      <c r="I38" s="521"/>
      <c r="J38" s="521"/>
      <c r="K38" s="522"/>
    </row>
    <row r="39" spans="1:11">
      <c r="A39" s="176">
        <v>0</v>
      </c>
      <c r="B39" s="51" t="s">
        <v>185</v>
      </c>
      <c r="C39" s="51"/>
      <c r="D39" s="15"/>
      <c r="E39" s="51"/>
      <c r="F39" s="182"/>
      <c r="G39" s="182"/>
      <c r="H39" s="171"/>
      <c r="I39" s="521"/>
      <c r="J39" s="521"/>
      <c r="K39" s="522"/>
    </row>
    <row r="40" spans="1:11">
      <c r="A40" s="176">
        <v>0</v>
      </c>
      <c r="B40" s="51" t="s">
        <v>185</v>
      </c>
      <c r="C40" s="51"/>
      <c r="D40" s="15"/>
      <c r="E40" s="51"/>
      <c r="F40" s="182"/>
      <c r="G40" s="182"/>
      <c r="H40" s="171"/>
      <c r="I40" s="521"/>
      <c r="J40" s="521"/>
      <c r="K40" s="522"/>
    </row>
    <row r="41" spans="1:11">
      <c r="A41" s="176">
        <v>0</v>
      </c>
      <c r="B41" s="51" t="s">
        <v>185</v>
      </c>
      <c r="C41" s="51"/>
      <c r="D41" s="15"/>
      <c r="E41" s="51"/>
      <c r="F41" s="182"/>
      <c r="G41" s="182"/>
      <c r="H41" s="171"/>
      <c r="I41" s="521"/>
      <c r="J41" s="521"/>
      <c r="K41" s="522"/>
    </row>
    <row r="42" spans="1:11">
      <c r="A42" s="176">
        <v>0</v>
      </c>
      <c r="B42" s="51" t="s">
        <v>185</v>
      </c>
      <c r="C42" s="51"/>
      <c r="D42" s="15"/>
      <c r="E42" s="51"/>
      <c r="F42" s="182"/>
      <c r="G42" s="182"/>
      <c r="H42" s="171"/>
      <c r="I42" s="521"/>
      <c r="J42" s="521"/>
      <c r="K42" s="522"/>
    </row>
    <row r="43" spans="1:11">
      <c r="A43" s="176">
        <v>0</v>
      </c>
      <c r="B43" s="51" t="s">
        <v>185</v>
      </c>
      <c r="C43" s="51"/>
      <c r="D43" s="15"/>
      <c r="E43" s="51"/>
      <c r="F43" s="182"/>
      <c r="G43" s="182"/>
      <c r="H43" s="171"/>
      <c r="I43" s="521"/>
      <c r="J43" s="521"/>
      <c r="K43" s="522"/>
    </row>
    <row r="44" spans="1:11">
      <c r="A44" s="176">
        <v>0</v>
      </c>
      <c r="B44" s="51" t="s">
        <v>185</v>
      </c>
      <c r="C44" s="51"/>
      <c r="D44" s="15"/>
      <c r="E44" s="51"/>
      <c r="F44" s="182"/>
      <c r="G44" s="182"/>
      <c r="H44" s="171"/>
      <c r="I44" s="521"/>
      <c r="J44" s="521"/>
      <c r="K44" s="522"/>
    </row>
    <row r="45" spans="1:11">
      <c r="A45" s="176">
        <v>0</v>
      </c>
      <c r="B45" s="51" t="s">
        <v>185</v>
      </c>
      <c r="C45" s="51"/>
      <c r="D45" s="15"/>
      <c r="E45" s="51"/>
      <c r="F45" s="182"/>
      <c r="G45" s="182"/>
      <c r="H45" s="171"/>
      <c r="I45" s="521"/>
      <c r="J45" s="521"/>
      <c r="K45" s="522"/>
    </row>
    <row r="46" spans="1:11">
      <c r="A46" s="176">
        <v>0</v>
      </c>
      <c r="B46" s="51" t="s">
        <v>185</v>
      </c>
      <c r="C46" s="51"/>
      <c r="D46" s="15"/>
      <c r="E46" s="51"/>
      <c r="F46" s="182"/>
      <c r="G46" s="182"/>
      <c r="H46" s="171"/>
      <c r="I46" s="521"/>
      <c r="J46" s="521"/>
      <c r="K46" s="522"/>
    </row>
    <row r="47" spans="1:11">
      <c r="A47" s="176">
        <v>0</v>
      </c>
      <c r="B47" s="51" t="s">
        <v>185</v>
      </c>
      <c r="C47" s="51"/>
      <c r="D47" s="15"/>
      <c r="E47" s="51"/>
      <c r="F47" s="182"/>
      <c r="G47" s="182"/>
      <c r="H47" s="171"/>
      <c r="I47" s="521"/>
      <c r="J47" s="521"/>
      <c r="K47" s="522"/>
    </row>
    <row r="48" spans="1:11">
      <c r="A48" s="176">
        <v>0</v>
      </c>
      <c r="B48" s="51" t="s">
        <v>185</v>
      </c>
      <c r="C48" s="51"/>
      <c r="D48" s="15"/>
      <c r="E48" s="51"/>
      <c r="F48" s="182"/>
      <c r="G48" s="182"/>
      <c r="H48" s="171"/>
      <c r="I48" s="521"/>
      <c r="J48" s="521"/>
      <c r="K48" s="522"/>
    </row>
    <row r="49" spans="1:11">
      <c r="A49" s="176">
        <v>0</v>
      </c>
      <c r="B49" s="51" t="s">
        <v>185</v>
      </c>
      <c r="C49" s="51"/>
      <c r="D49" s="15"/>
      <c r="E49" s="51"/>
      <c r="F49" s="182"/>
      <c r="G49" s="182"/>
      <c r="H49" s="171"/>
      <c r="I49" s="521"/>
      <c r="J49" s="521"/>
      <c r="K49" s="522"/>
    </row>
    <row r="50" spans="1:11">
      <c r="A50" s="176">
        <v>0</v>
      </c>
      <c r="B50" s="51" t="s">
        <v>185</v>
      </c>
      <c r="C50" s="51"/>
      <c r="D50" s="15"/>
      <c r="E50" s="51"/>
      <c r="F50" s="182"/>
      <c r="G50" s="182"/>
      <c r="H50" s="171"/>
      <c r="I50" s="521"/>
      <c r="J50" s="521"/>
      <c r="K50" s="522"/>
    </row>
    <row r="51" spans="1:11">
      <c r="A51" s="176">
        <v>0</v>
      </c>
      <c r="B51" s="51" t="s">
        <v>185</v>
      </c>
      <c r="C51" s="51"/>
      <c r="D51" s="15"/>
      <c r="E51" s="51"/>
      <c r="F51" s="182"/>
      <c r="G51" s="182"/>
      <c r="H51" s="171"/>
      <c r="I51" s="521"/>
      <c r="J51" s="521"/>
      <c r="K51" s="522"/>
    </row>
    <row r="52" spans="1:11">
      <c r="A52" s="176">
        <v>0</v>
      </c>
      <c r="B52" s="51" t="s">
        <v>185</v>
      </c>
      <c r="C52" s="51"/>
      <c r="D52" s="15"/>
      <c r="E52" s="51"/>
      <c r="F52" s="182"/>
      <c r="G52" s="182"/>
      <c r="H52" s="171"/>
      <c r="I52" s="521"/>
      <c r="J52" s="521"/>
      <c r="K52" s="522"/>
    </row>
    <row r="53" spans="1:11">
      <c r="A53" s="176">
        <v>0</v>
      </c>
      <c r="B53" s="51" t="s">
        <v>185</v>
      </c>
      <c r="C53" s="51"/>
      <c r="D53" s="15"/>
      <c r="E53" s="51"/>
      <c r="F53" s="182"/>
      <c r="G53" s="182"/>
      <c r="H53" s="171"/>
      <c r="I53" s="521"/>
      <c r="J53" s="521"/>
      <c r="K53" s="522"/>
    </row>
    <row r="54" spans="1:11">
      <c r="A54" s="176">
        <v>0</v>
      </c>
      <c r="B54" s="51" t="s">
        <v>185</v>
      </c>
      <c r="C54" s="51"/>
      <c r="D54" s="15"/>
      <c r="E54" s="51"/>
      <c r="F54" s="182"/>
      <c r="G54" s="182"/>
      <c r="H54" s="171"/>
      <c r="I54" s="521"/>
      <c r="J54" s="521"/>
      <c r="K54" s="522"/>
    </row>
    <row r="55" spans="1:11">
      <c r="A55" s="176">
        <v>0</v>
      </c>
      <c r="B55" s="51" t="s">
        <v>185</v>
      </c>
      <c r="C55" s="51"/>
      <c r="D55" s="15"/>
      <c r="E55" s="51"/>
      <c r="F55" s="182"/>
      <c r="G55" s="182"/>
      <c r="H55" s="171"/>
      <c r="I55" s="521"/>
      <c r="J55" s="521"/>
      <c r="K55" s="522"/>
    </row>
    <row r="56" spans="1:11">
      <c r="A56" s="176">
        <v>0</v>
      </c>
      <c r="B56" s="51" t="s">
        <v>185</v>
      </c>
      <c r="C56" s="51"/>
      <c r="D56" s="51"/>
      <c r="E56" s="51"/>
      <c r="F56" s="182"/>
      <c r="G56" s="182"/>
      <c r="H56" s="171"/>
      <c r="I56" s="521"/>
      <c r="J56" s="521"/>
      <c r="K56" s="522"/>
    </row>
    <row r="57" spans="1:11">
      <c r="A57" s="176">
        <v>0</v>
      </c>
      <c r="B57" s="51" t="s">
        <v>185</v>
      </c>
      <c r="C57" s="51"/>
      <c r="D57" s="51"/>
      <c r="E57" s="51"/>
      <c r="F57" s="182"/>
      <c r="G57" s="182"/>
      <c r="H57" s="171"/>
      <c r="I57" s="521"/>
      <c r="J57" s="521"/>
      <c r="K57" s="522"/>
    </row>
    <row r="58" spans="1:11">
      <c r="A58" s="176">
        <v>0</v>
      </c>
      <c r="B58" s="51" t="s">
        <v>185</v>
      </c>
      <c r="C58" s="51"/>
      <c r="D58" s="51"/>
      <c r="E58" s="51"/>
      <c r="F58" s="182"/>
      <c r="G58" s="182"/>
      <c r="H58" s="171"/>
      <c r="I58" s="521"/>
      <c r="J58" s="521"/>
      <c r="K58" s="522"/>
    </row>
    <row r="59" spans="1:11">
      <c r="A59" s="176">
        <v>0</v>
      </c>
      <c r="B59" s="51" t="s">
        <v>185</v>
      </c>
      <c r="C59" s="51"/>
      <c r="D59" s="51"/>
      <c r="E59" s="51"/>
      <c r="F59" s="182"/>
      <c r="G59" s="182"/>
      <c r="H59" s="171"/>
      <c r="I59" s="521"/>
      <c r="J59" s="521"/>
      <c r="K59" s="522"/>
    </row>
    <row r="60" spans="1:11">
      <c r="A60" s="176">
        <v>0</v>
      </c>
      <c r="B60" s="51" t="s">
        <v>185</v>
      </c>
      <c r="C60" s="51"/>
      <c r="D60" s="51"/>
      <c r="E60" s="51"/>
      <c r="F60" s="182"/>
      <c r="G60" s="182"/>
      <c r="H60" s="171"/>
      <c r="I60" s="521"/>
      <c r="J60" s="521"/>
      <c r="K60" s="522"/>
    </row>
    <row r="61" spans="1:11">
      <c r="A61" s="176">
        <v>0</v>
      </c>
      <c r="B61" s="51" t="s">
        <v>185</v>
      </c>
      <c r="C61" s="51"/>
      <c r="D61" s="51"/>
      <c r="E61" s="51"/>
      <c r="F61" s="182"/>
      <c r="G61" s="182"/>
      <c r="H61" s="171"/>
      <c r="I61" s="521"/>
      <c r="J61" s="521"/>
      <c r="K61" s="522"/>
    </row>
    <row r="62" spans="1:11">
      <c r="A62" s="176">
        <v>0</v>
      </c>
      <c r="B62" s="51" t="s">
        <v>185</v>
      </c>
      <c r="C62" s="51"/>
      <c r="D62" s="51"/>
      <c r="E62" s="51"/>
      <c r="F62" s="182"/>
      <c r="G62" s="182"/>
      <c r="H62" s="171"/>
      <c r="I62" s="521"/>
      <c r="J62" s="521"/>
      <c r="K62" s="522"/>
    </row>
    <row r="63" spans="1:11">
      <c r="A63" s="176">
        <v>0</v>
      </c>
      <c r="B63" s="51" t="s">
        <v>185</v>
      </c>
      <c r="C63" s="51"/>
      <c r="D63" s="51"/>
      <c r="E63" s="51"/>
      <c r="F63" s="182"/>
      <c r="G63" s="182"/>
      <c r="H63" s="171"/>
      <c r="I63" s="521"/>
      <c r="J63" s="521"/>
      <c r="K63" s="522"/>
    </row>
    <row r="64" spans="1:11">
      <c r="A64" s="176">
        <v>0</v>
      </c>
      <c r="B64" s="51" t="s">
        <v>185</v>
      </c>
      <c r="C64" s="51"/>
      <c r="D64" s="51"/>
      <c r="E64" s="51"/>
      <c r="F64" s="182"/>
      <c r="G64" s="182"/>
      <c r="H64" s="171"/>
      <c r="I64" s="521"/>
      <c r="J64" s="521"/>
      <c r="K64" s="522"/>
    </row>
    <row r="65" spans="1:11">
      <c r="A65" s="176">
        <v>0</v>
      </c>
      <c r="B65" s="51" t="s">
        <v>185</v>
      </c>
      <c r="C65" s="51"/>
      <c r="D65" s="51"/>
      <c r="E65" s="51"/>
      <c r="F65" s="182"/>
      <c r="G65" s="182"/>
      <c r="H65" s="171"/>
      <c r="I65" s="521"/>
      <c r="J65" s="521"/>
      <c r="K65" s="522"/>
    </row>
    <row r="66" spans="1:11">
      <c r="A66" s="176">
        <v>0</v>
      </c>
      <c r="B66" s="51" t="s">
        <v>185</v>
      </c>
      <c r="C66" s="51"/>
      <c r="D66" s="51"/>
      <c r="E66" s="51"/>
      <c r="F66" s="182"/>
      <c r="G66" s="182"/>
      <c r="H66" s="171"/>
      <c r="I66" s="521"/>
      <c r="J66" s="521"/>
      <c r="K66" s="522"/>
    </row>
    <row r="67" spans="1:11">
      <c r="A67" s="176">
        <v>0</v>
      </c>
      <c r="B67" s="51" t="s">
        <v>185</v>
      </c>
      <c r="C67" s="51"/>
      <c r="D67" s="51"/>
      <c r="E67" s="51"/>
      <c r="F67" s="182"/>
      <c r="G67" s="182"/>
      <c r="H67" s="171"/>
      <c r="I67" s="521"/>
      <c r="J67" s="521"/>
      <c r="K67" s="522"/>
    </row>
    <row r="68" spans="1:11">
      <c r="A68" s="176">
        <v>0</v>
      </c>
      <c r="B68" s="51" t="s">
        <v>185</v>
      </c>
      <c r="C68" s="51"/>
      <c r="D68" s="51"/>
      <c r="E68" s="51"/>
      <c r="F68" s="182"/>
      <c r="G68" s="182"/>
      <c r="H68" s="171"/>
      <c r="I68" s="521"/>
      <c r="J68" s="521"/>
      <c r="K68" s="522"/>
    </row>
    <row r="69" spans="1:11">
      <c r="A69" s="176">
        <v>0</v>
      </c>
      <c r="B69" s="51" t="s">
        <v>185</v>
      </c>
      <c r="C69" s="51"/>
      <c r="D69" s="51"/>
      <c r="E69" s="51"/>
      <c r="F69" s="182"/>
      <c r="G69" s="182"/>
      <c r="H69" s="171"/>
      <c r="I69" s="521"/>
      <c r="J69" s="521"/>
      <c r="K69" s="522"/>
    </row>
    <row r="70" spans="1:11">
      <c r="A70" s="176">
        <v>0</v>
      </c>
      <c r="B70" s="51" t="s">
        <v>185</v>
      </c>
      <c r="C70" s="51"/>
      <c r="D70" s="51"/>
      <c r="E70" s="51"/>
      <c r="F70" s="182"/>
      <c r="G70" s="182"/>
      <c r="H70" s="171"/>
      <c r="I70" s="521"/>
      <c r="J70" s="521"/>
      <c r="K70" s="522"/>
    </row>
    <row r="71" spans="1:11">
      <c r="A71" s="176">
        <v>0</v>
      </c>
      <c r="B71" s="51" t="s">
        <v>185</v>
      </c>
      <c r="C71" s="51"/>
      <c r="D71" s="51"/>
      <c r="E71" s="51"/>
      <c r="F71" s="182"/>
      <c r="G71" s="182"/>
      <c r="H71" s="171"/>
      <c r="I71" s="521"/>
      <c r="J71" s="521"/>
      <c r="K71" s="522"/>
    </row>
    <row r="72" spans="1:11">
      <c r="A72" s="176">
        <v>0</v>
      </c>
      <c r="B72" s="51" t="s">
        <v>185</v>
      </c>
      <c r="C72" s="51"/>
      <c r="D72" s="51"/>
      <c r="E72" s="51"/>
      <c r="F72" s="182"/>
      <c r="G72" s="182"/>
      <c r="H72" s="171"/>
      <c r="I72" s="521"/>
      <c r="J72" s="521"/>
      <c r="K72" s="522"/>
    </row>
    <row r="73" spans="1:11">
      <c r="A73" s="176">
        <v>0</v>
      </c>
      <c r="B73" s="51" t="s">
        <v>185</v>
      </c>
      <c r="C73" s="51"/>
      <c r="D73" s="51"/>
      <c r="E73" s="51"/>
      <c r="F73" s="182"/>
      <c r="G73" s="182"/>
      <c r="H73" s="171"/>
      <c r="I73" s="521"/>
      <c r="J73" s="521"/>
      <c r="K73" s="522"/>
    </row>
    <row r="74" spans="1:11">
      <c r="A74" s="176">
        <v>0</v>
      </c>
      <c r="B74" s="51" t="s">
        <v>185</v>
      </c>
      <c r="C74" s="51"/>
      <c r="D74" s="51"/>
      <c r="E74" s="51"/>
      <c r="F74" s="182"/>
      <c r="G74" s="182"/>
      <c r="H74" s="171"/>
      <c r="I74" s="521"/>
      <c r="J74" s="521"/>
      <c r="K74" s="522"/>
    </row>
    <row r="75" spans="1:11">
      <c r="A75" s="176">
        <v>0</v>
      </c>
      <c r="B75" s="51" t="s">
        <v>185</v>
      </c>
      <c r="C75" s="51"/>
      <c r="D75" s="51"/>
      <c r="E75" s="51"/>
      <c r="F75" s="182"/>
      <c r="G75" s="182"/>
      <c r="H75" s="171"/>
      <c r="I75" s="521"/>
      <c r="J75" s="521"/>
      <c r="K75" s="522"/>
    </row>
    <row r="76" spans="1:11">
      <c r="A76" s="176">
        <v>0</v>
      </c>
      <c r="B76" s="51" t="s">
        <v>185</v>
      </c>
      <c r="C76" s="51"/>
      <c r="D76" s="51"/>
      <c r="E76" s="51"/>
      <c r="F76" s="182"/>
      <c r="G76" s="182"/>
      <c r="H76" s="171"/>
      <c r="I76" s="521"/>
      <c r="J76" s="521"/>
      <c r="K76" s="522"/>
    </row>
    <row r="77" spans="1:11">
      <c r="A77" s="176">
        <v>0</v>
      </c>
      <c r="B77" s="51" t="s">
        <v>185</v>
      </c>
      <c r="C77" s="51"/>
      <c r="D77" s="51"/>
      <c r="E77" s="51"/>
      <c r="F77" s="182"/>
      <c r="G77" s="182"/>
      <c r="H77" s="171"/>
      <c r="I77" s="521"/>
      <c r="J77" s="521"/>
      <c r="K77" s="522"/>
    </row>
    <row r="78" spans="1:11">
      <c r="A78" s="176">
        <v>0</v>
      </c>
      <c r="B78" s="51" t="s">
        <v>185</v>
      </c>
      <c r="C78" s="51"/>
      <c r="D78" s="51"/>
      <c r="E78" s="51"/>
      <c r="F78" s="182"/>
      <c r="G78" s="182"/>
      <c r="H78" s="171"/>
      <c r="I78" s="521"/>
      <c r="J78" s="521"/>
      <c r="K78" s="522"/>
    </row>
    <row r="79" spans="1:11">
      <c r="A79" s="176">
        <v>0</v>
      </c>
      <c r="B79" s="51" t="s">
        <v>185</v>
      </c>
      <c r="C79" s="51"/>
      <c r="D79" s="51"/>
      <c r="E79" s="51"/>
      <c r="F79" s="182"/>
      <c r="G79" s="182"/>
      <c r="H79" s="171"/>
      <c r="I79" s="521"/>
      <c r="J79" s="521"/>
      <c r="K79" s="522"/>
    </row>
    <row r="80" spans="1:11">
      <c r="A80" s="176">
        <v>0</v>
      </c>
      <c r="B80" s="51" t="s">
        <v>185</v>
      </c>
      <c r="C80" s="51"/>
      <c r="D80" s="51"/>
      <c r="E80" s="51"/>
      <c r="F80" s="182"/>
      <c r="G80" s="182"/>
      <c r="H80" s="171"/>
      <c r="I80" s="521"/>
      <c r="J80" s="521"/>
      <c r="K80" s="522"/>
    </row>
    <row r="81" spans="1:11">
      <c r="A81" s="176">
        <v>0</v>
      </c>
      <c r="B81" s="51" t="s">
        <v>185</v>
      </c>
      <c r="C81" s="51"/>
      <c r="D81" s="51"/>
      <c r="E81" s="51"/>
      <c r="F81" s="182"/>
      <c r="G81" s="182"/>
      <c r="H81" s="171"/>
      <c r="I81" s="521"/>
      <c r="J81" s="521"/>
      <c r="K81" s="522"/>
    </row>
    <row r="82" spans="1:11">
      <c r="A82" s="176">
        <v>0</v>
      </c>
      <c r="B82" s="51" t="s">
        <v>185</v>
      </c>
      <c r="C82" s="51"/>
      <c r="D82" s="51"/>
      <c r="E82" s="51"/>
      <c r="F82" s="182"/>
      <c r="G82" s="182"/>
      <c r="H82" s="171"/>
      <c r="I82" s="521"/>
      <c r="J82" s="521"/>
      <c r="K82" s="522"/>
    </row>
    <row r="83" spans="1:11">
      <c r="A83" s="176">
        <v>0</v>
      </c>
      <c r="B83" s="51" t="s">
        <v>185</v>
      </c>
      <c r="C83" s="51"/>
      <c r="D83" s="51"/>
      <c r="E83" s="51"/>
      <c r="F83" s="182"/>
      <c r="G83" s="182"/>
      <c r="H83" s="171"/>
      <c r="I83" s="521"/>
      <c r="J83" s="521"/>
      <c r="K83" s="522"/>
    </row>
    <row r="84" spans="1:11">
      <c r="A84" s="176">
        <v>0</v>
      </c>
      <c r="B84" s="51" t="s">
        <v>185</v>
      </c>
      <c r="C84" s="51"/>
      <c r="D84" s="51"/>
      <c r="E84" s="51"/>
      <c r="F84" s="182"/>
      <c r="G84" s="182"/>
      <c r="H84" s="171"/>
      <c r="I84" s="521"/>
      <c r="J84" s="521"/>
      <c r="K84" s="522"/>
    </row>
    <row r="85" spans="1:11">
      <c r="A85" s="176">
        <v>0</v>
      </c>
      <c r="B85" s="51" t="s">
        <v>185</v>
      </c>
      <c r="C85" s="51"/>
      <c r="D85" s="51"/>
      <c r="E85" s="51"/>
      <c r="F85" s="182"/>
      <c r="G85" s="182"/>
      <c r="H85" s="171"/>
      <c r="I85" s="521"/>
      <c r="J85" s="521"/>
      <c r="K85" s="522"/>
    </row>
    <row r="86" spans="1:11">
      <c r="A86" s="174"/>
      <c r="B86" s="174"/>
      <c r="C86" s="174"/>
      <c r="D86" s="174"/>
      <c r="E86" s="174"/>
      <c r="F86" s="174"/>
      <c r="G86" s="174"/>
      <c r="H86" s="174"/>
      <c r="I86" s="416"/>
      <c r="J86" s="416"/>
      <c r="K86" s="416"/>
    </row>
    <row r="87" spans="1:11">
      <c r="A87" s="176">
        <v>0</v>
      </c>
      <c r="B87" s="51" t="s">
        <v>187</v>
      </c>
      <c r="C87" s="51"/>
      <c r="D87" s="51"/>
      <c r="E87" s="51"/>
      <c r="F87" s="182"/>
      <c r="G87" s="182"/>
      <c r="H87" s="171"/>
      <c r="I87" s="521"/>
      <c r="J87" s="521"/>
      <c r="K87" s="522"/>
    </row>
    <row r="88" spans="1:11">
      <c r="A88" s="176">
        <v>0</v>
      </c>
      <c r="B88" s="51" t="s">
        <v>187</v>
      </c>
      <c r="C88" s="51"/>
      <c r="D88" s="51"/>
      <c r="E88" s="51"/>
      <c r="F88" s="182"/>
      <c r="G88" s="182"/>
      <c r="H88" s="171"/>
      <c r="I88" s="521"/>
      <c r="J88" s="521"/>
      <c r="K88" s="522"/>
    </row>
    <row r="89" spans="1:11">
      <c r="A89" s="176">
        <v>0</v>
      </c>
      <c r="B89" s="51" t="s">
        <v>187</v>
      </c>
      <c r="C89" s="51"/>
      <c r="D89" s="51"/>
      <c r="E89" s="51"/>
      <c r="F89" s="182"/>
      <c r="G89" s="182"/>
      <c r="H89" s="171"/>
      <c r="I89" s="521"/>
      <c r="J89" s="521"/>
      <c r="K89" s="522"/>
    </row>
    <row r="90" spans="1:11">
      <c r="A90" s="176">
        <v>0</v>
      </c>
      <c r="B90" s="51" t="s">
        <v>187</v>
      </c>
      <c r="C90" s="51"/>
      <c r="D90" s="51"/>
      <c r="E90" s="51"/>
      <c r="F90" s="182"/>
      <c r="G90" s="182"/>
      <c r="H90" s="171"/>
      <c r="I90" s="521"/>
      <c r="J90" s="521"/>
      <c r="K90" s="522"/>
    </row>
    <row r="91" spans="1:11">
      <c r="A91" s="176">
        <v>0</v>
      </c>
      <c r="B91" s="51" t="s">
        <v>187</v>
      </c>
      <c r="C91" s="51"/>
      <c r="D91" s="51"/>
      <c r="E91" s="51"/>
      <c r="F91" s="182"/>
      <c r="G91" s="182"/>
      <c r="H91" s="171"/>
      <c r="I91" s="521"/>
      <c r="J91" s="521"/>
      <c r="K91" s="522"/>
    </row>
    <row r="92" spans="1:11">
      <c r="A92" s="176">
        <v>0</v>
      </c>
      <c r="B92" s="51" t="s">
        <v>187</v>
      </c>
      <c r="C92" s="51"/>
      <c r="D92" s="51"/>
      <c r="E92" s="51"/>
      <c r="F92" s="182"/>
      <c r="G92" s="182"/>
      <c r="H92" s="171"/>
      <c r="I92" s="521"/>
      <c r="J92" s="521"/>
      <c r="K92" s="522"/>
    </row>
    <row r="93" spans="1:11">
      <c r="A93" s="176">
        <v>0</v>
      </c>
      <c r="B93" s="51" t="s">
        <v>187</v>
      </c>
      <c r="C93" s="51"/>
      <c r="D93" s="51"/>
      <c r="E93" s="51"/>
      <c r="F93" s="182"/>
      <c r="G93" s="182"/>
      <c r="H93" s="171"/>
      <c r="I93" s="521"/>
      <c r="J93" s="521"/>
      <c r="K93" s="522"/>
    </row>
    <row r="94" spans="1:11">
      <c r="A94" s="176">
        <v>0</v>
      </c>
      <c r="B94" s="51" t="s">
        <v>187</v>
      </c>
      <c r="C94" s="51"/>
      <c r="D94" s="51"/>
      <c r="E94" s="51"/>
      <c r="F94" s="182"/>
      <c r="G94" s="182"/>
      <c r="H94" s="171"/>
      <c r="I94" s="521"/>
      <c r="J94" s="521"/>
      <c r="K94" s="522"/>
    </row>
    <row r="95" spans="1:11">
      <c r="A95" s="176">
        <v>0</v>
      </c>
      <c r="B95" s="51" t="s">
        <v>187</v>
      </c>
      <c r="C95" s="51"/>
      <c r="D95" s="51"/>
      <c r="E95" s="51"/>
      <c r="F95" s="182"/>
      <c r="G95" s="182"/>
      <c r="H95" s="171"/>
      <c r="I95" s="521"/>
      <c r="J95" s="521"/>
      <c r="K95" s="522"/>
    </row>
    <row r="96" spans="1:11">
      <c r="A96" s="176">
        <v>0</v>
      </c>
      <c r="B96" s="51" t="s">
        <v>187</v>
      </c>
      <c r="C96" s="51"/>
      <c r="D96" s="51"/>
      <c r="E96" s="51"/>
      <c r="F96" s="182"/>
      <c r="G96" s="182"/>
      <c r="H96" s="171"/>
      <c r="I96" s="521"/>
      <c r="J96" s="521"/>
      <c r="K96" s="522"/>
    </row>
    <row r="97" spans="1:11">
      <c r="A97" s="176">
        <v>0</v>
      </c>
      <c r="B97" s="51" t="s">
        <v>187</v>
      </c>
      <c r="C97" s="51"/>
      <c r="D97" s="51"/>
      <c r="E97" s="51"/>
      <c r="F97" s="182"/>
      <c r="G97" s="182"/>
      <c r="H97" s="171"/>
      <c r="I97" s="521"/>
      <c r="J97" s="521"/>
      <c r="K97" s="522"/>
    </row>
    <row r="98" spans="1:11">
      <c r="A98" s="176">
        <v>0</v>
      </c>
      <c r="B98" s="51" t="s">
        <v>187</v>
      </c>
      <c r="C98" s="51"/>
      <c r="D98" s="51"/>
      <c r="E98" s="51"/>
      <c r="F98" s="182"/>
      <c r="G98" s="182"/>
      <c r="H98" s="171"/>
      <c r="I98" s="521"/>
      <c r="J98" s="521"/>
      <c r="K98" s="522"/>
    </row>
    <row r="99" spans="1:11">
      <c r="A99" s="176">
        <v>0</v>
      </c>
      <c r="B99" s="51" t="s">
        <v>187</v>
      </c>
      <c r="C99" s="51"/>
      <c r="D99" s="51"/>
      <c r="E99" s="51"/>
      <c r="F99" s="182"/>
      <c r="G99" s="182"/>
      <c r="H99" s="171"/>
      <c r="I99" s="521"/>
      <c r="J99" s="521"/>
      <c r="K99" s="522"/>
    </row>
    <row r="100" spans="1:11">
      <c r="A100" s="176">
        <v>0</v>
      </c>
      <c r="B100" s="51" t="s">
        <v>187</v>
      </c>
      <c r="C100" s="51"/>
      <c r="D100" s="51"/>
      <c r="E100" s="51"/>
      <c r="F100" s="182"/>
      <c r="G100" s="182"/>
      <c r="H100" s="171"/>
      <c r="I100" s="521"/>
      <c r="J100" s="521"/>
      <c r="K100" s="522"/>
    </row>
    <row r="101" spans="1:11">
      <c r="A101" s="176">
        <v>0</v>
      </c>
      <c r="B101" s="51" t="s">
        <v>187</v>
      </c>
      <c r="C101" s="51"/>
      <c r="D101" s="51"/>
      <c r="E101" s="51"/>
      <c r="F101" s="182"/>
      <c r="G101" s="182"/>
      <c r="H101" s="171"/>
      <c r="I101" s="521"/>
      <c r="J101" s="521"/>
      <c r="K101" s="522"/>
    </row>
    <row r="102" spans="1:11">
      <c r="A102" s="176">
        <v>0</v>
      </c>
      <c r="B102" s="51" t="s">
        <v>187</v>
      </c>
      <c r="C102" s="51"/>
      <c r="D102" s="51"/>
      <c r="E102" s="51"/>
      <c r="F102" s="182"/>
      <c r="G102" s="182"/>
      <c r="H102" s="171"/>
      <c r="I102" s="521"/>
      <c r="J102" s="521"/>
      <c r="K102" s="522"/>
    </row>
    <row r="103" spans="1:11">
      <c r="A103" s="176">
        <v>0</v>
      </c>
      <c r="B103" s="51" t="s">
        <v>187</v>
      </c>
      <c r="C103" s="51"/>
      <c r="D103" s="51"/>
      <c r="E103" s="51"/>
      <c r="F103" s="182"/>
      <c r="G103" s="182"/>
      <c r="H103" s="171"/>
      <c r="I103" s="521"/>
      <c r="J103" s="521"/>
      <c r="K103" s="522"/>
    </row>
    <row r="104" spans="1:11">
      <c r="A104" s="176">
        <v>0</v>
      </c>
      <c r="B104" s="51" t="s">
        <v>187</v>
      </c>
      <c r="C104" s="51"/>
      <c r="D104" s="51"/>
      <c r="E104" s="51"/>
      <c r="F104" s="182"/>
      <c r="G104" s="182"/>
      <c r="H104" s="171"/>
      <c r="I104" s="521"/>
      <c r="J104" s="521"/>
      <c r="K104" s="522"/>
    </row>
    <row r="105" spans="1:11">
      <c r="A105" s="176">
        <v>0</v>
      </c>
      <c r="B105" s="51" t="s">
        <v>187</v>
      </c>
      <c r="C105" s="51"/>
      <c r="D105" s="51"/>
      <c r="E105" s="51"/>
      <c r="F105" s="182"/>
      <c r="G105" s="182"/>
      <c r="H105" s="171"/>
      <c r="I105" s="521"/>
      <c r="J105" s="521"/>
      <c r="K105" s="522"/>
    </row>
    <row r="106" spans="1:11">
      <c r="A106" s="176">
        <v>0</v>
      </c>
      <c r="B106" s="51" t="s">
        <v>187</v>
      </c>
      <c r="C106" s="51"/>
      <c r="D106" s="51"/>
      <c r="E106" s="51"/>
      <c r="F106" s="182"/>
      <c r="G106" s="182"/>
      <c r="H106" s="171"/>
      <c r="I106" s="521"/>
      <c r="J106" s="521"/>
      <c r="K106" s="522"/>
    </row>
    <row r="107" spans="1:11">
      <c r="A107" s="176">
        <v>0</v>
      </c>
      <c r="B107" s="51" t="s">
        <v>187</v>
      </c>
      <c r="C107" s="51"/>
      <c r="D107" s="51"/>
      <c r="E107" s="51"/>
      <c r="F107" s="182"/>
      <c r="G107" s="182"/>
      <c r="H107" s="171"/>
      <c r="I107" s="521"/>
      <c r="J107" s="521"/>
      <c r="K107" s="522"/>
    </row>
    <row r="108" spans="1:11">
      <c r="A108" s="176">
        <v>0</v>
      </c>
      <c r="B108" s="51" t="s">
        <v>187</v>
      </c>
      <c r="C108" s="51"/>
      <c r="D108" s="51"/>
      <c r="E108" s="51"/>
      <c r="F108" s="182"/>
      <c r="G108" s="182"/>
      <c r="H108" s="171"/>
      <c r="I108" s="521"/>
      <c r="J108" s="521"/>
      <c r="K108" s="522"/>
    </row>
    <row r="109" spans="1:11">
      <c r="A109" s="176">
        <v>0</v>
      </c>
      <c r="B109" s="51" t="s">
        <v>187</v>
      </c>
      <c r="C109" s="51"/>
      <c r="D109" s="51"/>
      <c r="E109" s="51"/>
      <c r="F109" s="182"/>
      <c r="G109" s="182"/>
      <c r="H109" s="171"/>
      <c r="I109" s="521"/>
      <c r="J109" s="521"/>
      <c r="K109" s="522"/>
    </row>
    <row r="110" spans="1:11">
      <c r="A110" s="176">
        <v>0</v>
      </c>
      <c r="B110" s="51" t="s">
        <v>187</v>
      </c>
      <c r="C110" s="51"/>
      <c r="D110" s="51"/>
      <c r="E110" s="51"/>
      <c r="F110" s="182"/>
      <c r="G110" s="182"/>
      <c r="H110" s="171"/>
      <c r="I110" s="521"/>
      <c r="J110" s="521"/>
      <c r="K110" s="522"/>
    </row>
    <row r="111" spans="1:11">
      <c r="A111" s="176">
        <v>0</v>
      </c>
      <c r="B111" s="51" t="s">
        <v>187</v>
      </c>
      <c r="C111" s="51"/>
      <c r="D111" s="51"/>
      <c r="E111" s="51"/>
      <c r="F111" s="182"/>
      <c r="G111" s="182"/>
      <c r="H111" s="171"/>
      <c r="I111" s="521"/>
      <c r="J111" s="521"/>
      <c r="K111" s="522"/>
    </row>
    <row r="112" spans="1:11">
      <c r="A112" s="176">
        <v>0</v>
      </c>
      <c r="B112" s="51" t="s">
        <v>187</v>
      </c>
      <c r="C112" s="51"/>
      <c r="D112" s="51"/>
      <c r="E112" s="51"/>
      <c r="F112" s="182"/>
      <c r="G112" s="182"/>
      <c r="H112" s="171"/>
      <c r="I112" s="521"/>
      <c r="J112" s="521"/>
      <c r="K112" s="522"/>
    </row>
    <row r="113" spans="1:11">
      <c r="A113" s="176">
        <v>0</v>
      </c>
      <c r="B113" s="51" t="s">
        <v>187</v>
      </c>
      <c r="C113" s="51"/>
      <c r="D113" s="51"/>
      <c r="E113" s="51"/>
      <c r="F113" s="182"/>
      <c r="G113" s="182"/>
      <c r="H113" s="171"/>
      <c r="I113" s="521"/>
      <c r="J113" s="521"/>
      <c r="K113" s="522"/>
    </row>
    <row r="114" spans="1:11">
      <c r="A114" s="174"/>
      <c r="B114" s="174"/>
      <c r="C114" s="174"/>
      <c r="D114" s="174"/>
      <c r="E114" s="174"/>
      <c r="F114" s="174"/>
      <c r="G114" s="174"/>
      <c r="H114" s="174"/>
      <c r="I114" s="416"/>
      <c r="J114" s="416"/>
      <c r="K114" s="416"/>
    </row>
    <row r="115" spans="1:11">
      <c r="A115" s="176">
        <v>0</v>
      </c>
      <c r="B115" s="51" t="s">
        <v>188</v>
      </c>
      <c r="C115" s="51"/>
      <c r="D115" s="51"/>
      <c r="E115" s="51"/>
      <c r="F115" s="182"/>
      <c r="G115" s="182"/>
      <c r="H115" s="171"/>
      <c r="I115" s="521"/>
      <c r="J115" s="521"/>
      <c r="K115" s="522"/>
    </row>
    <row r="116" spans="1:11">
      <c r="A116" s="176">
        <v>0</v>
      </c>
      <c r="B116" s="51" t="s">
        <v>188</v>
      </c>
      <c r="C116" s="51"/>
      <c r="D116" s="51"/>
      <c r="E116" s="51"/>
      <c r="F116" s="182"/>
      <c r="G116" s="182"/>
      <c r="H116" s="171"/>
      <c r="I116" s="521"/>
      <c r="J116" s="521"/>
      <c r="K116" s="522"/>
    </row>
    <row r="117" spans="1:11">
      <c r="A117" s="176">
        <v>0</v>
      </c>
      <c r="B117" s="51" t="s">
        <v>188</v>
      </c>
      <c r="C117" s="51"/>
      <c r="D117" s="51"/>
      <c r="E117" s="51"/>
      <c r="F117" s="182"/>
      <c r="G117" s="182"/>
      <c r="H117" s="171"/>
      <c r="I117" s="521"/>
      <c r="J117" s="521"/>
      <c r="K117" s="522"/>
    </row>
    <row r="118" spans="1:11">
      <c r="A118" s="176">
        <v>0</v>
      </c>
      <c r="B118" s="51" t="s">
        <v>188</v>
      </c>
      <c r="C118" s="51"/>
      <c r="D118" s="51"/>
      <c r="E118" s="51"/>
      <c r="F118" s="182"/>
      <c r="G118" s="182"/>
      <c r="H118" s="171"/>
      <c r="I118" s="521"/>
      <c r="J118" s="521"/>
      <c r="K118" s="522"/>
    </row>
    <row r="119" spans="1:11">
      <c r="A119" s="176">
        <v>0</v>
      </c>
      <c r="B119" s="51" t="s">
        <v>188</v>
      </c>
      <c r="C119" s="51"/>
      <c r="D119" s="51"/>
      <c r="E119" s="51"/>
      <c r="F119" s="182"/>
      <c r="G119" s="182"/>
      <c r="H119" s="171"/>
      <c r="I119" s="521"/>
      <c r="J119" s="521"/>
      <c r="K119" s="522"/>
    </row>
    <row r="120" spans="1:11">
      <c r="A120" s="176">
        <v>0</v>
      </c>
      <c r="B120" s="51" t="s">
        <v>188</v>
      </c>
      <c r="C120" s="51"/>
      <c r="D120" s="51"/>
      <c r="E120" s="51"/>
      <c r="F120" s="182"/>
      <c r="G120" s="182"/>
      <c r="H120" s="171"/>
      <c r="I120" s="521"/>
      <c r="J120" s="521"/>
      <c r="K120" s="522"/>
    </row>
    <row r="121" spans="1:11">
      <c r="A121" s="176">
        <v>0</v>
      </c>
      <c r="B121" s="51" t="s">
        <v>188</v>
      </c>
      <c r="C121" s="51"/>
      <c r="D121" s="51"/>
      <c r="E121" s="51"/>
      <c r="F121" s="182"/>
      <c r="G121" s="182"/>
      <c r="H121" s="171"/>
      <c r="I121" s="521"/>
      <c r="J121" s="521"/>
      <c r="K121" s="522"/>
    </row>
    <row r="122" spans="1:11">
      <c r="A122" s="176">
        <v>0</v>
      </c>
      <c r="B122" s="51" t="s">
        <v>188</v>
      </c>
      <c r="C122" s="51"/>
      <c r="D122" s="51"/>
      <c r="E122" s="51"/>
      <c r="F122" s="182"/>
      <c r="G122" s="182"/>
      <c r="H122" s="171"/>
      <c r="I122" s="521"/>
      <c r="J122" s="521"/>
      <c r="K122" s="522"/>
    </row>
    <row r="123" spans="1:11">
      <c r="A123" s="176">
        <v>0</v>
      </c>
      <c r="B123" s="51" t="s">
        <v>188</v>
      </c>
      <c r="C123" s="51"/>
      <c r="D123" s="51"/>
      <c r="E123" s="51"/>
      <c r="F123" s="182"/>
      <c r="G123" s="182"/>
      <c r="H123" s="171"/>
      <c r="I123" s="521"/>
      <c r="J123" s="521"/>
      <c r="K123" s="522"/>
    </row>
    <row r="124" spans="1:11">
      <c r="A124" s="176">
        <v>0</v>
      </c>
      <c r="B124" s="51" t="s">
        <v>188</v>
      </c>
      <c r="C124" s="51"/>
      <c r="D124" s="51"/>
      <c r="E124" s="51"/>
      <c r="F124" s="182"/>
      <c r="G124" s="182"/>
      <c r="H124" s="171"/>
      <c r="I124" s="521"/>
      <c r="J124" s="521"/>
      <c r="K124" s="522"/>
    </row>
    <row r="125" spans="1:11">
      <c r="A125" s="176">
        <v>0</v>
      </c>
      <c r="B125" s="51" t="s">
        <v>188</v>
      </c>
      <c r="C125" s="51"/>
      <c r="D125" s="51"/>
      <c r="E125" s="51"/>
      <c r="F125" s="182"/>
      <c r="G125" s="182"/>
      <c r="H125" s="171"/>
      <c r="I125" s="521"/>
      <c r="J125" s="521"/>
      <c r="K125" s="522"/>
    </row>
    <row r="126" spans="1:11">
      <c r="A126" s="176">
        <v>0</v>
      </c>
      <c r="B126" s="51" t="s">
        <v>188</v>
      </c>
      <c r="C126" s="51"/>
      <c r="D126" s="51"/>
      <c r="E126" s="51"/>
      <c r="F126" s="182"/>
      <c r="G126" s="182"/>
      <c r="H126" s="171"/>
      <c r="I126" s="521"/>
      <c r="J126" s="521"/>
      <c r="K126" s="522"/>
    </row>
    <row r="127" spans="1:11">
      <c r="A127" s="176">
        <v>0</v>
      </c>
      <c r="B127" s="51" t="s">
        <v>188</v>
      </c>
      <c r="C127" s="51"/>
      <c r="D127" s="51"/>
      <c r="E127" s="51"/>
      <c r="F127" s="182"/>
      <c r="G127" s="182"/>
      <c r="H127" s="171"/>
      <c r="I127" s="521"/>
      <c r="J127" s="521"/>
      <c r="K127" s="522"/>
    </row>
    <row r="128" spans="1:11">
      <c r="A128" s="176">
        <v>0</v>
      </c>
      <c r="B128" s="51" t="s">
        <v>188</v>
      </c>
      <c r="C128" s="51"/>
      <c r="D128" s="51"/>
      <c r="E128" s="51"/>
      <c r="F128" s="182"/>
      <c r="G128" s="182"/>
      <c r="H128" s="171"/>
      <c r="I128" s="521"/>
      <c r="J128" s="521"/>
      <c r="K128" s="522"/>
    </row>
    <row r="129" spans="1:11">
      <c r="A129" s="176">
        <v>0</v>
      </c>
      <c r="B129" s="51" t="s">
        <v>188</v>
      </c>
      <c r="C129" s="51"/>
      <c r="D129" s="51"/>
      <c r="E129" s="51"/>
      <c r="F129" s="182"/>
      <c r="G129" s="182"/>
      <c r="H129" s="171"/>
      <c r="I129" s="521"/>
      <c r="J129" s="521"/>
      <c r="K129" s="522"/>
    </row>
    <row r="130" spans="1:11">
      <c r="A130" s="176">
        <v>0</v>
      </c>
      <c r="B130" s="51" t="s">
        <v>188</v>
      </c>
      <c r="C130" s="51"/>
      <c r="D130" s="51"/>
      <c r="E130" s="51"/>
      <c r="F130" s="182"/>
      <c r="G130" s="182"/>
      <c r="H130" s="171"/>
      <c r="I130" s="521"/>
      <c r="J130" s="521"/>
      <c r="K130" s="522"/>
    </row>
    <row r="131" spans="1:11">
      <c r="A131" s="176">
        <v>0</v>
      </c>
      <c r="B131" s="51" t="s">
        <v>188</v>
      </c>
      <c r="C131" s="51"/>
      <c r="D131" s="51"/>
      <c r="E131" s="51"/>
      <c r="F131" s="182"/>
      <c r="G131" s="182"/>
      <c r="H131" s="171"/>
      <c r="I131" s="521"/>
      <c r="J131" s="521"/>
      <c r="K131" s="522"/>
    </row>
    <row r="132" spans="1:11">
      <c r="A132" s="176">
        <v>0</v>
      </c>
      <c r="B132" s="51" t="s">
        <v>188</v>
      </c>
      <c r="C132" s="51"/>
      <c r="D132" s="51"/>
      <c r="E132" s="51"/>
      <c r="F132" s="182"/>
      <c r="G132" s="182"/>
      <c r="H132" s="171"/>
      <c r="I132" s="521"/>
      <c r="J132" s="521"/>
      <c r="K132" s="522"/>
    </row>
    <row r="133" spans="1:11">
      <c r="A133" s="176">
        <v>0</v>
      </c>
      <c r="B133" s="51" t="s">
        <v>188</v>
      </c>
      <c r="C133" s="51"/>
      <c r="D133" s="51"/>
      <c r="E133" s="51"/>
      <c r="F133" s="182"/>
      <c r="G133" s="182"/>
      <c r="H133" s="171"/>
      <c r="I133" s="521"/>
      <c r="J133" s="521"/>
      <c r="K133" s="522"/>
    </row>
    <row r="134" spans="1:11">
      <c r="A134" s="176">
        <v>0</v>
      </c>
      <c r="B134" s="51" t="s">
        <v>188</v>
      </c>
      <c r="C134" s="51"/>
      <c r="D134" s="51"/>
      <c r="E134" s="51"/>
      <c r="F134" s="182"/>
      <c r="G134" s="182"/>
      <c r="H134" s="171"/>
      <c r="I134" s="521"/>
      <c r="J134" s="521"/>
      <c r="K134" s="522"/>
    </row>
    <row r="135" spans="1:11">
      <c r="A135" s="176">
        <v>0</v>
      </c>
      <c r="B135" s="51" t="s">
        <v>188</v>
      </c>
      <c r="C135" s="51"/>
      <c r="D135" s="51"/>
      <c r="E135" s="51"/>
      <c r="F135" s="182"/>
      <c r="G135" s="182"/>
      <c r="H135" s="171"/>
      <c r="I135" s="521"/>
      <c r="J135" s="521"/>
      <c r="K135" s="522"/>
    </row>
    <row r="136" spans="1:11">
      <c r="A136" s="176">
        <v>0</v>
      </c>
      <c r="B136" s="51" t="s">
        <v>188</v>
      </c>
      <c r="C136" s="51"/>
      <c r="D136" s="51"/>
      <c r="E136" s="51"/>
      <c r="F136" s="182"/>
      <c r="G136" s="182"/>
      <c r="H136" s="171"/>
      <c r="I136" s="521"/>
      <c r="J136" s="521"/>
      <c r="K136" s="522"/>
    </row>
    <row r="137" spans="1:11">
      <c r="A137" s="176">
        <v>0</v>
      </c>
      <c r="B137" s="51" t="s">
        <v>188</v>
      </c>
      <c r="C137" s="51"/>
      <c r="D137" s="51"/>
      <c r="E137" s="51"/>
      <c r="F137" s="182"/>
      <c r="G137" s="182"/>
      <c r="H137" s="171"/>
      <c r="I137" s="521"/>
      <c r="J137" s="521"/>
      <c r="K137" s="522"/>
    </row>
    <row r="138" spans="1:11">
      <c r="A138" s="176">
        <v>0</v>
      </c>
      <c r="B138" s="51" t="s">
        <v>188</v>
      </c>
      <c r="C138" s="51"/>
      <c r="D138" s="51"/>
      <c r="E138" s="51"/>
      <c r="F138" s="182"/>
      <c r="G138" s="182"/>
      <c r="H138" s="171"/>
      <c r="I138" s="521"/>
      <c r="J138" s="521"/>
      <c r="K138" s="522"/>
    </row>
    <row r="139" spans="1:11">
      <c r="A139" s="174"/>
      <c r="B139" s="174"/>
      <c r="C139" s="174"/>
      <c r="D139" s="174"/>
      <c r="E139" s="174"/>
      <c r="F139" s="174"/>
      <c r="G139" s="174"/>
      <c r="H139" s="174"/>
      <c r="I139" s="416"/>
      <c r="J139" s="416"/>
      <c r="K139" s="416"/>
    </row>
    <row r="140" spans="1:11">
      <c r="A140" s="176">
        <v>0</v>
      </c>
      <c r="B140" s="51" t="s">
        <v>189</v>
      </c>
      <c r="C140" s="51"/>
      <c r="D140" s="15"/>
      <c r="E140" s="51"/>
      <c r="F140" s="182"/>
      <c r="G140" s="182"/>
      <c r="H140" s="171"/>
      <c r="I140" s="521"/>
      <c r="J140" s="521"/>
      <c r="K140" s="522"/>
    </row>
    <row r="141" spans="1:11">
      <c r="A141" s="176">
        <v>0</v>
      </c>
      <c r="B141" s="51" t="s">
        <v>189</v>
      </c>
      <c r="C141" s="51"/>
      <c r="D141" s="15"/>
      <c r="E141" s="51"/>
      <c r="F141" s="182"/>
      <c r="G141" s="182"/>
      <c r="H141" s="171"/>
      <c r="I141" s="521"/>
      <c r="J141" s="521"/>
      <c r="K141" s="522"/>
    </row>
    <row r="142" spans="1:11">
      <c r="A142" s="176">
        <v>0</v>
      </c>
      <c r="B142" s="51" t="s">
        <v>189</v>
      </c>
      <c r="C142" s="51"/>
      <c r="D142" s="15"/>
      <c r="E142" s="51"/>
      <c r="F142" s="182"/>
      <c r="G142" s="182"/>
      <c r="H142" s="171"/>
      <c r="I142" s="521"/>
      <c r="J142" s="521"/>
      <c r="K142" s="522"/>
    </row>
    <row r="143" spans="1:11">
      <c r="A143" s="176">
        <v>0</v>
      </c>
      <c r="B143" s="51" t="s">
        <v>189</v>
      </c>
      <c r="C143" s="51"/>
      <c r="D143" s="15"/>
      <c r="E143" s="51"/>
      <c r="F143" s="182"/>
      <c r="G143" s="182"/>
      <c r="H143" s="171"/>
      <c r="I143" s="521"/>
      <c r="J143" s="521"/>
      <c r="K143" s="522"/>
    </row>
    <row r="144" spans="1:11">
      <c r="A144" s="176">
        <v>0</v>
      </c>
      <c r="B144" s="51" t="s">
        <v>189</v>
      </c>
      <c r="C144" s="51"/>
      <c r="D144" s="15"/>
      <c r="E144" s="51"/>
      <c r="F144" s="182"/>
      <c r="G144" s="182"/>
      <c r="H144" s="171"/>
      <c r="I144" s="521"/>
      <c r="J144" s="521"/>
      <c r="K144" s="522"/>
    </row>
    <row r="145" spans="1:11">
      <c r="A145" s="176">
        <v>0</v>
      </c>
      <c r="B145" s="51" t="s">
        <v>189</v>
      </c>
      <c r="C145" s="51"/>
      <c r="D145" s="15"/>
      <c r="E145" s="51"/>
      <c r="F145" s="182"/>
      <c r="G145" s="182"/>
      <c r="H145" s="171"/>
      <c r="I145" s="521"/>
      <c r="J145" s="521"/>
      <c r="K145" s="522"/>
    </row>
    <row r="146" spans="1:11">
      <c r="A146" s="176">
        <v>0</v>
      </c>
      <c r="B146" s="51" t="s">
        <v>189</v>
      </c>
      <c r="C146" s="51"/>
      <c r="D146" s="15"/>
      <c r="E146" s="51"/>
      <c r="F146" s="182"/>
      <c r="G146" s="182"/>
      <c r="H146" s="171"/>
      <c r="I146" s="521"/>
      <c r="J146" s="521"/>
      <c r="K146" s="522"/>
    </row>
    <row r="147" spans="1:11">
      <c r="A147" s="176">
        <v>0</v>
      </c>
      <c r="B147" s="51" t="s">
        <v>189</v>
      </c>
      <c r="C147" s="51"/>
      <c r="D147" s="15"/>
      <c r="E147" s="51"/>
      <c r="F147" s="182"/>
      <c r="G147" s="182"/>
      <c r="H147" s="171"/>
      <c r="I147" s="521"/>
      <c r="J147" s="521"/>
      <c r="K147" s="522"/>
    </row>
    <row r="148" spans="1:11">
      <c r="A148" s="176">
        <v>0</v>
      </c>
      <c r="B148" s="51" t="s">
        <v>189</v>
      </c>
      <c r="C148" s="51"/>
      <c r="D148" s="15"/>
      <c r="E148" s="51"/>
      <c r="F148" s="182"/>
      <c r="G148" s="182"/>
      <c r="H148" s="171"/>
      <c r="I148" s="521"/>
      <c r="J148" s="521"/>
      <c r="K148" s="522"/>
    </row>
    <row r="149" spans="1:11">
      <c r="A149" s="176">
        <v>0</v>
      </c>
      <c r="B149" s="51" t="s">
        <v>189</v>
      </c>
      <c r="C149" s="51"/>
      <c r="D149" s="15"/>
      <c r="E149" s="51"/>
      <c r="F149" s="182"/>
      <c r="G149" s="182"/>
      <c r="H149" s="171"/>
      <c r="I149" s="521"/>
      <c r="J149" s="521"/>
      <c r="K149" s="522"/>
    </row>
    <row r="150" spans="1:11">
      <c r="A150" s="176">
        <v>0</v>
      </c>
      <c r="B150" s="51" t="s">
        <v>189</v>
      </c>
      <c r="C150" s="51"/>
      <c r="D150" s="15"/>
      <c r="E150" s="51"/>
      <c r="F150" s="182"/>
      <c r="G150" s="182"/>
      <c r="H150" s="171"/>
      <c r="I150" s="521"/>
      <c r="J150" s="521"/>
      <c r="K150" s="522"/>
    </row>
    <row r="151" spans="1:11">
      <c r="A151" s="176">
        <v>0</v>
      </c>
      <c r="B151" s="51" t="s">
        <v>189</v>
      </c>
      <c r="C151" s="51"/>
      <c r="D151" s="15"/>
      <c r="E151" s="51"/>
      <c r="F151" s="182"/>
      <c r="G151" s="182"/>
      <c r="H151" s="171"/>
      <c r="I151" s="521"/>
      <c r="J151" s="521"/>
      <c r="K151" s="522"/>
    </row>
    <row r="152" spans="1:11">
      <c r="A152" s="174"/>
      <c r="B152" s="174"/>
      <c r="C152" s="174"/>
      <c r="D152" s="174"/>
      <c r="E152" s="174"/>
      <c r="F152" s="174"/>
      <c r="G152" s="174"/>
      <c r="H152" s="174"/>
      <c r="I152" s="416"/>
      <c r="J152" s="416"/>
      <c r="K152" s="416"/>
    </row>
    <row r="153" spans="1:11">
      <c r="A153" s="176">
        <v>0</v>
      </c>
      <c r="B153" s="51" t="s">
        <v>190</v>
      </c>
      <c r="C153" s="51"/>
      <c r="D153" s="51"/>
      <c r="E153" s="51"/>
      <c r="F153" s="182"/>
      <c r="G153" s="182"/>
      <c r="H153" s="171"/>
      <c r="I153" s="521"/>
      <c r="J153" s="521"/>
      <c r="K153" s="522"/>
    </row>
    <row r="154" spans="1:11">
      <c r="A154" s="176">
        <v>0</v>
      </c>
      <c r="B154" s="51" t="s">
        <v>190</v>
      </c>
      <c r="C154" s="51"/>
      <c r="D154" s="51"/>
      <c r="E154" s="51"/>
      <c r="F154" s="182"/>
      <c r="G154" s="182"/>
      <c r="H154" s="171"/>
      <c r="I154" s="521"/>
      <c r="J154" s="521"/>
      <c r="K154" s="522"/>
    </row>
    <row r="155" spans="1:11">
      <c r="A155" s="176">
        <v>0</v>
      </c>
      <c r="B155" s="51" t="s">
        <v>190</v>
      </c>
      <c r="C155" s="51"/>
      <c r="D155" s="51"/>
      <c r="E155" s="51"/>
      <c r="F155" s="182"/>
      <c r="G155" s="182"/>
      <c r="H155" s="171"/>
      <c r="I155" s="521"/>
      <c r="J155" s="521"/>
      <c r="K155" s="522"/>
    </row>
    <row r="156" spans="1:11">
      <c r="A156" s="176">
        <v>0</v>
      </c>
      <c r="B156" s="51" t="s">
        <v>190</v>
      </c>
      <c r="C156" s="51"/>
      <c r="D156" s="51"/>
      <c r="E156" s="51"/>
      <c r="F156" s="182"/>
      <c r="G156" s="182"/>
      <c r="H156" s="171"/>
      <c r="I156" s="521"/>
      <c r="J156" s="521"/>
      <c r="K156" s="522"/>
    </row>
    <row r="157" spans="1:11">
      <c r="A157" s="176">
        <v>0</v>
      </c>
      <c r="B157" s="51" t="s">
        <v>190</v>
      </c>
      <c r="C157" s="51"/>
      <c r="D157" s="51"/>
      <c r="E157" s="51"/>
      <c r="F157" s="182"/>
      <c r="G157" s="182"/>
      <c r="H157" s="171"/>
      <c r="I157" s="521"/>
      <c r="J157" s="521"/>
      <c r="K157" s="522"/>
    </row>
    <row r="158" spans="1:11">
      <c r="A158" s="176">
        <v>0</v>
      </c>
      <c r="B158" s="51" t="s">
        <v>190</v>
      </c>
      <c r="C158" s="51"/>
      <c r="D158" s="51"/>
      <c r="E158" s="51"/>
      <c r="F158" s="182"/>
      <c r="G158" s="182"/>
      <c r="H158" s="171"/>
      <c r="I158" s="521"/>
      <c r="J158" s="521"/>
      <c r="K158" s="522"/>
    </row>
    <row r="159" spans="1:11">
      <c r="A159" s="176">
        <v>0</v>
      </c>
      <c r="B159" s="51" t="s">
        <v>190</v>
      </c>
      <c r="C159" s="51"/>
      <c r="D159" s="51"/>
      <c r="E159" s="51"/>
      <c r="F159" s="182"/>
      <c r="G159" s="182"/>
      <c r="H159" s="171"/>
      <c r="I159" s="521"/>
      <c r="J159" s="521"/>
      <c r="K159" s="522"/>
    </row>
    <row r="160" spans="1:11">
      <c r="A160" s="176">
        <v>0</v>
      </c>
      <c r="B160" s="51" t="s">
        <v>190</v>
      </c>
      <c r="C160" s="51"/>
      <c r="D160" s="51"/>
      <c r="E160" s="51"/>
      <c r="F160" s="182"/>
      <c r="G160" s="182"/>
      <c r="H160" s="171"/>
      <c r="I160" s="521"/>
      <c r="J160" s="521"/>
      <c r="K160" s="522"/>
    </row>
    <row r="161" spans="1:11">
      <c r="A161" s="176">
        <v>0</v>
      </c>
      <c r="B161" s="51" t="s">
        <v>190</v>
      </c>
      <c r="C161" s="51"/>
      <c r="D161" s="51"/>
      <c r="E161" s="51"/>
      <c r="F161" s="182"/>
      <c r="G161" s="182"/>
      <c r="H161" s="171"/>
      <c r="I161" s="521"/>
      <c r="J161" s="521"/>
      <c r="K161" s="522"/>
    </row>
    <row r="162" spans="1:11">
      <c r="A162" s="176">
        <v>0</v>
      </c>
      <c r="B162" s="51" t="s">
        <v>190</v>
      </c>
      <c r="C162" s="51"/>
      <c r="D162" s="51"/>
      <c r="E162" s="51"/>
      <c r="F162" s="182"/>
      <c r="G162" s="182"/>
      <c r="H162" s="171"/>
      <c r="I162" s="521"/>
      <c r="J162" s="521"/>
      <c r="K162" s="522"/>
    </row>
    <row r="163" spans="1:11">
      <c r="A163" s="174"/>
      <c r="B163" s="174"/>
      <c r="C163" s="174"/>
      <c r="D163" s="174"/>
      <c r="E163" s="174"/>
      <c r="F163" s="174"/>
      <c r="G163" s="174"/>
      <c r="H163" s="174"/>
      <c r="I163" s="416"/>
      <c r="J163" s="416"/>
      <c r="K163" s="416"/>
    </row>
    <row r="164" spans="1:11">
      <c r="A164" s="176">
        <v>0</v>
      </c>
      <c r="B164" s="51" t="s">
        <v>191</v>
      </c>
      <c r="C164" s="51"/>
      <c r="D164" s="51"/>
      <c r="E164" s="51"/>
      <c r="F164" s="182"/>
      <c r="G164" s="182"/>
      <c r="H164" s="171"/>
      <c r="I164" s="521"/>
      <c r="J164" s="521"/>
      <c r="K164" s="522"/>
    </row>
    <row r="165" spans="1:11">
      <c r="A165" s="176">
        <v>0</v>
      </c>
      <c r="B165" s="51" t="s">
        <v>191</v>
      </c>
      <c r="C165" s="51"/>
      <c r="D165" s="51"/>
      <c r="E165" s="51"/>
      <c r="F165" s="182"/>
      <c r="G165" s="182"/>
      <c r="H165" s="171"/>
      <c r="I165" s="521"/>
      <c r="J165" s="521"/>
      <c r="K165" s="522"/>
    </row>
    <row r="166" spans="1:11">
      <c r="A166" s="176">
        <v>0</v>
      </c>
      <c r="B166" s="51" t="s">
        <v>191</v>
      </c>
      <c r="C166" s="51"/>
      <c r="D166" s="51"/>
      <c r="E166" s="51"/>
      <c r="F166" s="182"/>
      <c r="G166" s="182"/>
      <c r="H166" s="171"/>
      <c r="I166" s="521"/>
      <c r="J166" s="521"/>
      <c r="K166" s="522"/>
    </row>
    <row r="167" spans="1:11">
      <c r="A167" s="176">
        <v>0</v>
      </c>
      <c r="B167" s="51" t="s">
        <v>191</v>
      </c>
      <c r="C167" s="51"/>
      <c r="D167" s="51"/>
      <c r="E167" s="51"/>
      <c r="F167" s="182"/>
      <c r="G167" s="182"/>
      <c r="H167" s="171"/>
      <c r="I167" s="521"/>
      <c r="J167" s="521"/>
      <c r="K167" s="522"/>
    </row>
    <row r="168" spans="1:11">
      <c r="A168" s="176">
        <v>0</v>
      </c>
      <c r="B168" s="51" t="s">
        <v>191</v>
      </c>
      <c r="C168" s="51"/>
      <c r="D168" s="51"/>
      <c r="E168" s="51"/>
      <c r="F168" s="182"/>
      <c r="G168" s="182"/>
      <c r="H168" s="171"/>
      <c r="I168" s="521"/>
      <c r="J168" s="521"/>
      <c r="K168" s="522"/>
    </row>
    <row r="169" spans="1:11">
      <c r="A169" s="176">
        <v>0</v>
      </c>
      <c r="B169" s="51" t="s">
        <v>192</v>
      </c>
      <c r="C169" s="51"/>
      <c r="D169" s="51"/>
      <c r="E169" s="51"/>
      <c r="F169" s="182"/>
      <c r="G169" s="182"/>
      <c r="H169" s="171"/>
      <c r="I169" s="521"/>
      <c r="J169" s="521"/>
      <c r="K169" s="522"/>
    </row>
    <row r="170" spans="1:11">
      <c r="A170" s="176">
        <v>0</v>
      </c>
      <c r="B170" s="51" t="s">
        <v>192</v>
      </c>
      <c r="C170" s="51"/>
      <c r="D170" s="51"/>
      <c r="E170" s="51"/>
      <c r="F170" s="182"/>
      <c r="G170" s="182"/>
      <c r="H170" s="171"/>
      <c r="I170" s="521"/>
      <c r="J170" s="521"/>
      <c r="K170" s="522"/>
    </row>
    <row r="171" spans="1:11">
      <c r="A171" s="176">
        <v>0</v>
      </c>
      <c r="B171" s="51" t="s">
        <v>192</v>
      </c>
      <c r="C171" s="51"/>
      <c r="D171" s="51"/>
      <c r="E171" s="51"/>
      <c r="F171" s="182"/>
      <c r="G171" s="182"/>
      <c r="H171" s="171"/>
      <c r="I171" s="521"/>
      <c r="J171" s="521"/>
      <c r="K171" s="522"/>
    </row>
    <row r="172" spans="1:11">
      <c r="A172" s="176">
        <v>0</v>
      </c>
      <c r="B172" s="51" t="s">
        <v>192</v>
      </c>
      <c r="C172" s="51"/>
      <c r="D172" s="51"/>
      <c r="E172" s="51"/>
      <c r="F172" s="182"/>
      <c r="G172" s="182"/>
      <c r="H172" s="171"/>
      <c r="I172" s="521"/>
      <c r="J172" s="521"/>
      <c r="K172" s="522"/>
    </row>
    <row r="173" spans="1:11">
      <c r="A173" s="174"/>
      <c r="B173" s="174"/>
      <c r="C173" s="174"/>
      <c r="D173" s="174"/>
      <c r="E173" s="174"/>
      <c r="F173" s="174"/>
      <c r="G173" s="174"/>
      <c r="H173" s="174"/>
      <c r="I173" s="416"/>
      <c r="J173" s="416"/>
      <c r="K173" s="416"/>
    </row>
    <row r="174" spans="1:11">
      <c r="A174" s="176">
        <v>0</v>
      </c>
      <c r="B174" s="51" t="s">
        <v>1100</v>
      </c>
      <c r="C174" s="51"/>
      <c r="D174" s="51"/>
      <c r="E174" s="51"/>
      <c r="F174" s="182"/>
      <c r="G174" s="182"/>
      <c r="H174" s="171"/>
      <c r="I174" s="521"/>
      <c r="J174" s="521"/>
      <c r="K174" s="522"/>
    </row>
    <row r="175" spans="1:11">
      <c r="A175" s="176">
        <v>0</v>
      </c>
      <c r="B175" s="51" t="s">
        <v>193</v>
      </c>
      <c r="C175" s="51"/>
      <c r="D175" s="51"/>
      <c r="E175" s="51"/>
      <c r="F175" s="182"/>
      <c r="G175" s="182"/>
      <c r="H175" s="171"/>
      <c r="I175" s="521"/>
      <c r="J175" s="521"/>
      <c r="K175" s="522"/>
    </row>
    <row r="176" spans="1:11">
      <c r="A176" s="176">
        <v>0</v>
      </c>
      <c r="B176" s="51" t="s">
        <v>1101</v>
      </c>
      <c r="C176" s="51"/>
      <c r="D176" s="51"/>
      <c r="E176" s="51"/>
      <c r="F176" s="182"/>
      <c r="G176" s="182"/>
      <c r="H176" s="171"/>
      <c r="I176" s="521"/>
      <c r="J176" s="521"/>
      <c r="K176" s="522"/>
    </row>
    <row r="177" spans="1:11">
      <c r="A177" s="174"/>
      <c r="B177" s="174"/>
      <c r="C177" s="174"/>
      <c r="D177" s="174"/>
      <c r="E177" s="174"/>
      <c r="F177" s="174"/>
      <c r="G177" s="174"/>
      <c r="H177" s="174"/>
      <c r="I177" s="416"/>
      <c r="J177" s="416"/>
      <c r="K177" s="416"/>
    </row>
    <row r="178" spans="1:11">
      <c r="A178" s="176">
        <v>0</v>
      </c>
      <c r="B178" s="51" t="s">
        <v>1019</v>
      </c>
      <c r="C178" s="51"/>
      <c r="D178" s="51"/>
      <c r="E178" s="51"/>
      <c r="F178" s="182"/>
      <c r="G178" s="182"/>
      <c r="H178" s="171"/>
      <c r="I178" s="521"/>
      <c r="J178" s="521"/>
      <c r="K178" s="522"/>
    </row>
    <row r="179" spans="1:11">
      <c r="A179" s="176">
        <v>0</v>
      </c>
      <c r="B179" s="51" t="s">
        <v>1020</v>
      </c>
      <c r="C179" s="51"/>
      <c r="D179" s="51"/>
      <c r="E179" s="51"/>
      <c r="F179" s="182"/>
      <c r="G179" s="182"/>
      <c r="H179" s="171"/>
      <c r="I179" s="521"/>
      <c r="J179" s="521"/>
      <c r="K179" s="522"/>
    </row>
    <row r="180" spans="1:1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</row>
  </sheetData>
  <mergeCells count="2">
    <mergeCell ref="A1:J1"/>
    <mergeCell ref="C4:J4"/>
  </mergeCells>
  <conditionalFormatting sqref="F5:G151 G152 F153:G176">
    <cfRule type="cellIs" dxfId="118" priority="3" operator="equal">
      <formula>0</formula>
    </cfRule>
  </conditionalFormatting>
  <conditionalFormatting sqref="F178:G179">
    <cfRule type="cellIs" dxfId="117" priority="1" operator="equal">
      <formula>0</formula>
    </cfRule>
  </conditionalFormatting>
  <conditionalFormatting sqref="I5:K176">
    <cfRule type="cellIs" dxfId="116" priority="4" operator="equal">
      <formula>0</formula>
    </cfRule>
  </conditionalFormatting>
  <conditionalFormatting sqref="I178:K179">
    <cfRule type="cellIs" dxfId="115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AC183"/>
  <sheetViews>
    <sheetView zoomScale="90" zoomScaleNormal="90" workbookViewId="0">
      <pane xSplit="2" ySplit="3" topLeftCell="C150" activePane="bottomRight" state="frozen"/>
      <selection pane="topRight" activeCell="C1" sqref="C1"/>
      <selection pane="bottomLeft" activeCell="A4" sqref="A4"/>
      <selection pane="bottomRight" activeCell="W179" sqref="W179:AC179"/>
    </sheetView>
  </sheetViews>
  <sheetFormatPr baseColWidth="10" defaultColWidth="11.44140625" defaultRowHeight="14.4"/>
  <cols>
    <col min="1" max="1" width="4.88671875" style="47" customWidth="1"/>
    <col min="2" max="2" width="22.5546875" style="47" customWidth="1"/>
    <col min="3" max="3" width="4.6640625" style="47" customWidth="1"/>
    <col min="4" max="4" width="5.109375" style="47" customWidth="1"/>
    <col min="5" max="5" width="11.44140625" style="47" customWidth="1"/>
    <col min="6" max="6" width="14.88671875" style="47" customWidth="1"/>
    <col min="7" max="7" width="6.44140625" style="48" bestFit="1" customWidth="1"/>
    <col min="8" max="8" width="7.21875" style="48" customWidth="1"/>
    <col min="9" max="22" width="9.44140625" style="48" customWidth="1"/>
    <col min="23" max="23" width="11.44140625" style="48" customWidth="1"/>
    <col min="24" max="29" width="9.44140625" style="48" customWidth="1"/>
    <col min="30" max="16384" width="11.44140625" style="48"/>
  </cols>
  <sheetData>
    <row r="1" spans="1:29" ht="24" customHeight="1">
      <c r="A1" s="674" t="s">
        <v>196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  <c r="X1" s="674"/>
      <c r="Y1" s="674"/>
      <c r="Z1" s="674"/>
      <c r="AA1" s="674"/>
      <c r="AB1" s="674"/>
      <c r="AC1" s="674"/>
    </row>
    <row r="2" spans="1:29" ht="90" customHeight="1">
      <c r="A2" s="240"/>
      <c r="B2" s="241" t="s">
        <v>125</v>
      </c>
      <c r="C2" s="245" t="s">
        <v>177</v>
      </c>
      <c r="D2" s="245" t="s">
        <v>178</v>
      </c>
      <c r="E2" s="241" t="s">
        <v>179</v>
      </c>
      <c r="F2" s="246" t="s">
        <v>197</v>
      </c>
      <c r="G2" s="246" t="s">
        <v>198</v>
      </c>
      <c r="H2" s="246" t="s">
        <v>911</v>
      </c>
      <c r="I2" s="408" t="s">
        <v>912</v>
      </c>
      <c r="J2" s="408" t="s">
        <v>912</v>
      </c>
      <c r="K2" s="408" t="s">
        <v>912</v>
      </c>
      <c r="L2" s="408" t="s">
        <v>912</v>
      </c>
      <c r="M2" s="408" t="s">
        <v>912</v>
      </c>
      <c r="N2" s="408" t="s">
        <v>912</v>
      </c>
      <c r="O2" s="408" t="s">
        <v>912</v>
      </c>
      <c r="P2" s="411" t="s">
        <v>913</v>
      </c>
      <c r="Q2" s="411" t="s">
        <v>913</v>
      </c>
      <c r="R2" s="411" t="s">
        <v>913</v>
      </c>
      <c r="S2" s="411" t="s">
        <v>913</v>
      </c>
      <c r="T2" s="411" t="s">
        <v>913</v>
      </c>
      <c r="U2" s="411" t="s">
        <v>913</v>
      </c>
      <c r="V2" s="411" t="s">
        <v>913</v>
      </c>
      <c r="W2" s="414" t="s">
        <v>914</v>
      </c>
      <c r="X2" s="414" t="s">
        <v>914</v>
      </c>
      <c r="Y2" s="414" t="s">
        <v>914</v>
      </c>
      <c r="Z2" s="414" t="s">
        <v>914</v>
      </c>
      <c r="AA2" s="414" t="s">
        <v>914</v>
      </c>
      <c r="AB2" s="414" t="s">
        <v>914</v>
      </c>
      <c r="AC2" s="414" t="s">
        <v>914</v>
      </c>
    </row>
    <row r="3" spans="1:29" s="406" customFormat="1" ht="25.2" customHeight="1">
      <c r="A3" s="403"/>
      <c r="B3" s="404"/>
      <c r="C3" s="405"/>
      <c r="D3" s="405"/>
      <c r="E3" s="405"/>
      <c r="F3" s="404"/>
      <c r="G3" s="407">
        <f>'A. Resumen Costes Personal Año'!D14</f>
        <v>2026</v>
      </c>
      <c r="H3" s="407">
        <f>'A. Resumen Costes Personal Año'!D15</f>
        <v>2032</v>
      </c>
      <c r="I3" s="409">
        <v>2026</v>
      </c>
      <c r="J3" s="409">
        <v>2027</v>
      </c>
      <c r="K3" s="409">
        <v>2028</v>
      </c>
      <c r="L3" s="409">
        <v>2029</v>
      </c>
      <c r="M3" s="409">
        <v>2030</v>
      </c>
      <c r="N3" s="409">
        <v>2031</v>
      </c>
      <c r="O3" s="409">
        <v>2032</v>
      </c>
      <c r="P3" s="412">
        <v>2026</v>
      </c>
      <c r="Q3" s="412">
        <v>2027</v>
      </c>
      <c r="R3" s="412">
        <v>2028</v>
      </c>
      <c r="S3" s="412">
        <v>2029</v>
      </c>
      <c r="T3" s="412">
        <v>2030</v>
      </c>
      <c r="U3" s="412">
        <v>2031</v>
      </c>
      <c r="V3" s="412">
        <v>2032</v>
      </c>
      <c r="W3" s="415">
        <v>2026</v>
      </c>
      <c r="X3" s="415">
        <v>2027</v>
      </c>
      <c r="Y3" s="415">
        <v>2028</v>
      </c>
      <c r="Z3" s="415">
        <v>2029</v>
      </c>
      <c r="AA3" s="415">
        <v>2030</v>
      </c>
      <c r="AB3" s="415">
        <v>2031</v>
      </c>
      <c r="AC3" s="415">
        <v>2032</v>
      </c>
    </row>
    <row r="4" spans="1:29" ht="19.5" customHeight="1">
      <c r="A4" s="169"/>
      <c r="B4" s="93"/>
      <c r="C4" s="675" t="s">
        <v>183</v>
      </c>
      <c r="D4" s="675"/>
      <c r="E4" s="675"/>
      <c r="F4" s="93"/>
      <c r="G4" s="170"/>
      <c r="H4" s="170"/>
      <c r="I4" s="410">
        <f>(IF(AND(I3&gt;=$G$3,I3&lt;=$H$3),1,0))</f>
        <v>1</v>
      </c>
      <c r="J4" s="410">
        <f t="shared" ref="J4:O4" si="0">(IF(AND(J3&gt;=$G$3,J3&lt;=$H$3),1,0))</f>
        <v>1</v>
      </c>
      <c r="K4" s="410">
        <f>(IF(AND(K3&gt;=$G$3,K3&lt;=$H$3),1,0))</f>
        <v>1</v>
      </c>
      <c r="L4" s="410">
        <f t="shared" si="0"/>
        <v>1</v>
      </c>
      <c r="M4" s="410">
        <f t="shared" si="0"/>
        <v>1</v>
      </c>
      <c r="N4" s="410">
        <f t="shared" si="0"/>
        <v>1</v>
      </c>
      <c r="O4" s="410">
        <f t="shared" si="0"/>
        <v>1</v>
      </c>
      <c r="P4" s="413">
        <f>I4</f>
        <v>1</v>
      </c>
      <c r="Q4" s="413">
        <f t="shared" ref="Q4:V4" si="1">J4</f>
        <v>1</v>
      </c>
      <c r="R4" s="413">
        <f t="shared" si="1"/>
        <v>1</v>
      </c>
      <c r="S4" s="413">
        <f t="shared" si="1"/>
        <v>1</v>
      </c>
      <c r="T4" s="413">
        <f t="shared" si="1"/>
        <v>1</v>
      </c>
      <c r="U4" s="413">
        <f t="shared" si="1"/>
        <v>1</v>
      </c>
      <c r="V4" s="413">
        <f t="shared" si="1"/>
        <v>1</v>
      </c>
      <c r="W4" s="413">
        <f>P4</f>
        <v>1</v>
      </c>
      <c r="X4" s="413">
        <f t="shared" ref="X4" si="2">Q4</f>
        <v>1</v>
      </c>
      <c r="Y4" s="413">
        <f t="shared" ref="Y4" si="3">R4</f>
        <v>1</v>
      </c>
      <c r="Z4" s="413">
        <f t="shared" ref="Z4" si="4">S4</f>
        <v>1</v>
      </c>
      <c r="AA4" s="413">
        <f t="shared" ref="AA4" si="5">T4</f>
        <v>1</v>
      </c>
      <c r="AB4" s="413">
        <f t="shared" ref="AB4" si="6">U4</f>
        <v>1</v>
      </c>
      <c r="AC4" s="413">
        <f t="shared" ref="AC4" si="7">V4</f>
        <v>1</v>
      </c>
    </row>
    <row r="5" spans="1:29">
      <c r="A5" s="508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2">
        <f>YEAR(E5)</f>
        <v>1900</v>
      </c>
      <c r="G5" s="173">
        <f>G$3</f>
        <v>2026</v>
      </c>
      <c r="H5" s="173">
        <f>H$3</f>
        <v>2032</v>
      </c>
      <c r="I5" s="173">
        <f>($I$3-F5)*$I$4</f>
        <v>126</v>
      </c>
      <c r="J5" s="173">
        <f>($J$3-F5)*$J$4</f>
        <v>127</v>
      </c>
      <c r="K5" s="173">
        <f>($K$3-F5)*$K$4</f>
        <v>128</v>
      </c>
      <c r="L5" s="173">
        <f>($L$3-F5)*$L$4</f>
        <v>129</v>
      </c>
      <c r="M5" s="173">
        <f>($M$3-F5)*$M$4</f>
        <v>130</v>
      </c>
      <c r="N5" s="173">
        <f>($N$3-F5)*$N$4</f>
        <v>131</v>
      </c>
      <c r="O5" s="173">
        <f>($O$3-F5)*$O$4</f>
        <v>132</v>
      </c>
      <c r="P5" s="173">
        <f>IF(I5&gt;=28,28,IF(I5&gt;=26,26,(IF(I5&gt;=24,24,IF(I5&gt;=22,22,IF(I5&gt;=20,20,IF(I5&gt;=18,18,IF(I5&gt;=14,14,(IF(I5&gt;=10,10,(IF(I5&gt;=6,6,(IF(I5&gt;=2,2,0))))))))))))))</f>
        <v>28</v>
      </c>
      <c r="Q5" s="173">
        <f t="shared" ref="Q5:V5" si="8">IF(J5&gt;=28,28,IF(J5&gt;=26,26,(IF(J5&gt;=24,24,IF(J5&gt;=22,22,IF(J5&gt;=20,20,IF(J5&gt;=18,18,IF(J5&gt;=14,14,(IF(J5&gt;=10,10,(IF(J5&gt;=6,6,(IF(J5&gt;=2,2,0))))))))))))))</f>
        <v>28</v>
      </c>
      <c r="R5" s="173">
        <f t="shared" si="8"/>
        <v>28</v>
      </c>
      <c r="S5" s="173">
        <f t="shared" si="8"/>
        <v>28</v>
      </c>
      <c r="T5" s="173">
        <f t="shared" si="8"/>
        <v>28</v>
      </c>
      <c r="U5" s="173">
        <f t="shared" si="8"/>
        <v>28</v>
      </c>
      <c r="V5" s="173">
        <f t="shared" si="8"/>
        <v>28</v>
      </c>
      <c r="W5" s="175">
        <f>IF(P5=2,'A.0_Tablas salariales SC'!$P$9,(IF(P5=6,'A.0_Tablas salariales SC'!$P$10,IF(P5=10,'A.0_Tablas salariales SC'!$P$11,IF(P5=14,'A.0_Tablas salariales SC'!$P$12,IF(P5=18,'A.0_Tablas salariales SC'!$P$13,IF(P5=20,'A.0_Tablas salariales SC'!$P$14,IF(P5=22,'A.0_Tablas salariales SC'!$P$15,IF(P5=24,'A.0_Tablas salariales SC'!$P$16,IF(P5=26,'A.0_Tablas salariales SC'!$P$17,IF(P5=28,'A.0_Tablas salariales SC'!$P$18,0)))))))))))</f>
        <v>446.8</v>
      </c>
      <c r="X5" s="175">
        <f>IF(Q5=2,'A.0_Tablas salariales SC'!$P$36,(IF(Q5=6,'A.0_Tablas salariales SC'!$P$37,IF(Q5=10,'A.0_Tablas salariales SC'!$P$38,IF(Q5=14,'A.0_Tablas salariales SC'!$P$39,IF(Q5=18,'A.0_Tablas salariales SC'!$P$40,IF(Q5=20,'A.0_Tablas salariales SC'!$P$41,IF(Q5=22,'A.0_Tablas salariales SC'!$P$42,IF(Q5=24,'A.0_Tablas salariales SC'!$P$43,IF(Q5=26,'A.0_Tablas salariales SC'!$P$44,IF(Q5=28,'A.0_Tablas salariales SC'!$P$45,0)))))))))))</f>
        <v>462.44</v>
      </c>
      <c r="Y5" s="175">
        <f>IF(R5=2,'A.0_Tablas salariales SC'!$P$63,(IF(R5=6,'A.0_Tablas salariales SC'!$P$64,IF(R5=10,'A.0_Tablas salariales SC'!$P$65,IF(R5=14,'A.0_Tablas salariales SC'!$P$66,IF(R5=18,'A.0_Tablas salariales SC'!$P$67,IF(R5=20,'A.0_Tablas salariales SC'!$P$68,IF(R5=22,'A.0_Tablas salariales SC'!$P$69,IF(R5=24,'A.0_Tablas salariales SC'!$P$70,IF(R5=26,'A.0_Tablas salariales SC'!$P$71,IF(R5=28,'A.0_Tablas salariales SC'!$P$72,0)))))))))))</f>
        <v>480.93</v>
      </c>
      <c r="Z5" s="175">
        <f>IF(S5=2,'A.0_Tablas salariales SC'!$P$90,(IF(S5=6,'A.0_Tablas salariales SC'!$P$91,IF(S5=10,'A.0_Tablas salariales SC'!$P$92,IF(S5=14,'A.0_Tablas salariales SC'!$P$93,IF(S5=18,'A.0_Tablas salariales SC'!$P$94,IF(S5=20,'A.0_Tablas salariales SC'!$P$95,IF(S5=22,'A.0_Tablas salariales SC'!$P$96,IF(S5=24,'A.0_Tablas salariales SC'!$P$97,IF(S5=26,'A.0_Tablas salariales SC'!$P$98,IF(S5=28,'A.0_Tablas salariales SC'!$P$99,0)))))))))))</f>
        <v>502.58</v>
      </c>
      <c r="AA5" s="175">
        <f>IF(T5=2,'A.0_Tablas salariales SC'!$P$117,(IF(T5=6,'A.0_Tablas salariales SC'!$P$118,IF(T5=10,'A.0_Tablas salariales SC'!$P$119,IF(T5=14,'A.0_Tablas salariales SC'!$P$120,IF(T5=18,'A.0_Tablas salariales SC'!$P$121,IF(T5=20,'A.0_Tablas salariales SC'!$P$122,IF(T5=22,'A.0_Tablas salariales SC'!$P$123,IF(T5=24,'A.0_Tablas salariales SC'!$P$124,IF(T5=26,'A.0_Tablas salariales SC'!$P$125,IF(T5=28,'A.0_Tablas salariales SC'!$P$126,0)))))))))))</f>
        <v>527.70000000000005</v>
      </c>
      <c r="AB5" s="175">
        <f>IF(U5=2,'A.0_Tablas salariales SC'!$P$145,(IF(U5=6,'A.0_Tablas salariales SC'!$P$146,IF(U5=10,'A.0_Tablas salariales SC'!$P$147,IF(U5=14,'A.0_Tablas salariales SC'!$P$148,IF(U5=18,'A.0_Tablas salariales SC'!$P$149,IF(U5=20,'A.0_Tablas salariales SC'!$P$150,IF(U5=22,'A.0_Tablas salariales SC'!$P$151,IF(U5=24,'A.0_Tablas salariales SC'!$P$152,IF(U5=26,'A.0_Tablas salariales SC'!$P$153,IF(U5=28,'A.0_Tablas salariales SC'!$P$154,0)))))))))))</f>
        <v>543.53100000000006</v>
      </c>
      <c r="AC5" s="175">
        <f>IF(V5=2,'A.0_Tablas salariales SC'!$P$173,(IF(V5=6,'A.0_Tablas salariales SC'!$P$174,IF(V5=10,'A.0_Tablas salariales SC'!$P$175,IF(V5=14,'A.0_Tablas salariales SC'!$P$176,IF(V5=18,'A.0_Tablas salariales SC'!$P$177,IF(V5=20,'A.0_Tablas salariales SC'!$P$178,IF(V5=22,'A.0_Tablas salariales SC'!$P$179,IF(V5=24,'A.0_Tablas salariales SC'!$P$180,IF(V5=26,'A.0_Tablas salariales SC'!$P$181,IF(V5=28,'A.0_Tablas salariales SC'!$P$182,0)))))))))))</f>
        <v>559.83693000000005</v>
      </c>
    </row>
    <row r="6" spans="1:29">
      <c r="A6" s="508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2">
        <f>YEAR(E6)</f>
        <v>1900</v>
      </c>
      <c r="G6" s="173">
        <f t="shared" ref="G6:H12" si="9">G$3</f>
        <v>2026</v>
      </c>
      <c r="H6" s="173">
        <f t="shared" si="9"/>
        <v>2032</v>
      </c>
      <c r="I6" s="173">
        <f t="shared" ref="I6:I7" si="10">($I$3-F6)*$I$4</f>
        <v>126</v>
      </c>
      <c r="J6" s="173">
        <f t="shared" ref="J6:J7" si="11">($J$3-F6)*$J$4</f>
        <v>127</v>
      </c>
      <c r="K6" s="173">
        <f t="shared" ref="K6:K7" si="12">($K$3-F6)*$K$4</f>
        <v>128</v>
      </c>
      <c r="L6" s="173">
        <f t="shared" ref="L6:L7" si="13">($L$3-F6)*$L$4</f>
        <v>129</v>
      </c>
      <c r="M6" s="173">
        <f t="shared" ref="M6:M7" si="14">($M$3-F6)*$M$4</f>
        <v>130</v>
      </c>
      <c r="N6" s="173">
        <f t="shared" ref="N6:N7" si="15">($N$3-F6)*$N$4</f>
        <v>131</v>
      </c>
      <c r="O6" s="173">
        <f t="shared" ref="O6:O7" si="16">($O$3-F6)*$O$4</f>
        <v>132</v>
      </c>
      <c r="P6" s="173">
        <f t="shared" ref="P6:P7" si="17">IF(I6&gt;=28,28,IF(I6&gt;=26,26,(IF(I6&gt;=24,24,IF(I6&gt;=22,22,IF(I6&gt;=20,20,IF(I6&gt;=18,18,IF(I6&gt;=14,14,(IF(I6&gt;=10,10,(IF(I6&gt;=6,6,(IF(I6&gt;=2,2,0))))))))))))))</f>
        <v>28</v>
      </c>
      <c r="Q6" s="173">
        <f t="shared" ref="Q6:Q7" si="18">IF(J6&gt;=28,28,IF(J6&gt;=26,26,(IF(J6&gt;=24,24,IF(J6&gt;=22,22,IF(J6&gt;=20,20,IF(J6&gt;=18,18,IF(J6&gt;=14,14,(IF(J6&gt;=10,10,(IF(J6&gt;=6,6,(IF(J6&gt;=2,2,0))))))))))))))</f>
        <v>28</v>
      </c>
      <c r="R6" s="173">
        <f t="shared" ref="R6:R7" si="19">IF(K6&gt;=28,28,IF(K6&gt;=26,26,(IF(K6&gt;=24,24,IF(K6&gt;=22,22,IF(K6&gt;=20,20,IF(K6&gt;=18,18,IF(K6&gt;=14,14,(IF(K6&gt;=10,10,(IF(K6&gt;=6,6,(IF(K6&gt;=2,2,0))))))))))))))</f>
        <v>28</v>
      </c>
      <c r="S6" s="173">
        <f t="shared" ref="S6:S7" si="20">IF(L6&gt;=28,28,IF(L6&gt;=26,26,(IF(L6&gt;=24,24,IF(L6&gt;=22,22,IF(L6&gt;=20,20,IF(L6&gt;=18,18,IF(L6&gt;=14,14,(IF(L6&gt;=10,10,(IF(L6&gt;=6,6,(IF(L6&gt;=2,2,0))))))))))))))</f>
        <v>28</v>
      </c>
      <c r="T6" s="173">
        <f t="shared" ref="T6:T7" si="21">IF(M6&gt;=28,28,IF(M6&gt;=26,26,(IF(M6&gt;=24,24,IF(M6&gt;=22,22,IF(M6&gt;=20,20,IF(M6&gt;=18,18,IF(M6&gt;=14,14,(IF(M6&gt;=10,10,(IF(M6&gt;=6,6,(IF(M6&gt;=2,2,0))))))))))))))</f>
        <v>28</v>
      </c>
      <c r="U6" s="173">
        <f t="shared" ref="U6:U7" si="22">IF(N6&gt;=28,28,IF(N6&gt;=26,26,(IF(N6&gt;=24,24,IF(N6&gt;=22,22,IF(N6&gt;=20,20,IF(N6&gt;=18,18,IF(N6&gt;=14,14,(IF(N6&gt;=10,10,(IF(N6&gt;=6,6,(IF(N6&gt;=2,2,0))))))))))))))</f>
        <v>28</v>
      </c>
      <c r="V6" s="173">
        <f t="shared" ref="V6:V7" si="23">IF(O6&gt;=28,28,IF(O6&gt;=26,26,(IF(O6&gt;=24,24,IF(O6&gt;=22,22,IF(O6&gt;=20,20,IF(O6&gt;=18,18,IF(O6&gt;=14,14,(IF(O6&gt;=10,10,(IF(O6&gt;=6,6,(IF(O6&gt;=2,2,0))))))))))))))</f>
        <v>28</v>
      </c>
      <c r="W6" s="175">
        <f>IF(P6=2,'A.0_Tablas salariales SC'!$P$9,(IF(P6=6,'A.0_Tablas salariales SC'!$P$10,IF(P6=10,'A.0_Tablas salariales SC'!$P$11,IF(P6=14,'A.0_Tablas salariales SC'!$P$12,IF(P6=18,'A.0_Tablas salariales SC'!$P$13,IF(P6=20,'A.0_Tablas salariales SC'!$P$14,IF(P6=22,'A.0_Tablas salariales SC'!$P$15,IF(P6=24,'A.0_Tablas salariales SC'!$P$16,IF(P6=26,'A.0_Tablas salariales SC'!$P$17,IF(P6=28,'A.0_Tablas salariales SC'!$P$18,0)))))))))))</f>
        <v>446.8</v>
      </c>
      <c r="X6" s="175">
        <f>IF(Q6=2,'A.0_Tablas salariales SC'!$P$36,(IF(Q6=6,'A.0_Tablas salariales SC'!$P$37,IF(Q6=10,'A.0_Tablas salariales SC'!$P$38,IF(Q6=14,'A.0_Tablas salariales SC'!$P$39,IF(Q6=18,'A.0_Tablas salariales SC'!$P$40,IF(Q6=20,'A.0_Tablas salariales SC'!$P$41,IF(Q6=22,'A.0_Tablas salariales SC'!$P$42,IF(Q6=24,'A.0_Tablas salariales SC'!$P$43,IF(Q6=26,'A.0_Tablas salariales SC'!$P$44,IF(Q6=28,'A.0_Tablas salariales SC'!$P$45,0)))))))))))</f>
        <v>462.44</v>
      </c>
      <c r="Y6" s="175">
        <f>IF(R6=2,'A.0_Tablas salariales SC'!$P$63,(IF(R6=6,'A.0_Tablas salariales SC'!$P$64,IF(R6=10,'A.0_Tablas salariales SC'!$P$65,IF(R6=14,'A.0_Tablas salariales SC'!$P$66,IF(R6=18,'A.0_Tablas salariales SC'!$P$67,IF(R6=20,'A.0_Tablas salariales SC'!$P$68,IF(R6=22,'A.0_Tablas salariales SC'!$P$69,IF(R6=24,'A.0_Tablas salariales SC'!$P$70,IF(R6=26,'A.0_Tablas salariales SC'!$P$71,IF(R6=28,'A.0_Tablas salariales SC'!$P$72,0)))))))))))</f>
        <v>480.93</v>
      </c>
      <c r="Z6" s="175">
        <f>IF(S6=2,'A.0_Tablas salariales SC'!$P$90,(IF(S6=6,'A.0_Tablas salariales SC'!$P$91,IF(S6=10,'A.0_Tablas salariales SC'!$P$92,IF(S6=14,'A.0_Tablas salariales SC'!$P$93,IF(S6=18,'A.0_Tablas salariales SC'!$P$94,IF(S6=20,'A.0_Tablas salariales SC'!$P$95,IF(S6=22,'A.0_Tablas salariales SC'!$P$96,IF(S6=24,'A.0_Tablas salariales SC'!$P$97,IF(S6=26,'A.0_Tablas salariales SC'!$P$98,IF(S6=28,'A.0_Tablas salariales SC'!$P$99,0)))))))))))</f>
        <v>502.58</v>
      </c>
      <c r="AA6" s="175">
        <f>IF(T6=2,'A.0_Tablas salariales SC'!$P$117,(IF(T6=6,'A.0_Tablas salariales SC'!$P$118,IF(T6=10,'A.0_Tablas salariales SC'!$P$119,IF(T6=14,'A.0_Tablas salariales SC'!$P$120,IF(T6=18,'A.0_Tablas salariales SC'!$P$121,IF(T6=20,'A.0_Tablas salariales SC'!$P$122,IF(T6=22,'A.0_Tablas salariales SC'!$P$123,IF(T6=24,'A.0_Tablas salariales SC'!$P$124,IF(T6=26,'A.0_Tablas salariales SC'!$P$125,IF(T6=28,'A.0_Tablas salariales SC'!$P$126,0)))))))))))</f>
        <v>527.70000000000005</v>
      </c>
      <c r="AB6" s="175">
        <f>IF(U6=2,'A.0_Tablas salariales SC'!$P$145,(IF(U6=6,'A.0_Tablas salariales SC'!$P$146,IF(U6=10,'A.0_Tablas salariales SC'!$P$147,IF(U6=14,'A.0_Tablas salariales SC'!$P$148,IF(U6=18,'A.0_Tablas salariales SC'!$P$149,IF(U6=20,'A.0_Tablas salariales SC'!$P$150,IF(U6=22,'A.0_Tablas salariales SC'!$P$151,IF(U6=24,'A.0_Tablas salariales SC'!$P$152,IF(U6=26,'A.0_Tablas salariales SC'!$P$153,IF(U6=28,'A.0_Tablas salariales SC'!$P$154,0)))))))))))</f>
        <v>543.53100000000006</v>
      </c>
      <c r="AC6" s="175">
        <f>IF(V6=2,'A.0_Tablas salariales SC'!$P$173,(IF(V6=6,'A.0_Tablas salariales SC'!$P$174,IF(V6=10,'A.0_Tablas salariales SC'!$P$175,IF(V6=14,'A.0_Tablas salariales SC'!$P$176,IF(V6=18,'A.0_Tablas salariales SC'!$P$177,IF(V6=20,'A.0_Tablas salariales SC'!$P$178,IF(V6=22,'A.0_Tablas salariales SC'!$P$179,IF(V6=24,'A.0_Tablas salariales SC'!$P$180,IF(V6=26,'A.0_Tablas salariales SC'!$P$181,IF(V6=28,'A.0_Tablas salariales SC'!$P$182,0)))))))))))</f>
        <v>559.83693000000005</v>
      </c>
    </row>
    <row r="7" spans="1:29">
      <c r="A7" s="508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2">
        <f>YEAR(E7)</f>
        <v>1900</v>
      </c>
      <c r="G7" s="173">
        <f t="shared" si="9"/>
        <v>2026</v>
      </c>
      <c r="H7" s="173">
        <f t="shared" si="9"/>
        <v>2032</v>
      </c>
      <c r="I7" s="173">
        <f t="shared" si="10"/>
        <v>126</v>
      </c>
      <c r="J7" s="173">
        <f t="shared" si="11"/>
        <v>127</v>
      </c>
      <c r="K7" s="173">
        <f t="shared" si="12"/>
        <v>128</v>
      </c>
      <c r="L7" s="173">
        <f t="shared" si="13"/>
        <v>129</v>
      </c>
      <c r="M7" s="173">
        <f t="shared" si="14"/>
        <v>130</v>
      </c>
      <c r="N7" s="173">
        <f t="shared" si="15"/>
        <v>131</v>
      </c>
      <c r="O7" s="173">
        <f t="shared" si="16"/>
        <v>132</v>
      </c>
      <c r="P7" s="173">
        <f t="shared" si="17"/>
        <v>28</v>
      </c>
      <c r="Q7" s="173">
        <f t="shared" si="18"/>
        <v>28</v>
      </c>
      <c r="R7" s="173">
        <f t="shared" si="19"/>
        <v>28</v>
      </c>
      <c r="S7" s="173">
        <f t="shared" si="20"/>
        <v>28</v>
      </c>
      <c r="T7" s="173">
        <f t="shared" si="21"/>
        <v>28</v>
      </c>
      <c r="U7" s="173">
        <f t="shared" si="22"/>
        <v>28</v>
      </c>
      <c r="V7" s="173">
        <f t="shared" si="23"/>
        <v>28</v>
      </c>
      <c r="W7" s="175">
        <f>IF(P7=2,'A.0_Tablas salariales SC'!$P$9,(IF(P7=6,'A.0_Tablas salariales SC'!$P$10,IF(P7=10,'A.0_Tablas salariales SC'!$P$11,IF(P7=14,'A.0_Tablas salariales SC'!$P$12,IF(P7=18,'A.0_Tablas salariales SC'!$P$13,IF(P7=20,'A.0_Tablas salariales SC'!$P$14,IF(P7=22,'A.0_Tablas salariales SC'!$P$15,IF(P7=24,'A.0_Tablas salariales SC'!$P$16,IF(P7=26,'A.0_Tablas salariales SC'!$P$17,IF(P7=28,'A.0_Tablas salariales SC'!$P$18,0)))))))))))</f>
        <v>446.8</v>
      </c>
      <c r="X7" s="175">
        <f>IF(Q7=2,'A.0_Tablas salariales SC'!$P$36,(IF(Q7=6,'A.0_Tablas salariales SC'!$P$37,IF(Q7=10,'A.0_Tablas salariales SC'!$P$38,IF(Q7=14,'A.0_Tablas salariales SC'!$P$39,IF(Q7=18,'A.0_Tablas salariales SC'!$P$40,IF(Q7=20,'A.0_Tablas salariales SC'!$P$41,IF(Q7=22,'A.0_Tablas salariales SC'!$P$42,IF(Q7=24,'A.0_Tablas salariales SC'!$P$43,IF(Q7=26,'A.0_Tablas salariales SC'!$P$44,IF(Q7=28,'A.0_Tablas salariales SC'!$P$45,0)))))))))))</f>
        <v>462.44</v>
      </c>
      <c r="Y7" s="175">
        <f>IF(R7=2,'A.0_Tablas salariales SC'!$P$63,(IF(R7=6,'A.0_Tablas salariales SC'!$P$64,IF(R7=10,'A.0_Tablas salariales SC'!$P$65,IF(R7=14,'A.0_Tablas salariales SC'!$P$66,IF(R7=18,'A.0_Tablas salariales SC'!$P$67,IF(R7=20,'A.0_Tablas salariales SC'!$P$68,IF(R7=22,'A.0_Tablas salariales SC'!$P$69,IF(R7=24,'A.0_Tablas salariales SC'!$P$70,IF(R7=26,'A.0_Tablas salariales SC'!$P$71,IF(R7=28,'A.0_Tablas salariales SC'!$P$72,0)))))))))))</f>
        <v>480.93</v>
      </c>
      <c r="Z7" s="175">
        <f>IF(S7=2,'A.0_Tablas salariales SC'!$P$90,(IF(S7=6,'A.0_Tablas salariales SC'!$P$91,IF(S7=10,'A.0_Tablas salariales SC'!$P$92,IF(S7=14,'A.0_Tablas salariales SC'!$P$93,IF(S7=18,'A.0_Tablas salariales SC'!$P$94,IF(S7=20,'A.0_Tablas salariales SC'!$P$95,IF(S7=22,'A.0_Tablas salariales SC'!$P$96,IF(S7=24,'A.0_Tablas salariales SC'!$P$97,IF(S7=26,'A.0_Tablas salariales SC'!$P$98,IF(S7=28,'A.0_Tablas salariales SC'!$P$99,0)))))))))))</f>
        <v>502.58</v>
      </c>
      <c r="AA7" s="175">
        <f>IF(T7=2,'A.0_Tablas salariales SC'!$P$117,(IF(T7=6,'A.0_Tablas salariales SC'!$P$118,IF(T7=10,'A.0_Tablas salariales SC'!$P$119,IF(T7=14,'A.0_Tablas salariales SC'!$P$120,IF(T7=18,'A.0_Tablas salariales SC'!$P$121,IF(T7=20,'A.0_Tablas salariales SC'!$P$122,IF(T7=22,'A.0_Tablas salariales SC'!$P$123,IF(T7=24,'A.0_Tablas salariales SC'!$P$124,IF(T7=26,'A.0_Tablas salariales SC'!$P$125,IF(T7=28,'A.0_Tablas salariales SC'!$P$126,0)))))))))))</f>
        <v>527.70000000000005</v>
      </c>
      <c r="AB7" s="175">
        <f>IF(U7=2,'A.0_Tablas salariales SC'!$P$145,(IF(U7=6,'A.0_Tablas salariales SC'!$P$146,IF(U7=10,'A.0_Tablas salariales SC'!$P$147,IF(U7=14,'A.0_Tablas salariales SC'!$P$148,IF(U7=18,'A.0_Tablas salariales SC'!$P$149,IF(U7=20,'A.0_Tablas salariales SC'!$P$150,IF(U7=22,'A.0_Tablas salariales SC'!$P$151,IF(U7=24,'A.0_Tablas salariales SC'!$P$152,IF(U7=26,'A.0_Tablas salariales SC'!$P$153,IF(U7=28,'A.0_Tablas salariales SC'!$P$154,0)))))))))))</f>
        <v>543.53100000000006</v>
      </c>
      <c r="AC7" s="175">
        <f>IF(V7=2,'A.0_Tablas salariales SC'!$P$173,(IF(V7=6,'A.0_Tablas salariales SC'!$P$174,IF(V7=10,'A.0_Tablas salariales SC'!$P$175,IF(V7=14,'A.0_Tablas salariales SC'!$P$176,IF(V7=18,'A.0_Tablas salariales SC'!$P$177,IF(V7=20,'A.0_Tablas salariales SC'!$P$178,IF(V7=22,'A.0_Tablas salariales SC'!$P$179,IF(V7=24,'A.0_Tablas salariales SC'!$P$180,IF(V7=26,'A.0_Tablas salariales SC'!$P$181,IF(V7=28,'A.0_Tablas salariales SC'!$P$182,0)))))))))))</f>
        <v>559.83693000000005</v>
      </c>
    </row>
    <row r="8" spans="1:29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2">
        <f t="shared" ref="F8:F12" si="24">YEAR(E8)</f>
        <v>1900</v>
      </c>
      <c r="G8" s="173">
        <f t="shared" si="9"/>
        <v>2026</v>
      </c>
      <c r="H8" s="173">
        <f t="shared" si="9"/>
        <v>2032</v>
      </c>
      <c r="I8" s="173">
        <f t="shared" ref="I8:I12" si="25">($I$3-F8)*$I$4</f>
        <v>126</v>
      </c>
      <c r="J8" s="173">
        <f t="shared" ref="J8:J12" si="26">($J$3-F8)*$J$4</f>
        <v>127</v>
      </c>
      <c r="K8" s="173">
        <f t="shared" ref="K8:K12" si="27">($K$3-F8)*$K$4</f>
        <v>128</v>
      </c>
      <c r="L8" s="173">
        <f t="shared" ref="L8:L12" si="28">($L$3-F8)*$L$4</f>
        <v>129</v>
      </c>
      <c r="M8" s="173">
        <f t="shared" ref="M8:M12" si="29">($M$3-F8)*$M$4</f>
        <v>130</v>
      </c>
      <c r="N8" s="173">
        <f t="shared" ref="N8:N12" si="30">($N$3-F8)*$N$4</f>
        <v>131</v>
      </c>
      <c r="O8" s="173">
        <f t="shared" ref="O8:O12" si="31">($O$3-F8)*$O$4</f>
        <v>132</v>
      </c>
      <c r="P8" s="173">
        <f t="shared" ref="P8:P12" si="32">IF(I8&gt;=28,28,IF(I8&gt;=26,26,(IF(I8&gt;=24,24,IF(I8&gt;=22,22,IF(I8&gt;=20,20,IF(I8&gt;=18,18,IF(I8&gt;=14,14,(IF(I8&gt;=10,10,(IF(I8&gt;=6,6,(IF(I8&gt;=2,2,0))))))))))))))</f>
        <v>28</v>
      </c>
      <c r="Q8" s="173">
        <f t="shared" ref="Q8:Q12" si="33">IF(J8&gt;=28,28,IF(J8&gt;=26,26,(IF(J8&gt;=24,24,IF(J8&gt;=22,22,IF(J8&gt;=20,20,IF(J8&gt;=18,18,IF(J8&gt;=14,14,(IF(J8&gt;=10,10,(IF(J8&gt;=6,6,(IF(J8&gt;=2,2,0))))))))))))))</f>
        <v>28</v>
      </c>
      <c r="R8" s="173">
        <f t="shared" ref="R8:R12" si="34">IF(K8&gt;=28,28,IF(K8&gt;=26,26,(IF(K8&gt;=24,24,IF(K8&gt;=22,22,IF(K8&gt;=20,20,IF(K8&gt;=18,18,IF(K8&gt;=14,14,(IF(K8&gt;=10,10,(IF(K8&gt;=6,6,(IF(K8&gt;=2,2,0))))))))))))))</f>
        <v>28</v>
      </c>
      <c r="S8" s="173">
        <f t="shared" ref="S8:S12" si="35">IF(L8&gt;=28,28,IF(L8&gt;=26,26,(IF(L8&gt;=24,24,IF(L8&gt;=22,22,IF(L8&gt;=20,20,IF(L8&gt;=18,18,IF(L8&gt;=14,14,(IF(L8&gt;=10,10,(IF(L8&gt;=6,6,(IF(L8&gt;=2,2,0))))))))))))))</f>
        <v>28</v>
      </c>
      <c r="T8" s="173">
        <f t="shared" ref="T8:T12" si="36">IF(M8&gt;=28,28,IF(M8&gt;=26,26,(IF(M8&gt;=24,24,IF(M8&gt;=22,22,IF(M8&gt;=20,20,IF(M8&gt;=18,18,IF(M8&gt;=14,14,(IF(M8&gt;=10,10,(IF(M8&gt;=6,6,(IF(M8&gt;=2,2,0))))))))))))))</f>
        <v>28</v>
      </c>
      <c r="U8" s="173">
        <f t="shared" ref="U8:U12" si="37">IF(N8&gt;=28,28,IF(N8&gt;=26,26,(IF(N8&gt;=24,24,IF(N8&gt;=22,22,IF(N8&gt;=20,20,IF(N8&gt;=18,18,IF(N8&gt;=14,14,(IF(N8&gt;=10,10,(IF(N8&gt;=6,6,(IF(N8&gt;=2,2,0))))))))))))))</f>
        <v>28</v>
      </c>
      <c r="V8" s="173">
        <f t="shared" ref="V8:V12" si="38">IF(O8&gt;=28,28,IF(O8&gt;=26,26,(IF(O8&gt;=24,24,IF(O8&gt;=22,22,IF(O8&gt;=20,20,IF(O8&gt;=18,18,IF(O8&gt;=14,14,(IF(O8&gt;=10,10,(IF(O8&gt;=6,6,(IF(O8&gt;=2,2,0))))))))))))))</f>
        <v>28</v>
      </c>
      <c r="W8" s="175">
        <f>IF(P8=2,'A.0_Tablas salariales SC'!$P$9,(IF(P8=6,'A.0_Tablas salariales SC'!$P$10,IF(P8=10,'A.0_Tablas salariales SC'!$P$11,IF(P8=14,'A.0_Tablas salariales SC'!$P$12,IF(P8=18,'A.0_Tablas salariales SC'!$P$13,IF(P8=20,'A.0_Tablas salariales SC'!$P$14,IF(P8=22,'A.0_Tablas salariales SC'!$P$15,IF(P8=24,'A.0_Tablas salariales SC'!$P$16,IF(P8=26,'A.0_Tablas salariales SC'!$P$17,IF(P8=28,'A.0_Tablas salariales SC'!$P$18,0)))))))))))</f>
        <v>446.8</v>
      </c>
      <c r="X8" s="175">
        <f>IF(Q8=2,'A.0_Tablas salariales SC'!$P$36,(IF(Q8=6,'A.0_Tablas salariales SC'!$P$37,IF(Q8=10,'A.0_Tablas salariales SC'!$P$38,IF(Q8=14,'A.0_Tablas salariales SC'!$P$39,IF(Q8=18,'A.0_Tablas salariales SC'!$P$40,IF(Q8=20,'A.0_Tablas salariales SC'!$P$41,IF(Q8=22,'A.0_Tablas salariales SC'!$P$42,IF(Q8=24,'A.0_Tablas salariales SC'!$P$43,IF(Q8=26,'A.0_Tablas salariales SC'!$P$44,IF(Q8=28,'A.0_Tablas salariales SC'!$P$45,0)))))))))))</f>
        <v>462.44</v>
      </c>
      <c r="Y8" s="175">
        <f>IF(R8=2,'A.0_Tablas salariales SC'!$P$63,(IF(R8=6,'A.0_Tablas salariales SC'!$P$64,IF(R8=10,'A.0_Tablas salariales SC'!$P$65,IF(R8=14,'A.0_Tablas salariales SC'!$P$66,IF(R8=18,'A.0_Tablas salariales SC'!$P$67,IF(R8=20,'A.0_Tablas salariales SC'!$P$68,IF(R8=22,'A.0_Tablas salariales SC'!$P$69,IF(R8=24,'A.0_Tablas salariales SC'!$P$70,IF(R8=26,'A.0_Tablas salariales SC'!$P$71,IF(R8=28,'A.0_Tablas salariales SC'!$P$72,0)))))))))))</f>
        <v>480.93</v>
      </c>
      <c r="Z8" s="175">
        <f>IF(S8=2,'A.0_Tablas salariales SC'!$P$90,(IF(S8=6,'A.0_Tablas salariales SC'!$P$91,IF(S8=10,'A.0_Tablas salariales SC'!$P$92,IF(S8=14,'A.0_Tablas salariales SC'!$P$93,IF(S8=18,'A.0_Tablas salariales SC'!$P$94,IF(S8=20,'A.0_Tablas salariales SC'!$P$95,IF(S8=22,'A.0_Tablas salariales SC'!$P$96,IF(S8=24,'A.0_Tablas salariales SC'!$P$97,IF(S8=26,'A.0_Tablas salariales SC'!$P$98,IF(S8=28,'A.0_Tablas salariales SC'!$P$99,0)))))))))))</f>
        <v>502.58</v>
      </c>
      <c r="AA8" s="175">
        <f>IF(T8=2,'A.0_Tablas salariales SC'!$P$117,(IF(T8=6,'A.0_Tablas salariales SC'!$P$118,IF(T8=10,'A.0_Tablas salariales SC'!$P$119,IF(T8=14,'A.0_Tablas salariales SC'!$P$120,IF(T8=18,'A.0_Tablas salariales SC'!$P$121,IF(T8=20,'A.0_Tablas salariales SC'!$P$122,IF(T8=22,'A.0_Tablas salariales SC'!$P$123,IF(T8=24,'A.0_Tablas salariales SC'!$P$124,IF(T8=26,'A.0_Tablas salariales SC'!$P$125,IF(T8=28,'A.0_Tablas salariales SC'!$P$126,0)))))))))))</f>
        <v>527.70000000000005</v>
      </c>
      <c r="AB8" s="175">
        <f>IF(U8=2,'A.0_Tablas salariales SC'!$P$145,(IF(U8=6,'A.0_Tablas salariales SC'!$P$146,IF(U8=10,'A.0_Tablas salariales SC'!$P$147,IF(U8=14,'A.0_Tablas salariales SC'!$P$148,IF(U8=18,'A.0_Tablas salariales SC'!$P$149,IF(U8=20,'A.0_Tablas salariales SC'!$P$150,IF(U8=22,'A.0_Tablas salariales SC'!$P$151,IF(U8=24,'A.0_Tablas salariales SC'!$P$152,IF(U8=26,'A.0_Tablas salariales SC'!$P$153,IF(U8=28,'A.0_Tablas salariales SC'!$P$154,0)))))))))))</f>
        <v>543.53100000000006</v>
      </c>
      <c r="AC8" s="175">
        <f>IF(V8=2,'A.0_Tablas salariales SC'!$P$173,(IF(V8=6,'A.0_Tablas salariales SC'!$P$174,IF(V8=10,'A.0_Tablas salariales SC'!$P$175,IF(V8=14,'A.0_Tablas salariales SC'!$P$176,IF(V8=18,'A.0_Tablas salariales SC'!$P$177,IF(V8=20,'A.0_Tablas salariales SC'!$P$178,IF(V8=22,'A.0_Tablas salariales SC'!$P$179,IF(V8=24,'A.0_Tablas salariales SC'!$P$180,IF(V8=26,'A.0_Tablas salariales SC'!$P$181,IF(V8=28,'A.0_Tablas salariales SC'!$P$182,0)))))))))))</f>
        <v>559.83693000000005</v>
      </c>
    </row>
    <row r="9" spans="1:29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2">
        <f t="shared" si="24"/>
        <v>1900</v>
      </c>
      <c r="G9" s="173">
        <f t="shared" si="9"/>
        <v>2026</v>
      </c>
      <c r="H9" s="173">
        <f t="shared" si="9"/>
        <v>2032</v>
      </c>
      <c r="I9" s="173">
        <f t="shared" si="25"/>
        <v>126</v>
      </c>
      <c r="J9" s="173">
        <f t="shared" si="26"/>
        <v>127</v>
      </c>
      <c r="K9" s="173">
        <f t="shared" si="27"/>
        <v>128</v>
      </c>
      <c r="L9" s="173">
        <f t="shared" si="28"/>
        <v>129</v>
      </c>
      <c r="M9" s="173">
        <f t="shared" si="29"/>
        <v>130</v>
      </c>
      <c r="N9" s="173">
        <f t="shared" si="30"/>
        <v>131</v>
      </c>
      <c r="O9" s="173">
        <f t="shared" si="31"/>
        <v>132</v>
      </c>
      <c r="P9" s="173">
        <f t="shared" si="32"/>
        <v>28</v>
      </c>
      <c r="Q9" s="173">
        <f t="shared" si="33"/>
        <v>28</v>
      </c>
      <c r="R9" s="173">
        <f t="shared" si="34"/>
        <v>28</v>
      </c>
      <c r="S9" s="173">
        <f t="shared" si="35"/>
        <v>28</v>
      </c>
      <c r="T9" s="173">
        <f t="shared" si="36"/>
        <v>28</v>
      </c>
      <c r="U9" s="173">
        <f t="shared" si="37"/>
        <v>28</v>
      </c>
      <c r="V9" s="173">
        <f t="shared" si="38"/>
        <v>28</v>
      </c>
      <c r="W9" s="175">
        <f>IF(P9=2,'A.0_Tablas salariales SC'!$P$9,(IF(P9=6,'A.0_Tablas salariales SC'!$P$10,IF(P9=10,'A.0_Tablas salariales SC'!$P$11,IF(P9=14,'A.0_Tablas salariales SC'!$P$12,IF(P9=18,'A.0_Tablas salariales SC'!$P$13,IF(P9=20,'A.0_Tablas salariales SC'!$P$14,IF(P9=22,'A.0_Tablas salariales SC'!$P$15,IF(P9=24,'A.0_Tablas salariales SC'!$P$16,IF(P9=26,'A.0_Tablas salariales SC'!$P$17,IF(P9=28,'A.0_Tablas salariales SC'!$P$18,0)))))))))))</f>
        <v>446.8</v>
      </c>
      <c r="X9" s="175">
        <f>IF(Q9=2,'A.0_Tablas salariales SC'!$P$36,(IF(Q9=6,'A.0_Tablas salariales SC'!$P$37,IF(Q9=10,'A.0_Tablas salariales SC'!$P$38,IF(Q9=14,'A.0_Tablas salariales SC'!$P$39,IF(Q9=18,'A.0_Tablas salariales SC'!$P$40,IF(Q9=20,'A.0_Tablas salariales SC'!$P$41,IF(Q9=22,'A.0_Tablas salariales SC'!$P$42,IF(Q9=24,'A.0_Tablas salariales SC'!$P$43,IF(Q9=26,'A.0_Tablas salariales SC'!$P$44,IF(Q9=28,'A.0_Tablas salariales SC'!$P$45,0)))))))))))</f>
        <v>462.44</v>
      </c>
      <c r="Y9" s="175">
        <f>IF(R9=2,'A.0_Tablas salariales SC'!$P$63,(IF(R9=6,'A.0_Tablas salariales SC'!$P$64,IF(R9=10,'A.0_Tablas salariales SC'!$P$65,IF(R9=14,'A.0_Tablas salariales SC'!$P$66,IF(R9=18,'A.0_Tablas salariales SC'!$P$67,IF(R9=20,'A.0_Tablas salariales SC'!$P$68,IF(R9=22,'A.0_Tablas salariales SC'!$P$69,IF(R9=24,'A.0_Tablas salariales SC'!$P$70,IF(R9=26,'A.0_Tablas salariales SC'!$P$71,IF(R9=28,'A.0_Tablas salariales SC'!$P$72,0)))))))))))</f>
        <v>480.93</v>
      </c>
      <c r="Z9" s="175">
        <f>IF(S9=2,'A.0_Tablas salariales SC'!$P$90,(IF(S9=6,'A.0_Tablas salariales SC'!$P$91,IF(S9=10,'A.0_Tablas salariales SC'!$P$92,IF(S9=14,'A.0_Tablas salariales SC'!$P$93,IF(S9=18,'A.0_Tablas salariales SC'!$P$94,IF(S9=20,'A.0_Tablas salariales SC'!$P$95,IF(S9=22,'A.0_Tablas salariales SC'!$P$96,IF(S9=24,'A.0_Tablas salariales SC'!$P$97,IF(S9=26,'A.0_Tablas salariales SC'!$P$98,IF(S9=28,'A.0_Tablas salariales SC'!$P$99,0)))))))))))</f>
        <v>502.58</v>
      </c>
      <c r="AA9" s="175">
        <f>IF(T9=2,'A.0_Tablas salariales SC'!$P$117,(IF(T9=6,'A.0_Tablas salariales SC'!$P$118,IF(T9=10,'A.0_Tablas salariales SC'!$P$119,IF(T9=14,'A.0_Tablas salariales SC'!$P$120,IF(T9=18,'A.0_Tablas salariales SC'!$P$121,IF(T9=20,'A.0_Tablas salariales SC'!$P$122,IF(T9=22,'A.0_Tablas salariales SC'!$P$123,IF(T9=24,'A.0_Tablas salariales SC'!$P$124,IF(T9=26,'A.0_Tablas salariales SC'!$P$125,IF(T9=28,'A.0_Tablas salariales SC'!$P$126,0)))))))))))</f>
        <v>527.70000000000005</v>
      </c>
      <c r="AB9" s="175">
        <f>IF(U9=2,'A.0_Tablas salariales SC'!$P$145,(IF(U9=6,'A.0_Tablas salariales SC'!$P$146,IF(U9=10,'A.0_Tablas salariales SC'!$P$147,IF(U9=14,'A.0_Tablas salariales SC'!$P$148,IF(U9=18,'A.0_Tablas salariales SC'!$P$149,IF(U9=20,'A.0_Tablas salariales SC'!$P$150,IF(U9=22,'A.0_Tablas salariales SC'!$P$151,IF(U9=24,'A.0_Tablas salariales SC'!$P$152,IF(U9=26,'A.0_Tablas salariales SC'!$P$153,IF(U9=28,'A.0_Tablas salariales SC'!$P$154,0)))))))))))</f>
        <v>543.53100000000006</v>
      </c>
      <c r="AC9" s="175">
        <f>IF(V9=2,'A.0_Tablas salariales SC'!$P$173,(IF(V9=6,'A.0_Tablas salariales SC'!$P$174,IF(V9=10,'A.0_Tablas salariales SC'!$P$175,IF(V9=14,'A.0_Tablas salariales SC'!$P$176,IF(V9=18,'A.0_Tablas salariales SC'!$P$177,IF(V9=20,'A.0_Tablas salariales SC'!$P$178,IF(V9=22,'A.0_Tablas salariales SC'!$P$179,IF(V9=24,'A.0_Tablas salariales SC'!$P$180,IF(V9=26,'A.0_Tablas salariales SC'!$P$181,IF(V9=28,'A.0_Tablas salariales SC'!$P$182,0)))))))))))</f>
        <v>559.83693000000005</v>
      </c>
    </row>
    <row r="10" spans="1:29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2">
        <f t="shared" si="24"/>
        <v>1900</v>
      </c>
      <c r="G10" s="173">
        <f t="shared" si="9"/>
        <v>2026</v>
      </c>
      <c r="H10" s="173">
        <f t="shared" si="9"/>
        <v>2032</v>
      </c>
      <c r="I10" s="173">
        <f t="shared" si="25"/>
        <v>126</v>
      </c>
      <c r="J10" s="173">
        <f t="shared" si="26"/>
        <v>127</v>
      </c>
      <c r="K10" s="173">
        <f t="shared" si="27"/>
        <v>128</v>
      </c>
      <c r="L10" s="173">
        <f t="shared" si="28"/>
        <v>129</v>
      </c>
      <c r="M10" s="173">
        <f t="shared" si="29"/>
        <v>130</v>
      </c>
      <c r="N10" s="173">
        <f t="shared" si="30"/>
        <v>131</v>
      </c>
      <c r="O10" s="173">
        <f t="shared" si="31"/>
        <v>132</v>
      </c>
      <c r="P10" s="173">
        <f t="shared" si="32"/>
        <v>28</v>
      </c>
      <c r="Q10" s="173">
        <f t="shared" si="33"/>
        <v>28</v>
      </c>
      <c r="R10" s="173">
        <f t="shared" si="34"/>
        <v>28</v>
      </c>
      <c r="S10" s="173">
        <f t="shared" si="35"/>
        <v>28</v>
      </c>
      <c r="T10" s="173">
        <f t="shared" si="36"/>
        <v>28</v>
      </c>
      <c r="U10" s="173">
        <f t="shared" si="37"/>
        <v>28</v>
      </c>
      <c r="V10" s="173">
        <f t="shared" si="38"/>
        <v>28</v>
      </c>
      <c r="W10" s="175">
        <f>IF(P10=2,'A.0_Tablas salariales SC'!$P$9,(IF(P10=6,'A.0_Tablas salariales SC'!$P$10,IF(P10=10,'A.0_Tablas salariales SC'!$P$11,IF(P10=14,'A.0_Tablas salariales SC'!$P$12,IF(P10=18,'A.0_Tablas salariales SC'!$P$13,IF(P10=20,'A.0_Tablas salariales SC'!$P$14,IF(P10=22,'A.0_Tablas salariales SC'!$P$15,IF(P10=24,'A.0_Tablas salariales SC'!$P$16,IF(P10=26,'A.0_Tablas salariales SC'!$P$17,IF(P10=28,'A.0_Tablas salariales SC'!$P$18,0)))))))))))</f>
        <v>446.8</v>
      </c>
      <c r="X10" s="175">
        <f>IF(Q10=2,'A.0_Tablas salariales SC'!$P$36,(IF(Q10=6,'A.0_Tablas salariales SC'!$P$37,IF(Q10=10,'A.0_Tablas salariales SC'!$P$38,IF(Q10=14,'A.0_Tablas salariales SC'!$P$39,IF(Q10=18,'A.0_Tablas salariales SC'!$P$40,IF(Q10=20,'A.0_Tablas salariales SC'!$P$41,IF(Q10=22,'A.0_Tablas salariales SC'!$P$42,IF(Q10=24,'A.0_Tablas salariales SC'!$P$43,IF(Q10=26,'A.0_Tablas salariales SC'!$P$44,IF(Q10=28,'A.0_Tablas salariales SC'!$P$45,0)))))))))))</f>
        <v>462.44</v>
      </c>
      <c r="Y10" s="175">
        <f>IF(R10=2,'A.0_Tablas salariales SC'!$P$63,(IF(R10=6,'A.0_Tablas salariales SC'!$P$64,IF(R10=10,'A.0_Tablas salariales SC'!$P$65,IF(R10=14,'A.0_Tablas salariales SC'!$P$66,IF(R10=18,'A.0_Tablas salariales SC'!$P$67,IF(R10=20,'A.0_Tablas salariales SC'!$P$68,IF(R10=22,'A.0_Tablas salariales SC'!$P$69,IF(R10=24,'A.0_Tablas salariales SC'!$P$70,IF(R10=26,'A.0_Tablas salariales SC'!$P$71,IF(R10=28,'A.0_Tablas salariales SC'!$P$72,0)))))))))))</f>
        <v>480.93</v>
      </c>
      <c r="Z10" s="175">
        <f>IF(S10=2,'A.0_Tablas salariales SC'!$P$90,(IF(S10=6,'A.0_Tablas salariales SC'!$P$91,IF(S10=10,'A.0_Tablas salariales SC'!$P$92,IF(S10=14,'A.0_Tablas salariales SC'!$P$93,IF(S10=18,'A.0_Tablas salariales SC'!$P$94,IF(S10=20,'A.0_Tablas salariales SC'!$P$95,IF(S10=22,'A.0_Tablas salariales SC'!$P$96,IF(S10=24,'A.0_Tablas salariales SC'!$P$97,IF(S10=26,'A.0_Tablas salariales SC'!$P$98,IF(S10=28,'A.0_Tablas salariales SC'!$P$99,0)))))))))))</f>
        <v>502.58</v>
      </c>
      <c r="AA10" s="175">
        <f>IF(T10=2,'A.0_Tablas salariales SC'!$P$117,(IF(T10=6,'A.0_Tablas salariales SC'!$P$118,IF(T10=10,'A.0_Tablas salariales SC'!$P$119,IF(T10=14,'A.0_Tablas salariales SC'!$P$120,IF(T10=18,'A.0_Tablas salariales SC'!$P$121,IF(T10=20,'A.0_Tablas salariales SC'!$P$122,IF(T10=22,'A.0_Tablas salariales SC'!$P$123,IF(T10=24,'A.0_Tablas salariales SC'!$P$124,IF(T10=26,'A.0_Tablas salariales SC'!$P$125,IF(T10=28,'A.0_Tablas salariales SC'!$P$126,0)))))))))))</f>
        <v>527.70000000000005</v>
      </c>
      <c r="AB10" s="175">
        <f>IF(U10=2,'A.0_Tablas salariales SC'!$P$145,(IF(U10=6,'A.0_Tablas salariales SC'!$P$146,IF(U10=10,'A.0_Tablas salariales SC'!$P$147,IF(U10=14,'A.0_Tablas salariales SC'!$P$148,IF(U10=18,'A.0_Tablas salariales SC'!$P$149,IF(U10=20,'A.0_Tablas salariales SC'!$P$150,IF(U10=22,'A.0_Tablas salariales SC'!$P$151,IF(U10=24,'A.0_Tablas salariales SC'!$P$152,IF(U10=26,'A.0_Tablas salariales SC'!$P$153,IF(U10=28,'A.0_Tablas salariales SC'!$P$154,0)))))))))))</f>
        <v>543.53100000000006</v>
      </c>
      <c r="AC10" s="175">
        <f>IF(V10=2,'A.0_Tablas salariales SC'!$P$173,(IF(V10=6,'A.0_Tablas salariales SC'!$P$174,IF(V10=10,'A.0_Tablas salariales SC'!$P$175,IF(V10=14,'A.0_Tablas salariales SC'!$P$176,IF(V10=18,'A.0_Tablas salariales SC'!$P$177,IF(V10=20,'A.0_Tablas salariales SC'!$P$178,IF(V10=22,'A.0_Tablas salariales SC'!$P$179,IF(V10=24,'A.0_Tablas salariales SC'!$P$180,IF(V10=26,'A.0_Tablas salariales SC'!$P$181,IF(V10=28,'A.0_Tablas salariales SC'!$P$182,0)))))))))))</f>
        <v>559.83693000000005</v>
      </c>
    </row>
    <row r="11" spans="1:29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2">
        <f t="shared" si="24"/>
        <v>1900</v>
      </c>
      <c r="G11" s="173">
        <f t="shared" si="9"/>
        <v>2026</v>
      </c>
      <c r="H11" s="173">
        <f t="shared" si="9"/>
        <v>2032</v>
      </c>
      <c r="I11" s="173">
        <f t="shared" si="25"/>
        <v>126</v>
      </c>
      <c r="J11" s="173">
        <f t="shared" si="26"/>
        <v>127</v>
      </c>
      <c r="K11" s="173">
        <f t="shared" si="27"/>
        <v>128</v>
      </c>
      <c r="L11" s="173">
        <f t="shared" si="28"/>
        <v>129</v>
      </c>
      <c r="M11" s="173">
        <f t="shared" si="29"/>
        <v>130</v>
      </c>
      <c r="N11" s="173">
        <f t="shared" si="30"/>
        <v>131</v>
      </c>
      <c r="O11" s="173">
        <f t="shared" si="31"/>
        <v>132</v>
      </c>
      <c r="P11" s="173">
        <f t="shared" si="32"/>
        <v>28</v>
      </c>
      <c r="Q11" s="173">
        <f t="shared" si="33"/>
        <v>28</v>
      </c>
      <c r="R11" s="173">
        <f t="shared" si="34"/>
        <v>28</v>
      </c>
      <c r="S11" s="173">
        <f t="shared" si="35"/>
        <v>28</v>
      </c>
      <c r="T11" s="173">
        <f t="shared" si="36"/>
        <v>28</v>
      </c>
      <c r="U11" s="173">
        <f t="shared" si="37"/>
        <v>28</v>
      </c>
      <c r="V11" s="173">
        <f t="shared" si="38"/>
        <v>28</v>
      </c>
      <c r="W11" s="175">
        <f>IF(P11=2,'A.0_Tablas salariales SC'!$P$9,(IF(P11=6,'A.0_Tablas salariales SC'!$P$10,IF(P11=10,'A.0_Tablas salariales SC'!$P$11,IF(P11=14,'A.0_Tablas salariales SC'!$P$12,IF(P11=18,'A.0_Tablas salariales SC'!$P$13,IF(P11=20,'A.0_Tablas salariales SC'!$P$14,IF(P11=22,'A.0_Tablas salariales SC'!$P$15,IF(P11=24,'A.0_Tablas salariales SC'!$P$16,IF(P11=26,'A.0_Tablas salariales SC'!$P$17,IF(P11=28,'A.0_Tablas salariales SC'!$P$18,0)))))))))))</f>
        <v>446.8</v>
      </c>
      <c r="X11" s="175">
        <f>IF(Q11=2,'A.0_Tablas salariales SC'!$P$36,(IF(Q11=6,'A.0_Tablas salariales SC'!$P$37,IF(Q11=10,'A.0_Tablas salariales SC'!$P$38,IF(Q11=14,'A.0_Tablas salariales SC'!$P$39,IF(Q11=18,'A.0_Tablas salariales SC'!$P$40,IF(Q11=20,'A.0_Tablas salariales SC'!$P$41,IF(Q11=22,'A.0_Tablas salariales SC'!$P$42,IF(Q11=24,'A.0_Tablas salariales SC'!$P$43,IF(Q11=26,'A.0_Tablas salariales SC'!$P$44,IF(Q11=28,'A.0_Tablas salariales SC'!$P$45,0)))))))))))</f>
        <v>462.44</v>
      </c>
      <c r="Y11" s="175">
        <f>IF(R11=2,'A.0_Tablas salariales SC'!$P$63,(IF(R11=6,'A.0_Tablas salariales SC'!$P$64,IF(R11=10,'A.0_Tablas salariales SC'!$P$65,IF(R11=14,'A.0_Tablas salariales SC'!$P$66,IF(R11=18,'A.0_Tablas salariales SC'!$P$67,IF(R11=20,'A.0_Tablas salariales SC'!$P$68,IF(R11=22,'A.0_Tablas salariales SC'!$P$69,IF(R11=24,'A.0_Tablas salariales SC'!$P$70,IF(R11=26,'A.0_Tablas salariales SC'!$P$71,IF(R11=28,'A.0_Tablas salariales SC'!$P$72,0)))))))))))</f>
        <v>480.93</v>
      </c>
      <c r="Z11" s="175">
        <f>IF(S11=2,'A.0_Tablas salariales SC'!$P$90,(IF(S11=6,'A.0_Tablas salariales SC'!$P$91,IF(S11=10,'A.0_Tablas salariales SC'!$P$92,IF(S11=14,'A.0_Tablas salariales SC'!$P$93,IF(S11=18,'A.0_Tablas salariales SC'!$P$94,IF(S11=20,'A.0_Tablas salariales SC'!$P$95,IF(S11=22,'A.0_Tablas salariales SC'!$P$96,IF(S11=24,'A.0_Tablas salariales SC'!$P$97,IF(S11=26,'A.0_Tablas salariales SC'!$P$98,IF(S11=28,'A.0_Tablas salariales SC'!$P$99,0)))))))))))</f>
        <v>502.58</v>
      </c>
      <c r="AA11" s="175">
        <f>IF(T11=2,'A.0_Tablas salariales SC'!$P$117,(IF(T11=6,'A.0_Tablas salariales SC'!$P$118,IF(T11=10,'A.0_Tablas salariales SC'!$P$119,IF(T11=14,'A.0_Tablas salariales SC'!$P$120,IF(T11=18,'A.0_Tablas salariales SC'!$P$121,IF(T11=20,'A.0_Tablas salariales SC'!$P$122,IF(T11=22,'A.0_Tablas salariales SC'!$P$123,IF(T11=24,'A.0_Tablas salariales SC'!$P$124,IF(T11=26,'A.0_Tablas salariales SC'!$P$125,IF(T11=28,'A.0_Tablas salariales SC'!$P$126,0)))))))))))</f>
        <v>527.70000000000005</v>
      </c>
      <c r="AB11" s="175">
        <f>IF(U11=2,'A.0_Tablas salariales SC'!$P$145,(IF(U11=6,'A.0_Tablas salariales SC'!$P$146,IF(U11=10,'A.0_Tablas salariales SC'!$P$147,IF(U11=14,'A.0_Tablas salariales SC'!$P$148,IF(U11=18,'A.0_Tablas salariales SC'!$P$149,IF(U11=20,'A.0_Tablas salariales SC'!$P$150,IF(U11=22,'A.0_Tablas salariales SC'!$P$151,IF(U11=24,'A.0_Tablas salariales SC'!$P$152,IF(U11=26,'A.0_Tablas salariales SC'!$P$153,IF(U11=28,'A.0_Tablas salariales SC'!$P$154,0)))))))))))</f>
        <v>543.53100000000006</v>
      </c>
      <c r="AC11" s="175">
        <f>IF(V11=2,'A.0_Tablas salariales SC'!$P$173,(IF(V11=6,'A.0_Tablas salariales SC'!$P$174,IF(V11=10,'A.0_Tablas salariales SC'!$P$175,IF(V11=14,'A.0_Tablas salariales SC'!$P$176,IF(V11=18,'A.0_Tablas salariales SC'!$P$177,IF(V11=20,'A.0_Tablas salariales SC'!$P$178,IF(V11=22,'A.0_Tablas salariales SC'!$P$179,IF(V11=24,'A.0_Tablas salariales SC'!$P$180,IF(V11=26,'A.0_Tablas salariales SC'!$P$181,IF(V11=28,'A.0_Tablas salariales SC'!$P$182,0)))))))))))</f>
        <v>559.83693000000005</v>
      </c>
    </row>
    <row r="12" spans="1:29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2">
        <f t="shared" si="24"/>
        <v>1900</v>
      </c>
      <c r="G12" s="173">
        <f t="shared" si="9"/>
        <v>2026</v>
      </c>
      <c r="H12" s="173">
        <f t="shared" si="9"/>
        <v>2032</v>
      </c>
      <c r="I12" s="173">
        <f t="shared" si="25"/>
        <v>126</v>
      </c>
      <c r="J12" s="173">
        <f t="shared" si="26"/>
        <v>127</v>
      </c>
      <c r="K12" s="173">
        <f t="shared" si="27"/>
        <v>128</v>
      </c>
      <c r="L12" s="173">
        <f t="shared" si="28"/>
        <v>129</v>
      </c>
      <c r="M12" s="173">
        <f t="shared" si="29"/>
        <v>130</v>
      </c>
      <c r="N12" s="173">
        <f t="shared" si="30"/>
        <v>131</v>
      </c>
      <c r="O12" s="173">
        <f t="shared" si="31"/>
        <v>132</v>
      </c>
      <c r="P12" s="173">
        <f t="shared" si="32"/>
        <v>28</v>
      </c>
      <c r="Q12" s="173">
        <f t="shared" si="33"/>
        <v>28</v>
      </c>
      <c r="R12" s="173">
        <f t="shared" si="34"/>
        <v>28</v>
      </c>
      <c r="S12" s="173">
        <f t="shared" si="35"/>
        <v>28</v>
      </c>
      <c r="T12" s="173">
        <f t="shared" si="36"/>
        <v>28</v>
      </c>
      <c r="U12" s="173">
        <f t="shared" si="37"/>
        <v>28</v>
      </c>
      <c r="V12" s="173">
        <f t="shared" si="38"/>
        <v>28</v>
      </c>
      <c r="W12" s="175">
        <f>IF(P12=2,'A.0_Tablas salariales SC'!$P$9,(IF(P12=6,'A.0_Tablas salariales SC'!$P$10,IF(P12=10,'A.0_Tablas salariales SC'!$P$11,IF(P12=14,'A.0_Tablas salariales SC'!$P$12,IF(P12=18,'A.0_Tablas salariales SC'!$P$13,IF(P12=20,'A.0_Tablas salariales SC'!$P$14,IF(P12=22,'A.0_Tablas salariales SC'!$P$15,IF(P12=24,'A.0_Tablas salariales SC'!$P$16,IF(P12=26,'A.0_Tablas salariales SC'!$P$17,IF(P12=28,'A.0_Tablas salariales SC'!$P$18,0)))))))))))</f>
        <v>446.8</v>
      </c>
      <c r="X12" s="175">
        <f>IF(Q12=2,'A.0_Tablas salariales SC'!$P$36,(IF(Q12=6,'A.0_Tablas salariales SC'!$P$37,IF(Q12=10,'A.0_Tablas salariales SC'!$P$38,IF(Q12=14,'A.0_Tablas salariales SC'!$P$39,IF(Q12=18,'A.0_Tablas salariales SC'!$P$40,IF(Q12=20,'A.0_Tablas salariales SC'!$P$41,IF(Q12=22,'A.0_Tablas salariales SC'!$P$42,IF(Q12=24,'A.0_Tablas salariales SC'!$P$43,IF(Q12=26,'A.0_Tablas salariales SC'!$P$44,IF(Q12=28,'A.0_Tablas salariales SC'!$P$45,0)))))))))))</f>
        <v>462.44</v>
      </c>
      <c r="Y12" s="175">
        <f>IF(R12=2,'A.0_Tablas salariales SC'!$P$63,(IF(R12=6,'A.0_Tablas salariales SC'!$P$64,IF(R12=10,'A.0_Tablas salariales SC'!$P$65,IF(R12=14,'A.0_Tablas salariales SC'!$P$66,IF(R12=18,'A.0_Tablas salariales SC'!$P$67,IF(R12=20,'A.0_Tablas salariales SC'!$P$68,IF(R12=22,'A.0_Tablas salariales SC'!$P$69,IF(R12=24,'A.0_Tablas salariales SC'!$P$70,IF(R12=26,'A.0_Tablas salariales SC'!$P$71,IF(R12=28,'A.0_Tablas salariales SC'!$P$72,0)))))))))))</f>
        <v>480.93</v>
      </c>
      <c r="Z12" s="175">
        <f>IF(S12=2,'A.0_Tablas salariales SC'!$P$90,(IF(S12=6,'A.0_Tablas salariales SC'!$P$91,IF(S12=10,'A.0_Tablas salariales SC'!$P$92,IF(S12=14,'A.0_Tablas salariales SC'!$P$93,IF(S12=18,'A.0_Tablas salariales SC'!$P$94,IF(S12=20,'A.0_Tablas salariales SC'!$P$95,IF(S12=22,'A.0_Tablas salariales SC'!$P$96,IF(S12=24,'A.0_Tablas salariales SC'!$P$97,IF(S12=26,'A.0_Tablas salariales SC'!$P$98,IF(S12=28,'A.0_Tablas salariales SC'!$P$99,0)))))))))))</f>
        <v>502.58</v>
      </c>
      <c r="AA12" s="175">
        <f>IF(T12=2,'A.0_Tablas salariales SC'!$P$117,(IF(T12=6,'A.0_Tablas salariales SC'!$P$118,IF(T12=10,'A.0_Tablas salariales SC'!$P$119,IF(T12=14,'A.0_Tablas salariales SC'!$P$120,IF(T12=18,'A.0_Tablas salariales SC'!$P$121,IF(T12=20,'A.0_Tablas salariales SC'!$P$122,IF(T12=22,'A.0_Tablas salariales SC'!$P$123,IF(T12=24,'A.0_Tablas salariales SC'!$P$124,IF(T12=26,'A.0_Tablas salariales SC'!$P$125,IF(T12=28,'A.0_Tablas salariales SC'!$P$126,0)))))))))))</f>
        <v>527.70000000000005</v>
      </c>
      <c r="AB12" s="175">
        <f>IF(U12=2,'A.0_Tablas salariales SC'!$P$145,(IF(U12=6,'A.0_Tablas salariales SC'!$P$146,IF(U12=10,'A.0_Tablas salariales SC'!$P$147,IF(U12=14,'A.0_Tablas salariales SC'!$P$148,IF(U12=18,'A.0_Tablas salariales SC'!$P$149,IF(U12=20,'A.0_Tablas salariales SC'!$P$150,IF(U12=22,'A.0_Tablas salariales SC'!$P$151,IF(U12=24,'A.0_Tablas salariales SC'!$P$152,IF(U12=26,'A.0_Tablas salariales SC'!$P$153,IF(U12=28,'A.0_Tablas salariales SC'!$P$154,0)))))))))))</f>
        <v>543.53100000000006</v>
      </c>
      <c r="AC12" s="175">
        <f>IF(V12=2,'A.0_Tablas salariales SC'!$P$173,(IF(V12=6,'A.0_Tablas salariales SC'!$P$174,IF(V12=10,'A.0_Tablas salariales SC'!$P$175,IF(V12=14,'A.0_Tablas salariales SC'!$P$176,IF(V12=18,'A.0_Tablas salariales SC'!$P$177,IF(V12=20,'A.0_Tablas salariales SC'!$P$178,IF(V12=22,'A.0_Tablas salariales SC'!$P$179,IF(V12=24,'A.0_Tablas salariales SC'!$P$180,IF(V12=26,'A.0_Tablas salariales SC'!$P$181,IF(V12=28,'A.0_Tablas salariales SC'!$P$182,0)))))))))))</f>
        <v>559.83693000000005</v>
      </c>
    </row>
    <row r="13" spans="1:2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416"/>
      <c r="X13" s="416"/>
      <c r="Y13" s="416"/>
      <c r="Z13" s="416"/>
      <c r="AA13" s="416"/>
      <c r="AB13" s="416"/>
      <c r="AC13" s="416"/>
    </row>
    <row r="14" spans="1:29">
      <c r="A14" s="508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2">
        <f t="shared" ref="F14:F31" si="39">YEAR(E14)</f>
        <v>1900</v>
      </c>
      <c r="G14" s="173">
        <f t="shared" ref="G14:H45" si="40">G$3</f>
        <v>2026</v>
      </c>
      <c r="H14" s="173">
        <f t="shared" si="40"/>
        <v>2032</v>
      </c>
      <c r="I14" s="173">
        <f t="shared" ref="I14:I85" si="41">($I$3-F14)*$I$4</f>
        <v>126</v>
      </c>
      <c r="J14" s="173">
        <f t="shared" ref="J14:J85" si="42">($J$3-F14)*$J$4</f>
        <v>127</v>
      </c>
      <c r="K14" s="173">
        <f t="shared" ref="K14:K85" si="43">($K$3-F14)*$K$4</f>
        <v>128</v>
      </c>
      <c r="L14" s="173">
        <f t="shared" ref="L14:L85" si="44">($L$3-F14)*$L$4</f>
        <v>129</v>
      </c>
      <c r="M14" s="173">
        <f t="shared" ref="M14:M85" si="45">($M$3-F14)*$M$4</f>
        <v>130</v>
      </c>
      <c r="N14" s="173">
        <f t="shared" ref="N14:N85" si="46">($N$3-F14)*$N$4</f>
        <v>131</v>
      </c>
      <c r="O14" s="173">
        <f t="shared" ref="O14:O85" si="47">($O$3-F14)*$O$4</f>
        <v>132</v>
      </c>
      <c r="P14" s="173">
        <f t="shared" ref="P14:P85" si="48">IF(I14&gt;=28,28,IF(I14&gt;=26,26,(IF(I14&gt;=24,24,IF(I14&gt;=22,22,IF(I14&gt;=20,20,IF(I14&gt;=18,18,IF(I14&gt;=14,14,(IF(I14&gt;=10,10,(IF(I14&gt;=6,6,(IF(I14&gt;=2,2,0))))))))))))))</f>
        <v>28</v>
      </c>
      <c r="Q14" s="173">
        <f t="shared" ref="Q14:Q85" si="49">IF(J14&gt;=28,28,IF(J14&gt;=26,26,(IF(J14&gt;=24,24,IF(J14&gt;=22,22,IF(J14&gt;=20,20,IF(J14&gt;=18,18,IF(J14&gt;=14,14,(IF(J14&gt;=10,10,(IF(J14&gt;=6,6,(IF(J14&gt;=2,2,0))))))))))))))</f>
        <v>28</v>
      </c>
      <c r="R14" s="173">
        <f t="shared" ref="R14:R85" si="50">IF(K14&gt;=28,28,IF(K14&gt;=26,26,(IF(K14&gt;=24,24,IF(K14&gt;=22,22,IF(K14&gt;=20,20,IF(K14&gt;=18,18,IF(K14&gt;=14,14,(IF(K14&gt;=10,10,(IF(K14&gt;=6,6,(IF(K14&gt;=2,2,0))))))))))))))</f>
        <v>28</v>
      </c>
      <c r="S14" s="173">
        <f t="shared" ref="S14:S85" si="51">IF(L14&gt;=28,28,IF(L14&gt;=26,26,(IF(L14&gt;=24,24,IF(L14&gt;=22,22,IF(L14&gt;=20,20,IF(L14&gt;=18,18,IF(L14&gt;=14,14,(IF(L14&gt;=10,10,(IF(L14&gt;=6,6,(IF(L14&gt;=2,2,0))))))))))))))</f>
        <v>28</v>
      </c>
      <c r="T14" s="173">
        <f t="shared" ref="T14:T85" si="52">IF(M14&gt;=28,28,IF(M14&gt;=26,26,(IF(M14&gt;=24,24,IF(M14&gt;=22,22,IF(M14&gt;=20,20,IF(M14&gt;=18,18,IF(M14&gt;=14,14,(IF(M14&gt;=10,10,(IF(M14&gt;=6,6,(IF(M14&gt;=2,2,0))))))))))))))</f>
        <v>28</v>
      </c>
      <c r="U14" s="173">
        <f t="shared" ref="U14:U85" si="53">IF(N14&gt;=28,28,IF(N14&gt;=26,26,(IF(N14&gt;=24,24,IF(N14&gt;=22,22,IF(N14&gt;=20,20,IF(N14&gt;=18,18,IF(N14&gt;=14,14,(IF(N14&gt;=10,10,(IF(N14&gt;=6,6,(IF(N14&gt;=2,2,0))))))))))))))</f>
        <v>28</v>
      </c>
      <c r="V14" s="173">
        <f t="shared" ref="V14:V85" si="54">IF(O14&gt;=28,28,IF(O14&gt;=26,26,(IF(O14&gt;=24,24,IF(O14&gt;=22,22,IF(O14&gt;=20,20,IF(O14&gt;=18,18,IF(O14&gt;=14,14,(IF(O14&gt;=10,10,(IF(O14&gt;=6,6,(IF(O14&gt;=2,2,0))))))))))))))</f>
        <v>28</v>
      </c>
      <c r="W14" s="175">
        <f>IF(P14=2,'A.0_Tablas salariales SC'!$P$9,(IF(P14=6,'A.0_Tablas salariales SC'!$P$10,IF(P14=10,'A.0_Tablas salariales SC'!$P$11,IF(P14=14,'A.0_Tablas salariales SC'!$P$12,IF(P14=18,'A.0_Tablas salariales SC'!$P$13,IF(P14=20,'A.0_Tablas salariales SC'!$P$14,IF(P14=22,'A.0_Tablas salariales SC'!$P$15,IF(P14=24,'A.0_Tablas salariales SC'!$P$16,IF(P14=26,'A.0_Tablas salariales SC'!$P$17,IF(P14=28,'A.0_Tablas salariales SC'!$P$18,0)))))))))))</f>
        <v>446.8</v>
      </c>
      <c r="X14" s="175">
        <f>IF(Q14=2,'A.0_Tablas salariales SC'!$P$36,(IF(Q14=6,'A.0_Tablas salariales SC'!$P$37,IF(Q14=10,'A.0_Tablas salariales SC'!$P$38,IF(Q14=14,'A.0_Tablas salariales SC'!$P$39,IF(Q14=18,'A.0_Tablas salariales SC'!$P$40,IF(Q14=20,'A.0_Tablas salariales SC'!$P$41,IF(Q14=22,'A.0_Tablas salariales SC'!$P$42,IF(Q14=24,'A.0_Tablas salariales SC'!$P$43,IF(Q14=26,'A.0_Tablas salariales SC'!$P$44,IF(Q14=28,'A.0_Tablas salariales SC'!$P$45,0)))))))))))</f>
        <v>462.44</v>
      </c>
      <c r="Y14" s="175">
        <f>IF(R14=2,'A.0_Tablas salariales SC'!$P$63,(IF(R14=6,'A.0_Tablas salariales SC'!$P$64,IF(R14=10,'A.0_Tablas salariales SC'!$P$65,IF(R14=14,'A.0_Tablas salariales SC'!$P$66,IF(R14=18,'A.0_Tablas salariales SC'!$P$67,IF(R14=20,'A.0_Tablas salariales SC'!$P$68,IF(R14=22,'A.0_Tablas salariales SC'!$P$69,IF(R14=24,'A.0_Tablas salariales SC'!$P$70,IF(R14=26,'A.0_Tablas salariales SC'!$P$71,IF(R14=28,'A.0_Tablas salariales SC'!$P$72,0)))))))))))</f>
        <v>480.93</v>
      </c>
      <c r="Z14" s="175">
        <f>IF(S14=2,'A.0_Tablas salariales SC'!$P$90,(IF(S14=6,'A.0_Tablas salariales SC'!$P$91,IF(S14=10,'A.0_Tablas salariales SC'!$P$92,IF(S14=14,'A.0_Tablas salariales SC'!$P$93,IF(S14=18,'A.0_Tablas salariales SC'!$P$94,IF(S14=20,'A.0_Tablas salariales SC'!$P$95,IF(S14=22,'A.0_Tablas salariales SC'!$P$96,IF(S14=24,'A.0_Tablas salariales SC'!$P$97,IF(S14=26,'A.0_Tablas salariales SC'!$P$98,IF(S14=28,'A.0_Tablas salariales SC'!$P$99,0)))))))))))</f>
        <v>502.58</v>
      </c>
      <c r="AA14" s="175">
        <f>IF(T14=2,'A.0_Tablas salariales SC'!$P$117,(IF(T14=6,'A.0_Tablas salariales SC'!$P$118,IF(T14=10,'A.0_Tablas salariales SC'!$P$119,IF(T14=14,'A.0_Tablas salariales SC'!$P$120,IF(T14=18,'A.0_Tablas salariales SC'!$P$121,IF(T14=20,'A.0_Tablas salariales SC'!$P$122,IF(T14=22,'A.0_Tablas salariales SC'!$P$123,IF(T14=24,'A.0_Tablas salariales SC'!$P$124,IF(T14=26,'A.0_Tablas salariales SC'!$P$125,IF(T14=28,'A.0_Tablas salariales SC'!$P$126,0)))))))))))</f>
        <v>527.70000000000005</v>
      </c>
      <c r="AB14" s="175">
        <f>IF(U14=2,'A.0_Tablas salariales SC'!$P$145,(IF(U14=6,'A.0_Tablas salariales SC'!$P$146,IF(U14=10,'A.0_Tablas salariales SC'!$P$147,IF(U14=14,'A.0_Tablas salariales SC'!$P$148,IF(U14=18,'A.0_Tablas salariales SC'!$P$149,IF(U14=20,'A.0_Tablas salariales SC'!$P$150,IF(U14=22,'A.0_Tablas salariales SC'!$P$151,IF(U14=24,'A.0_Tablas salariales SC'!$P$152,IF(U14=26,'A.0_Tablas salariales SC'!$P$153,IF(U14=28,'A.0_Tablas salariales SC'!$P$154,0)))))))))))</f>
        <v>543.53100000000006</v>
      </c>
      <c r="AC14" s="175">
        <f>IF(V14=2,'A.0_Tablas salariales SC'!$P$173,(IF(V14=6,'A.0_Tablas salariales SC'!$P$174,IF(V14=10,'A.0_Tablas salariales SC'!$P$175,IF(V14=14,'A.0_Tablas salariales SC'!$P$176,IF(V14=18,'A.0_Tablas salariales SC'!$P$177,IF(V14=20,'A.0_Tablas salariales SC'!$P$178,IF(V14=22,'A.0_Tablas salariales SC'!$P$179,IF(V14=24,'A.0_Tablas salariales SC'!$P$180,IF(V14=26,'A.0_Tablas salariales SC'!$P$181,IF(V14=28,'A.0_Tablas salariales SC'!$P$182,0)))))))))))</f>
        <v>559.83693000000005</v>
      </c>
    </row>
    <row r="15" spans="1:29">
      <c r="A15" s="508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2">
        <f t="shared" si="39"/>
        <v>1900</v>
      </c>
      <c r="G15" s="173">
        <f t="shared" si="40"/>
        <v>2026</v>
      </c>
      <c r="H15" s="173">
        <f t="shared" si="40"/>
        <v>2032</v>
      </c>
      <c r="I15" s="173">
        <f t="shared" si="41"/>
        <v>126</v>
      </c>
      <c r="J15" s="173">
        <f t="shared" si="42"/>
        <v>127</v>
      </c>
      <c r="K15" s="173">
        <f t="shared" si="43"/>
        <v>128</v>
      </c>
      <c r="L15" s="173">
        <f t="shared" si="44"/>
        <v>129</v>
      </c>
      <c r="M15" s="173">
        <f t="shared" si="45"/>
        <v>130</v>
      </c>
      <c r="N15" s="173">
        <f t="shared" si="46"/>
        <v>131</v>
      </c>
      <c r="O15" s="173">
        <f t="shared" si="47"/>
        <v>132</v>
      </c>
      <c r="P15" s="173">
        <f t="shared" si="48"/>
        <v>28</v>
      </c>
      <c r="Q15" s="173">
        <f t="shared" si="49"/>
        <v>28</v>
      </c>
      <c r="R15" s="173">
        <f t="shared" si="50"/>
        <v>28</v>
      </c>
      <c r="S15" s="173">
        <f t="shared" si="51"/>
        <v>28</v>
      </c>
      <c r="T15" s="173">
        <f t="shared" si="52"/>
        <v>28</v>
      </c>
      <c r="U15" s="173">
        <f t="shared" si="53"/>
        <v>28</v>
      </c>
      <c r="V15" s="173">
        <f t="shared" si="54"/>
        <v>28</v>
      </c>
      <c r="W15" s="175">
        <f>IF(P15=2,'A.0_Tablas salariales SC'!$P$9,(IF(P15=6,'A.0_Tablas salariales SC'!$P$10,IF(P15=10,'A.0_Tablas salariales SC'!$P$11,IF(P15=14,'A.0_Tablas salariales SC'!$P$12,IF(P15=18,'A.0_Tablas salariales SC'!$P$13,IF(P15=20,'A.0_Tablas salariales SC'!$P$14,IF(P15=22,'A.0_Tablas salariales SC'!$P$15,IF(P15=24,'A.0_Tablas salariales SC'!$P$16,IF(P15=26,'A.0_Tablas salariales SC'!$P$17,IF(P15=28,'A.0_Tablas salariales SC'!$P$18,0)))))))))))</f>
        <v>446.8</v>
      </c>
      <c r="X15" s="175">
        <f>IF(Q15=2,'A.0_Tablas salariales SC'!$P$36,(IF(Q15=6,'A.0_Tablas salariales SC'!$P$37,IF(Q15=10,'A.0_Tablas salariales SC'!$P$38,IF(Q15=14,'A.0_Tablas salariales SC'!$P$39,IF(Q15=18,'A.0_Tablas salariales SC'!$P$40,IF(Q15=20,'A.0_Tablas salariales SC'!$P$41,IF(Q15=22,'A.0_Tablas salariales SC'!$P$42,IF(Q15=24,'A.0_Tablas salariales SC'!$P$43,IF(Q15=26,'A.0_Tablas salariales SC'!$P$44,IF(Q15=28,'A.0_Tablas salariales SC'!$P$45,0)))))))))))</f>
        <v>462.44</v>
      </c>
      <c r="Y15" s="175">
        <f>IF(R15=2,'A.0_Tablas salariales SC'!$P$63,(IF(R15=6,'A.0_Tablas salariales SC'!$P$64,IF(R15=10,'A.0_Tablas salariales SC'!$P$65,IF(R15=14,'A.0_Tablas salariales SC'!$P$66,IF(R15=18,'A.0_Tablas salariales SC'!$P$67,IF(R15=20,'A.0_Tablas salariales SC'!$P$68,IF(R15=22,'A.0_Tablas salariales SC'!$P$69,IF(R15=24,'A.0_Tablas salariales SC'!$P$70,IF(R15=26,'A.0_Tablas salariales SC'!$P$71,IF(R15=28,'A.0_Tablas salariales SC'!$P$72,0)))))))))))</f>
        <v>480.93</v>
      </c>
      <c r="Z15" s="175">
        <f>IF(S15=2,'A.0_Tablas salariales SC'!$P$90,(IF(S15=6,'A.0_Tablas salariales SC'!$P$91,IF(S15=10,'A.0_Tablas salariales SC'!$P$92,IF(S15=14,'A.0_Tablas salariales SC'!$P$93,IF(S15=18,'A.0_Tablas salariales SC'!$P$94,IF(S15=20,'A.0_Tablas salariales SC'!$P$95,IF(S15=22,'A.0_Tablas salariales SC'!$P$96,IF(S15=24,'A.0_Tablas salariales SC'!$P$97,IF(S15=26,'A.0_Tablas salariales SC'!$P$98,IF(S15=28,'A.0_Tablas salariales SC'!$P$99,0)))))))))))</f>
        <v>502.58</v>
      </c>
      <c r="AA15" s="175">
        <f>IF(T15=2,'A.0_Tablas salariales SC'!$P$117,(IF(T15=6,'A.0_Tablas salariales SC'!$P$118,IF(T15=10,'A.0_Tablas salariales SC'!$P$119,IF(T15=14,'A.0_Tablas salariales SC'!$P$120,IF(T15=18,'A.0_Tablas salariales SC'!$P$121,IF(T15=20,'A.0_Tablas salariales SC'!$P$122,IF(T15=22,'A.0_Tablas salariales SC'!$P$123,IF(T15=24,'A.0_Tablas salariales SC'!$P$124,IF(T15=26,'A.0_Tablas salariales SC'!$P$125,IF(T15=28,'A.0_Tablas salariales SC'!$P$126,0)))))))))))</f>
        <v>527.70000000000005</v>
      </c>
      <c r="AB15" s="175">
        <f>IF(U15=2,'A.0_Tablas salariales SC'!$P$145,(IF(U15=6,'A.0_Tablas salariales SC'!$P$146,IF(U15=10,'A.0_Tablas salariales SC'!$P$147,IF(U15=14,'A.0_Tablas salariales SC'!$P$148,IF(U15=18,'A.0_Tablas salariales SC'!$P$149,IF(U15=20,'A.0_Tablas salariales SC'!$P$150,IF(U15=22,'A.0_Tablas salariales SC'!$P$151,IF(U15=24,'A.0_Tablas salariales SC'!$P$152,IF(U15=26,'A.0_Tablas salariales SC'!$P$153,IF(U15=28,'A.0_Tablas salariales SC'!$P$154,0)))))))))))</f>
        <v>543.53100000000006</v>
      </c>
      <c r="AC15" s="175">
        <f>IF(V15=2,'A.0_Tablas salariales SC'!$P$173,(IF(V15=6,'A.0_Tablas salariales SC'!$P$174,IF(V15=10,'A.0_Tablas salariales SC'!$P$175,IF(V15=14,'A.0_Tablas salariales SC'!$P$176,IF(V15=18,'A.0_Tablas salariales SC'!$P$177,IF(V15=20,'A.0_Tablas salariales SC'!$P$178,IF(V15=22,'A.0_Tablas salariales SC'!$P$179,IF(V15=24,'A.0_Tablas salariales SC'!$P$180,IF(V15=26,'A.0_Tablas salariales SC'!$P$181,IF(V15=28,'A.0_Tablas salariales SC'!$P$182,0)))))))))))</f>
        <v>559.83693000000005</v>
      </c>
    </row>
    <row r="16" spans="1:29">
      <c r="A16" s="508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2">
        <f t="shared" si="39"/>
        <v>1900</v>
      </c>
      <c r="G16" s="173">
        <f t="shared" si="40"/>
        <v>2026</v>
      </c>
      <c r="H16" s="173">
        <f t="shared" si="40"/>
        <v>2032</v>
      </c>
      <c r="I16" s="173">
        <f t="shared" si="41"/>
        <v>126</v>
      </c>
      <c r="J16" s="173">
        <f t="shared" si="42"/>
        <v>127</v>
      </c>
      <c r="K16" s="173">
        <f t="shared" si="43"/>
        <v>128</v>
      </c>
      <c r="L16" s="173">
        <f t="shared" si="44"/>
        <v>129</v>
      </c>
      <c r="M16" s="173">
        <f t="shared" si="45"/>
        <v>130</v>
      </c>
      <c r="N16" s="173">
        <f t="shared" si="46"/>
        <v>131</v>
      </c>
      <c r="O16" s="173">
        <f t="shared" si="47"/>
        <v>132</v>
      </c>
      <c r="P16" s="173">
        <f t="shared" si="48"/>
        <v>28</v>
      </c>
      <c r="Q16" s="173">
        <f t="shared" si="49"/>
        <v>28</v>
      </c>
      <c r="R16" s="173">
        <f t="shared" si="50"/>
        <v>28</v>
      </c>
      <c r="S16" s="173">
        <f t="shared" si="51"/>
        <v>28</v>
      </c>
      <c r="T16" s="173">
        <f t="shared" si="52"/>
        <v>28</v>
      </c>
      <c r="U16" s="173">
        <f t="shared" si="53"/>
        <v>28</v>
      </c>
      <c r="V16" s="173">
        <f t="shared" si="54"/>
        <v>28</v>
      </c>
      <c r="W16" s="175">
        <f>IF(P16=2,'A.0_Tablas salariales SC'!$P$9,(IF(P16=6,'A.0_Tablas salariales SC'!$P$10,IF(P16=10,'A.0_Tablas salariales SC'!$P$11,IF(P16=14,'A.0_Tablas salariales SC'!$P$12,IF(P16=18,'A.0_Tablas salariales SC'!$P$13,IF(P16=20,'A.0_Tablas salariales SC'!$P$14,IF(P16=22,'A.0_Tablas salariales SC'!$P$15,IF(P16=24,'A.0_Tablas salariales SC'!$P$16,IF(P16=26,'A.0_Tablas salariales SC'!$P$17,IF(P16=28,'A.0_Tablas salariales SC'!$P$18,0)))))))))))</f>
        <v>446.8</v>
      </c>
      <c r="X16" s="175">
        <f>IF(Q16=2,'A.0_Tablas salariales SC'!$P$36,(IF(Q16=6,'A.0_Tablas salariales SC'!$P$37,IF(Q16=10,'A.0_Tablas salariales SC'!$P$38,IF(Q16=14,'A.0_Tablas salariales SC'!$P$39,IF(Q16=18,'A.0_Tablas salariales SC'!$P$40,IF(Q16=20,'A.0_Tablas salariales SC'!$P$41,IF(Q16=22,'A.0_Tablas salariales SC'!$P$42,IF(Q16=24,'A.0_Tablas salariales SC'!$P$43,IF(Q16=26,'A.0_Tablas salariales SC'!$P$44,IF(Q16=28,'A.0_Tablas salariales SC'!$P$45,0)))))))))))</f>
        <v>462.44</v>
      </c>
      <c r="Y16" s="175">
        <f>IF(R16=2,'A.0_Tablas salariales SC'!$P$63,(IF(R16=6,'A.0_Tablas salariales SC'!$P$64,IF(R16=10,'A.0_Tablas salariales SC'!$P$65,IF(R16=14,'A.0_Tablas salariales SC'!$P$66,IF(R16=18,'A.0_Tablas salariales SC'!$P$67,IF(R16=20,'A.0_Tablas salariales SC'!$P$68,IF(R16=22,'A.0_Tablas salariales SC'!$P$69,IF(R16=24,'A.0_Tablas salariales SC'!$P$70,IF(R16=26,'A.0_Tablas salariales SC'!$P$71,IF(R16=28,'A.0_Tablas salariales SC'!$P$72,0)))))))))))</f>
        <v>480.93</v>
      </c>
      <c r="Z16" s="175">
        <f>IF(S16=2,'A.0_Tablas salariales SC'!$P$90,(IF(S16=6,'A.0_Tablas salariales SC'!$P$91,IF(S16=10,'A.0_Tablas salariales SC'!$P$92,IF(S16=14,'A.0_Tablas salariales SC'!$P$93,IF(S16=18,'A.0_Tablas salariales SC'!$P$94,IF(S16=20,'A.0_Tablas salariales SC'!$P$95,IF(S16=22,'A.0_Tablas salariales SC'!$P$96,IF(S16=24,'A.0_Tablas salariales SC'!$P$97,IF(S16=26,'A.0_Tablas salariales SC'!$P$98,IF(S16=28,'A.0_Tablas salariales SC'!$P$99,0)))))))))))</f>
        <v>502.58</v>
      </c>
      <c r="AA16" s="175">
        <f>IF(T16=2,'A.0_Tablas salariales SC'!$P$117,(IF(T16=6,'A.0_Tablas salariales SC'!$P$118,IF(T16=10,'A.0_Tablas salariales SC'!$P$119,IF(T16=14,'A.0_Tablas salariales SC'!$P$120,IF(T16=18,'A.0_Tablas salariales SC'!$P$121,IF(T16=20,'A.0_Tablas salariales SC'!$P$122,IF(T16=22,'A.0_Tablas salariales SC'!$P$123,IF(T16=24,'A.0_Tablas salariales SC'!$P$124,IF(T16=26,'A.0_Tablas salariales SC'!$P$125,IF(T16=28,'A.0_Tablas salariales SC'!$P$126,0)))))))))))</f>
        <v>527.70000000000005</v>
      </c>
      <c r="AB16" s="175">
        <f>IF(U16=2,'A.0_Tablas salariales SC'!$P$145,(IF(U16=6,'A.0_Tablas salariales SC'!$P$146,IF(U16=10,'A.0_Tablas salariales SC'!$P$147,IF(U16=14,'A.0_Tablas salariales SC'!$P$148,IF(U16=18,'A.0_Tablas salariales SC'!$P$149,IF(U16=20,'A.0_Tablas salariales SC'!$P$150,IF(U16=22,'A.0_Tablas salariales SC'!$P$151,IF(U16=24,'A.0_Tablas salariales SC'!$P$152,IF(U16=26,'A.0_Tablas salariales SC'!$P$153,IF(U16=28,'A.0_Tablas salariales SC'!$P$154,0)))))))))))</f>
        <v>543.53100000000006</v>
      </c>
      <c r="AC16" s="175">
        <f>IF(V16=2,'A.0_Tablas salariales SC'!$P$173,(IF(V16=6,'A.0_Tablas salariales SC'!$P$174,IF(V16=10,'A.0_Tablas salariales SC'!$P$175,IF(V16=14,'A.0_Tablas salariales SC'!$P$176,IF(V16=18,'A.0_Tablas salariales SC'!$P$177,IF(V16=20,'A.0_Tablas salariales SC'!$P$178,IF(V16=22,'A.0_Tablas salariales SC'!$P$179,IF(V16=24,'A.0_Tablas salariales SC'!$P$180,IF(V16=26,'A.0_Tablas salariales SC'!$P$181,IF(V16=28,'A.0_Tablas salariales SC'!$P$182,0)))))))))))</f>
        <v>559.83693000000005</v>
      </c>
    </row>
    <row r="17" spans="1:29">
      <c r="A17" s="508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2">
        <f t="shared" si="39"/>
        <v>1900</v>
      </c>
      <c r="G17" s="173">
        <f t="shared" si="40"/>
        <v>2026</v>
      </c>
      <c r="H17" s="173">
        <f t="shared" si="40"/>
        <v>2032</v>
      </c>
      <c r="I17" s="173">
        <f t="shared" si="41"/>
        <v>126</v>
      </c>
      <c r="J17" s="173">
        <f t="shared" si="42"/>
        <v>127</v>
      </c>
      <c r="K17" s="173">
        <f t="shared" si="43"/>
        <v>128</v>
      </c>
      <c r="L17" s="173">
        <f t="shared" si="44"/>
        <v>129</v>
      </c>
      <c r="M17" s="173">
        <f t="shared" si="45"/>
        <v>130</v>
      </c>
      <c r="N17" s="173">
        <f t="shared" si="46"/>
        <v>131</v>
      </c>
      <c r="O17" s="173">
        <f t="shared" si="47"/>
        <v>132</v>
      </c>
      <c r="P17" s="173">
        <f t="shared" si="48"/>
        <v>28</v>
      </c>
      <c r="Q17" s="173">
        <f t="shared" si="49"/>
        <v>28</v>
      </c>
      <c r="R17" s="173">
        <f t="shared" si="50"/>
        <v>28</v>
      </c>
      <c r="S17" s="173">
        <f t="shared" si="51"/>
        <v>28</v>
      </c>
      <c r="T17" s="173">
        <f t="shared" si="52"/>
        <v>28</v>
      </c>
      <c r="U17" s="173">
        <f t="shared" si="53"/>
        <v>28</v>
      </c>
      <c r="V17" s="173">
        <f t="shared" si="54"/>
        <v>28</v>
      </c>
      <c r="W17" s="175">
        <f>IF(P17=2,'A.0_Tablas salariales SC'!$P$9,(IF(P17=6,'A.0_Tablas salariales SC'!$P$10,IF(P17=10,'A.0_Tablas salariales SC'!$P$11,IF(P17=14,'A.0_Tablas salariales SC'!$P$12,IF(P17=18,'A.0_Tablas salariales SC'!$P$13,IF(P17=20,'A.0_Tablas salariales SC'!$P$14,IF(P17=22,'A.0_Tablas salariales SC'!$P$15,IF(P17=24,'A.0_Tablas salariales SC'!$P$16,IF(P17=26,'A.0_Tablas salariales SC'!$P$17,IF(P17=28,'A.0_Tablas salariales SC'!$P$18,0)))))))))))</f>
        <v>446.8</v>
      </c>
      <c r="X17" s="175">
        <f>IF(Q17=2,'A.0_Tablas salariales SC'!$P$36,(IF(Q17=6,'A.0_Tablas salariales SC'!$P$37,IF(Q17=10,'A.0_Tablas salariales SC'!$P$38,IF(Q17=14,'A.0_Tablas salariales SC'!$P$39,IF(Q17=18,'A.0_Tablas salariales SC'!$P$40,IF(Q17=20,'A.0_Tablas salariales SC'!$P$41,IF(Q17=22,'A.0_Tablas salariales SC'!$P$42,IF(Q17=24,'A.0_Tablas salariales SC'!$P$43,IF(Q17=26,'A.0_Tablas salariales SC'!$P$44,IF(Q17=28,'A.0_Tablas salariales SC'!$P$45,0)))))))))))</f>
        <v>462.44</v>
      </c>
      <c r="Y17" s="175">
        <f>IF(R17=2,'A.0_Tablas salariales SC'!$P$63,(IF(R17=6,'A.0_Tablas salariales SC'!$P$64,IF(R17=10,'A.0_Tablas salariales SC'!$P$65,IF(R17=14,'A.0_Tablas salariales SC'!$P$66,IF(R17=18,'A.0_Tablas salariales SC'!$P$67,IF(R17=20,'A.0_Tablas salariales SC'!$P$68,IF(R17=22,'A.0_Tablas salariales SC'!$P$69,IF(R17=24,'A.0_Tablas salariales SC'!$P$70,IF(R17=26,'A.0_Tablas salariales SC'!$P$71,IF(R17=28,'A.0_Tablas salariales SC'!$P$72,0)))))))))))</f>
        <v>480.93</v>
      </c>
      <c r="Z17" s="175">
        <f>IF(S17=2,'A.0_Tablas salariales SC'!$P$90,(IF(S17=6,'A.0_Tablas salariales SC'!$P$91,IF(S17=10,'A.0_Tablas salariales SC'!$P$92,IF(S17=14,'A.0_Tablas salariales SC'!$P$93,IF(S17=18,'A.0_Tablas salariales SC'!$P$94,IF(S17=20,'A.0_Tablas salariales SC'!$P$95,IF(S17=22,'A.0_Tablas salariales SC'!$P$96,IF(S17=24,'A.0_Tablas salariales SC'!$P$97,IF(S17=26,'A.0_Tablas salariales SC'!$P$98,IF(S17=28,'A.0_Tablas salariales SC'!$P$99,0)))))))))))</f>
        <v>502.58</v>
      </c>
      <c r="AA17" s="175">
        <f>IF(T17=2,'A.0_Tablas salariales SC'!$P$117,(IF(T17=6,'A.0_Tablas salariales SC'!$P$118,IF(T17=10,'A.0_Tablas salariales SC'!$P$119,IF(T17=14,'A.0_Tablas salariales SC'!$P$120,IF(T17=18,'A.0_Tablas salariales SC'!$P$121,IF(T17=20,'A.0_Tablas salariales SC'!$P$122,IF(T17=22,'A.0_Tablas salariales SC'!$P$123,IF(T17=24,'A.0_Tablas salariales SC'!$P$124,IF(T17=26,'A.0_Tablas salariales SC'!$P$125,IF(T17=28,'A.0_Tablas salariales SC'!$P$126,0)))))))))))</f>
        <v>527.70000000000005</v>
      </c>
      <c r="AB17" s="175">
        <f>IF(U17=2,'A.0_Tablas salariales SC'!$P$145,(IF(U17=6,'A.0_Tablas salariales SC'!$P$146,IF(U17=10,'A.0_Tablas salariales SC'!$P$147,IF(U17=14,'A.0_Tablas salariales SC'!$P$148,IF(U17=18,'A.0_Tablas salariales SC'!$P$149,IF(U17=20,'A.0_Tablas salariales SC'!$P$150,IF(U17=22,'A.0_Tablas salariales SC'!$P$151,IF(U17=24,'A.0_Tablas salariales SC'!$P$152,IF(U17=26,'A.0_Tablas salariales SC'!$P$153,IF(U17=28,'A.0_Tablas salariales SC'!$P$154,0)))))))))))</f>
        <v>543.53100000000006</v>
      </c>
      <c r="AC17" s="175">
        <f>IF(V17=2,'A.0_Tablas salariales SC'!$P$173,(IF(V17=6,'A.0_Tablas salariales SC'!$P$174,IF(V17=10,'A.0_Tablas salariales SC'!$P$175,IF(V17=14,'A.0_Tablas salariales SC'!$P$176,IF(V17=18,'A.0_Tablas salariales SC'!$P$177,IF(V17=20,'A.0_Tablas salariales SC'!$P$178,IF(V17=22,'A.0_Tablas salariales SC'!$P$179,IF(V17=24,'A.0_Tablas salariales SC'!$P$180,IF(V17=26,'A.0_Tablas salariales SC'!$P$181,IF(V17=28,'A.0_Tablas salariales SC'!$P$182,0)))))))))))</f>
        <v>559.83693000000005</v>
      </c>
    </row>
    <row r="18" spans="1:29">
      <c r="A18" s="508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2">
        <f t="shared" si="39"/>
        <v>1900</v>
      </c>
      <c r="G18" s="173">
        <f t="shared" si="40"/>
        <v>2026</v>
      </c>
      <c r="H18" s="173">
        <f t="shared" si="40"/>
        <v>2032</v>
      </c>
      <c r="I18" s="173">
        <f t="shared" si="41"/>
        <v>126</v>
      </c>
      <c r="J18" s="173">
        <f t="shared" si="42"/>
        <v>127</v>
      </c>
      <c r="K18" s="173">
        <f t="shared" si="43"/>
        <v>128</v>
      </c>
      <c r="L18" s="173">
        <f t="shared" si="44"/>
        <v>129</v>
      </c>
      <c r="M18" s="173">
        <f t="shared" si="45"/>
        <v>130</v>
      </c>
      <c r="N18" s="173">
        <f t="shared" si="46"/>
        <v>131</v>
      </c>
      <c r="O18" s="173">
        <f t="shared" si="47"/>
        <v>132</v>
      </c>
      <c r="P18" s="173">
        <f t="shared" si="48"/>
        <v>28</v>
      </c>
      <c r="Q18" s="173">
        <f t="shared" si="49"/>
        <v>28</v>
      </c>
      <c r="R18" s="173">
        <f t="shared" si="50"/>
        <v>28</v>
      </c>
      <c r="S18" s="173">
        <f t="shared" si="51"/>
        <v>28</v>
      </c>
      <c r="T18" s="173">
        <f t="shared" si="52"/>
        <v>28</v>
      </c>
      <c r="U18" s="173">
        <f t="shared" si="53"/>
        <v>28</v>
      </c>
      <c r="V18" s="173">
        <f t="shared" si="54"/>
        <v>28</v>
      </c>
      <c r="W18" s="175">
        <f>IF(P18=2,'A.0_Tablas salariales SC'!$P$9,(IF(P18=6,'A.0_Tablas salariales SC'!$P$10,IF(P18=10,'A.0_Tablas salariales SC'!$P$11,IF(P18=14,'A.0_Tablas salariales SC'!$P$12,IF(P18=18,'A.0_Tablas salariales SC'!$P$13,IF(P18=20,'A.0_Tablas salariales SC'!$P$14,IF(P18=22,'A.0_Tablas salariales SC'!$P$15,IF(P18=24,'A.0_Tablas salariales SC'!$P$16,IF(P18=26,'A.0_Tablas salariales SC'!$P$17,IF(P18=28,'A.0_Tablas salariales SC'!$P$18,0)))))))))))</f>
        <v>446.8</v>
      </c>
      <c r="X18" s="175">
        <f>IF(Q18=2,'A.0_Tablas salariales SC'!$P$36,(IF(Q18=6,'A.0_Tablas salariales SC'!$P$37,IF(Q18=10,'A.0_Tablas salariales SC'!$P$38,IF(Q18=14,'A.0_Tablas salariales SC'!$P$39,IF(Q18=18,'A.0_Tablas salariales SC'!$P$40,IF(Q18=20,'A.0_Tablas salariales SC'!$P$41,IF(Q18=22,'A.0_Tablas salariales SC'!$P$42,IF(Q18=24,'A.0_Tablas salariales SC'!$P$43,IF(Q18=26,'A.0_Tablas salariales SC'!$P$44,IF(Q18=28,'A.0_Tablas salariales SC'!$P$45,0)))))))))))</f>
        <v>462.44</v>
      </c>
      <c r="Y18" s="175">
        <f>IF(R18=2,'A.0_Tablas salariales SC'!$P$63,(IF(R18=6,'A.0_Tablas salariales SC'!$P$64,IF(R18=10,'A.0_Tablas salariales SC'!$P$65,IF(R18=14,'A.0_Tablas salariales SC'!$P$66,IF(R18=18,'A.0_Tablas salariales SC'!$P$67,IF(R18=20,'A.0_Tablas salariales SC'!$P$68,IF(R18=22,'A.0_Tablas salariales SC'!$P$69,IF(R18=24,'A.0_Tablas salariales SC'!$P$70,IF(R18=26,'A.0_Tablas salariales SC'!$P$71,IF(R18=28,'A.0_Tablas salariales SC'!$P$72,0)))))))))))</f>
        <v>480.93</v>
      </c>
      <c r="Z18" s="175">
        <f>IF(S18=2,'A.0_Tablas salariales SC'!$P$90,(IF(S18=6,'A.0_Tablas salariales SC'!$P$91,IF(S18=10,'A.0_Tablas salariales SC'!$P$92,IF(S18=14,'A.0_Tablas salariales SC'!$P$93,IF(S18=18,'A.0_Tablas salariales SC'!$P$94,IF(S18=20,'A.0_Tablas salariales SC'!$P$95,IF(S18=22,'A.0_Tablas salariales SC'!$P$96,IF(S18=24,'A.0_Tablas salariales SC'!$P$97,IF(S18=26,'A.0_Tablas salariales SC'!$P$98,IF(S18=28,'A.0_Tablas salariales SC'!$P$99,0)))))))))))</f>
        <v>502.58</v>
      </c>
      <c r="AA18" s="175">
        <f>IF(T18=2,'A.0_Tablas salariales SC'!$P$117,(IF(T18=6,'A.0_Tablas salariales SC'!$P$118,IF(T18=10,'A.0_Tablas salariales SC'!$P$119,IF(T18=14,'A.0_Tablas salariales SC'!$P$120,IF(T18=18,'A.0_Tablas salariales SC'!$P$121,IF(T18=20,'A.0_Tablas salariales SC'!$P$122,IF(T18=22,'A.0_Tablas salariales SC'!$P$123,IF(T18=24,'A.0_Tablas salariales SC'!$P$124,IF(T18=26,'A.0_Tablas salariales SC'!$P$125,IF(T18=28,'A.0_Tablas salariales SC'!$P$126,0)))))))))))</f>
        <v>527.70000000000005</v>
      </c>
      <c r="AB18" s="175">
        <f>IF(U18=2,'A.0_Tablas salariales SC'!$P$145,(IF(U18=6,'A.0_Tablas salariales SC'!$P$146,IF(U18=10,'A.0_Tablas salariales SC'!$P$147,IF(U18=14,'A.0_Tablas salariales SC'!$P$148,IF(U18=18,'A.0_Tablas salariales SC'!$P$149,IF(U18=20,'A.0_Tablas salariales SC'!$P$150,IF(U18=22,'A.0_Tablas salariales SC'!$P$151,IF(U18=24,'A.0_Tablas salariales SC'!$P$152,IF(U18=26,'A.0_Tablas salariales SC'!$P$153,IF(U18=28,'A.0_Tablas salariales SC'!$P$154,0)))))))))))</f>
        <v>543.53100000000006</v>
      </c>
      <c r="AC18" s="175">
        <f>IF(V18=2,'A.0_Tablas salariales SC'!$P$173,(IF(V18=6,'A.0_Tablas salariales SC'!$P$174,IF(V18=10,'A.0_Tablas salariales SC'!$P$175,IF(V18=14,'A.0_Tablas salariales SC'!$P$176,IF(V18=18,'A.0_Tablas salariales SC'!$P$177,IF(V18=20,'A.0_Tablas salariales SC'!$P$178,IF(V18=22,'A.0_Tablas salariales SC'!$P$179,IF(V18=24,'A.0_Tablas salariales SC'!$P$180,IF(V18=26,'A.0_Tablas salariales SC'!$P$181,IF(V18=28,'A.0_Tablas salariales SC'!$P$182,0)))))))))))</f>
        <v>559.83693000000005</v>
      </c>
    </row>
    <row r="19" spans="1:29">
      <c r="A19" s="508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2">
        <f t="shared" si="39"/>
        <v>1900</v>
      </c>
      <c r="G19" s="173">
        <f t="shared" si="40"/>
        <v>2026</v>
      </c>
      <c r="H19" s="173">
        <f t="shared" si="40"/>
        <v>2032</v>
      </c>
      <c r="I19" s="173">
        <f t="shared" si="41"/>
        <v>126</v>
      </c>
      <c r="J19" s="173">
        <f t="shared" si="42"/>
        <v>127</v>
      </c>
      <c r="K19" s="173">
        <f t="shared" si="43"/>
        <v>128</v>
      </c>
      <c r="L19" s="173">
        <f t="shared" si="44"/>
        <v>129</v>
      </c>
      <c r="M19" s="173">
        <f t="shared" si="45"/>
        <v>130</v>
      </c>
      <c r="N19" s="173">
        <f t="shared" si="46"/>
        <v>131</v>
      </c>
      <c r="O19" s="173">
        <f t="shared" si="47"/>
        <v>132</v>
      </c>
      <c r="P19" s="173">
        <f t="shared" si="48"/>
        <v>28</v>
      </c>
      <c r="Q19" s="173">
        <f t="shared" si="49"/>
        <v>28</v>
      </c>
      <c r="R19" s="173">
        <f t="shared" si="50"/>
        <v>28</v>
      </c>
      <c r="S19" s="173">
        <f t="shared" si="51"/>
        <v>28</v>
      </c>
      <c r="T19" s="173">
        <f t="shared" si="52"/>
        <v>28</v>
      </c>
      <c r="U19" s="173">
        <f t="shared" si="53"/>
        <v>28</v>
      </c>
      <c r="V19" s="173">
        <f t="shared" si="54"/>
        <v>28</v>
      </c>
      <c r="W19" s="175">
        <f>IF(P19=2,'A.0_Tablas salariales SC'!$P$9,(IF(P19=6,'A.0_Tablas salariales SC'!$P$10,IF(P19=10,'A.0_Tablas salariales SC'!$P$11,IF(P19=14,'A.0_Tablas salariales SC'!$P$12,IF(P19=18,'A.0_Tablas salariales SC'!$P$13,IF(P19=20,'A.0_Tablas salariales SC'!$P$14,IF(P19=22,'A.0_Tablas salariales SC'!$P$15,IF(P19=24,'A.0_Tablas salariales SC'!$P$16,IF(P19=26,'A.0_Tablas salariales SC'!$P$17,IF(P19=28,'A.0_Tablas salariales SC'!$P$18,0)))))))))))</f>
        <v>446.8</v>
      </c>
      <c r="X19" s="175">
        <f>IF(Q19=2,'A.0_Tablas salariales SC'!$P$36,(IF(Q19=6,'A.0_Tablas salariales SC'!$P$37,IF(Q19=10,'A.0_Tablas salariales SC'!$P$38,IF(Q19=14,'A.0_Tablas salariales SC'!$P$39,IF(Q19=18,'A.0_Tablas salariales SC'!$P$40,IF(Q19=20,'A.0_Tablas salariales SC'!$P$41,IF(Q19=22,'A.0_Tablas salariales SC'!$P$42,IF(Q19=24,'A.0_Tablas salariales SC'!$P$43,IF(Q19=26,'A.0_Tablas salariales SC'!$P$44,IF(Q19=28,'A.0_Tablas salariales SC'!$P$45,0)))))))))))</f>
        <v>462.44</v>
      </c>
      <c r="Y19" s="175">
        <f>IF(R19=2,'A.0_Tablas salariales SC'!$P$63,(IF(R19=6,'A.0_Tablas salariales SC'!$P$64,IF(R19=10,'A.0_Tablas salariales SC'!$P$65,IF(R19=14,'A.0_Tablas salariales SC'!$P$66,IF(R19=18,'A.0_Tablas salariales SC'!$P$67,IF(R19=20,'A.0_Tablas salariales SC'!$P$68,IF(R19=22,'A.0_Tablas salariales SC'!$P$69,IF(R19=24,'A.0_Tablas salariales SC'!$P$70,IF(R19=26,'A.0_Tablas salariales SC'!$P$71,IF(R19=28,'A.0_Tablas salariales SC'!$P$72,0)))))))))))</f>
        <v>480.93</v>
      </c>
      <c r="Z19" s="175">
        <f>IF(S19=2,'A.0_Tablas salariales SC'!$P$90,(IF(S19=6,'A.0_Tablas salariales SC'!$P$91,IF(S19=10,'A.0_Tablas salariales SC'!$P$92,IF(S19=14,'A.0_Tablas salariales SC'!$P$93,IF(S19=18,'A.0_Tablas salariales SC'!$P$94,IF(S19=20,'A.0_Tablas salariales SC'!$P$95,IF(S19=22,'A.0_Tablas salariales SC'!$P$96,IF(S19=24,'A.0_Tablas salariales SC'!$P$97,IF(S19=26,'A.0_Tablas salariales SC'!$P$98,IF(S19=28,'A.0_Tablas salariales SC'!$P$99,0)))))))))))</f>
        <v>502.58</v>
      </c>
      <c r="AA19" s="175">
        <f>IF(T19=2,'A.0_Tablas salariales SC'!$P$117,(IF(T19=6,'A.0_Tablas salariales SC'!$P$118,IF(T19=10,'A.0_Tablas salariales SC'!$P$119,IF(T19=14,'A.0_Tablas salariales SC'!$P$120,IF(T19=18,'A.0_Tablas salariales SC'!$P$121,IF(T19=20,'A.0_Tablas salariales SC'!$P$122,IF(T19=22,'A.0_Tablas salariales SC'!$P$123,IF(T19=24,'A.0_Tablas salariales SC'!$P$124,IF(T19=26,'A.0_Tablas salariales SC'!$P$125,IF(T19=28,'A.0_Tablas salariales SC'!$P$126,0)))))))))))</f>
        <v>527.70000000000005</v>
      </c>
      <c r="AB19" s="175">
        <f>IF(U19=2,'A.0_Tablas salariales SC'!$P$145,(IF(U19=6,'A.0_Tablas salariales SC'!$P$146,IF(U19=10,'A.0_Tablas salariales SC'!$P$147,IF(U19=14,'A.0_Tablas salariales SC'!$P$148,IF(U19=18,'A.0_Tablas salariales SC'!$P$149,IF(U19=20,'A.0_Tablas salariales SC'!$P$150,IF(U19=22,'A.0_Tablas salariales SC'!$P$151,IF(U19=24,'A.0_Tablas salariales SC'!$P$152,IF(U19=26,'A.0_Tablas salariales SC'!$P$153,IF(U19=28,'A.0_Tablas salariales SC'!$P$154,0)))))))))))</f>
        <v>543.53100000000006</v>
      </c>
      <c r="AC19" s="175">
        <f>IF(V19=2,'A.0_Tablas salariales SC'!$P$173,(IF(V19=6,'A.0_Tablas salariales SC'!$P$174,IF(V19=10,'A.0_Tablas salariales SC'!$P$175,IF(V19=14,'A.0_Tablas salariales SC'!$P$176,IF(V19=18,'A.0_Tablas salariales SC'!$P$177,IF(V19=20,'A.0_Tablas salariales SC'!$P$178,IF(V19=22,'A.0_Tablas salariales SC'!$P$179,IF(V19=24,'A.0_Tablas salariales SC'!$P$180,IF(V19=26,'A.0_Tablas salariales SC'!$P$181,IF(V19=28,'A.0_Tablas salariales SC'!$P$182,0)))))))))))</f>
        <v>559.83693000000005</v>
      </c>
    </row>
    <row r="20" spans="1:29">
      <c r="A20" s="508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2">
        <f t="shared" si="39"/>
        <v>1900</v>
      </c>
      <c r="G20" s="173">
        <f t="shared" si="40"/>
        <v>2026</v>
      </c>
      <c r="H20" s="173">
        <f t="shared" si="40"/>
        <v>2032</v>
      </c>
      <c r="I20" s="173">
        <f t="shared" si="41"/>
        <v>126</v>
      </c>
      <c r="J20" s="173">
        <f t="shared" si="42"/>
        <v>127</v>
      </c>
      <c r="K20" s="173">
        <f t="shared" si="43"/>
        <v>128</v>
      </c>
      <c r="L20" s="173">
        <f t="shared" si="44"/>
        <v>129</v>
      </c>
      <c r="M20" s="173">
        <f t="shared" si="45"/>
        <v>130</v>
      </c>
      <c r="N20" s="173">
        <f t="shared" si="46"/>
        <v>131</v>
      </c>
      <c r="O20" s="173">
        <f t="shared" si="47"/>
        <v>132</v>
      </c>
      <c r="P20" s="173">
        <f t="shared" si="48"/>
        <v>28</v>
      </c>
      <c r="Q20" s="173">
        <f t="shared" si="49"/>
        <v>28</v>
      </c>
      <c r="R20" s="173">
        <f t="shared" si="50"/>
        <v>28</v>
      </c>
      <c r="S20" s="173">
        <f t="shared" si="51"/>
        <v>28</v>
      </c>
      <c r="T20" s="173">
        <f t="shared" si="52"/>
        <v>28</v>
      </c>
      <c r="U20" s="173">
        <f t="shared" si="53"/>
        <v>28</v>
      </c>
      <c r="V20" s="173">
        <f t="shared" si="54"/>
        <v>28</v>
      </c>
      <c r="W20" s="175">
        <f>IF(P20=2,'A.0_Tablas salariales SC'!$P$9,(IF(P20=6,'A.0_Tablas salariales SC'!$P$10,IF(P20=10,'A.0_Tablas salariales SC'!$P$11,IF(P20=14,'A.0_Tablas salariales SC'!$P$12,IF(P20=18,'A.0_Tablas salariales SC'!$P$13,IF(P20=20,'A.0_Tablas salariales SC'!$P$14,IF(P20=22,'A.0_Tablas salariales SC'!$P$15,IF(P20=24,'A.0_Tablas salariales SC'!$P$16,IF(P20=26,'A.0_Tablas salariales SC'!$P$17,IF(P20=28,'A.0_Tablas salariales SC'!$P$18,0)))))))))))</f>
        <v>446.8</v>
      </c>
      <c r="X20" s="175">
        <f>IF(Q20=2,'A.0_Tablas salariales SC'!$P$36,(IF(Q20=6,'A.0_Tablas salariales SC'!$P$37,IF(Q20=10,'A.0_Tablas salariales SC'!$P$38,IF(Q20=14,'A.0_Tablas salariales SC'!$P$39,IF(Q20=18,'A.0_Tablas salariales SC'!$P$40,IF(Q20=20,'A.0_Tablas salariales SC'!$P$41,IF(Q20=22,'A.0_Tablas salariales SC'!$P$42,IF(Q20=24,'A.0_Tablas salariales SC'!$P$43,IF(Q20=26,'A.0_Tablas salariales SC'!$P$44,IF(Q20=28,'A.0_Tablas salariales SC'!$P$45,0)))))))))))</f>
        <v>462.44</v>
      </c>
      <c r="Y20" s="175">
        <f>IF(R20=2,'A.0_Tablas salariales SC'!$P$63,(IF(R20=6,'A.0_Tablas salariales SC'!$P$64,IF(R20=10,'A.0_Tablas salariales SC'!$P$65,IF(R20=14,'A.0_Tablas salariales SC'!$P$66,IF(R20=18,'A.0_Tablas salariales SC'!$P$67,IF(R20=20,'A.0_Tablas salariales SC'!$P$68,IF(R20=22,'A.0_Tablas salariales SC'!$P$69,IF(R20=24,'A.0_Tablas salariales SC'!$P$70,IF(R20=26,'A.0_Tablas salariales SC'!$P$71,IF(R20=28,'A.0_Tablas salariales SC'!$P$72,0)))))))))))</f>
        <v>480.93</v>
      </c>
      <c r="Z20" s="175">
        <f>IF(S20=2,'A.0_Tablas salariales SC'!$P$90,(IF(S20=6,'A.0_Tablas salariales SC'!$P$91,IF(S20=10,'A.0_Tablas salariales SC'!$P$92,IF(S20=14,'A.0_Tablas salariales SC'!$P$93,IF(S20=18,'A.0_Tablas salariales SC'!$P$94,IF(S20=20,'A.0_Tablas salariales SC'!$P$95,IF(S20=22,'A.0_Tablas salariales SC'!$P$96,IF(S20=24,'A.0_Tablas salariales SC'!$P$97,IF(S20=26,'A.0_Tablas salariales SC'!$P$98,IF(S20=28,'A.0_Tablas salariales SC'!$P$99,0)))))))))))</f>
        <v>502.58</v>
      </c>
      <c r="AA20" s="175">
        <f>IF(T20=2,'A.0_Tablas salariales SC'!$P$117,(IF(T20=6,'A.0_Tablas salariales SC'!$P$118,IF(T20=10,'A.0_Tablas salariales SC'!$P$119,IF(T20=14,'A.0_Tablas salariales SC'!$P$120,IF(T20=18,'A.0_Tablas salariales SC'!$P$121,IF(T20=20,'A.0_Tablas salariales SC'!$P$122,IF(T20=22,'A.0_Tablas salariales SC'!$P$123,IF(T20=24,'A.0_Tablas salariales SC'!$P$124,IF(T20=26,'A.0_Tablas salariales SC'!$P$125,IF(T20=28,'A.0_Tablas salariales SC'!$P$126,0)))))))))))</f>
        <v>527.70000000000005</v>
      </c>
      <c r="AB20" s="175">
        <f>IF(U20=2,'A.0_Tablas salariales SC'!$P$145,(IF(U20=6,'A.0_Tablas salariales SC'!$P$146,IF(U20=10,'A.0_Tablas salariales SC'!$P$147,IF(U20=14,'A.0_Tablas salariales SC'!$P$148,IF(U20=18,'A.0_Tablas salariales SC'!$P$149,IF(U20=20,'A.0_Tablas salariales SC'!$P$150,IF(U20=22,'A.0_Tablas salariales SC'!$P$151,IF(U20=24,'A.0_Tablas salariales SC'!$P$152,IF(U20=26,'A.0_Tablas salariales SC'!$P$153,IF(U20=28,'A.0_Tablas salariales SC'!$P$154,0)))))))))))</f>
        <v>543.53100000000006</v>
      </c>
      <c r="AC20" s="175">
        <f>IF(V20=2,'A.0_Tablas salariales SC'!$P$173,(IF(V20=6,'A.0_Tablas salariales SC'!$P$174,IF(V20=10,'A.0_Tablas salariales SC'!$P$175,IF(V20=14,'A.0_Tablas salariales SC'!$P$176,IF(V20=18,'A.0_Tablas salariales SC'!$P$177,IF(V20=20,'A.0_Tablas salariales SC'!$P$178,IF(V20=22,'A.0_Tablas salariales SC'!$P$179,IF(V20=24,'A.0_Tablas salariales SC'!$P$180,IF(V20=26,'A.0_Tablas salariales SC'!$P$181,IF(V20=28,'A.0_Tablas salariales SC'!$P$182,0)))))))))))</f>
        <v>559.83693000000005</v>
      </c>
    </row>
    <row r="21" spans="1:29">
      <c r="A21" s="508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2">
        <f t="shared" si="39"/>
        <v>1900</v>
      </c>
      <c r="G21" s="173">
        <f t="shared" si="40"/>
        <v>2026</v>
      </c>
      <c r="H21" s="173">
        <f t="shared" si="40"/>
        <v>2032</v>
      </c>
      <c r="I21" s="173">
        <f t="shared" si="41"/>
        <v>126</v>
      </c>
      <c r="J21" s="173">
        <f t="shared" si="42"/>
        <v>127</v>
      </c>
      <c r="K21" s="173">
        <f t="shared" si="43"/>
        <v>128</v>
      </c>
      <c r="L21" s="173">
        <f t="shared" si="44"/>
        <v>129</v>
      </c>
      <c r="M21" s="173">
        <f t="shared" si="45"/>
        <v>130</v>
      </c>
      <c r="N21" s="173">
        <f t="shared" si="46"/>
        <v>131</v>
      </c>
      <c r="O21" s="173">
        <f t="shared" si="47"/>
        <v>132</v>
      </c>
      <c r="P21" s="173">
        <f t="shared" si="48"/>
        <v>28</v>
      </c>
      <c r="Q21" s="173">
        <f t="shared" si="49"/>
        <v>28</v>
      </c>
      <c r="R21" s="173">
        <f t="shared" si="50"/>
        <v>28</v>
      </c>
      <c r="S21" s="173">
        <f t="shared" si="51"/>
        <v>28</v>
      </c>
      <c r="T21" s="173">
        <f t="shared" si="52"/>
        <v>28</v>
      </c>
      <c r="U21" s="173">
        <f t="shared" si="53"/>
        <v>28</v>
      </c>
      <c r="V21" s="173">
        <f t="shared" si="54"/>
        <v>28</v>
      </c>
      <c r="W21" s="175">
        <f>IF(P21=2,'A.0_Tablas salariales SC'!$P$9,(IF(P21=6,'A.0_Tablas salariales SC'!$P$10,IF(P21=10,'A.0_Tablas salariales SC'!$P$11,IF(P21=14,'A.0_Tablas salariales SC'!$P$12,IF(P21=18,'A.0_Tablas salariales SC'!$P$13,IF(P21=20,'A.0_Tablas salariales SC'!$P$14,IF(P21=22,'A.0_Tablas salariales SC'!$P$15,IF(P21=24,'A.0_Tablas salariales SC'!$P$16,IF(P21=26,'A.0_Tablas salariales SC'!$P$17,IF(P21=28,'A.0_Tablas salariales SC'!$P$18,0)))))))))))</f>
        <v>446.8</v>
      </c>
      <c r="X21" s="175">
        <f>IF(Q21=2,'A.0_Tablas salariales SC'!$P$36,(IF(Q21=6,'A.0_Tablas salariales SC'!$P$37,IF(Q21=10,'A.0_Tablas salariales SC'!$P$38,IF(Q21=14,'A.0_Tablas salariales SC'!$P$39,IF(Q21=18,'A.0_Tablas salariales SC'!$P$40,IF(Q21=20,'A.0_Tablas salariales SC'!$P$41,IF(Q21=22,'A.0_Tablas salariales SC'!$P$42,IF(Q21=24,'A.0_Tablas salariales SC'!$P$43,IF(Q21=26,'A.0_Tablas salariales SC'!$P$44,IF(Q21=28,'A.0_Tablas salariales SC'!$P$45,0)))))))))))</f>
        <v>462.44</v>
      </c>
      <c r="Y21" s="175">
        <f>IF(R21=2,'A.0_Tablas salariales SC'!$P$63,(IF(R21=6,'A.0_Tablas salariales SC'!$P$64,IF(R21=10,'A.0_Tablas salariales SC'!$P$65,IF(R21=14,'A.0_Tablas salariales SC'!$P$66,IF(R21=18,'A.0_Tablas salariales SC'!$P$67,IF(R21=20,'A.0_Tablas salariales SC'!$P$68,IF(R21=22,'A.0_Tablas salariales SC'!$P$69,IF(R21=24,'A.0_Tablas salariales SC'!$P$70,IF(R21=26,'A.0_Tablas salariales SC'!$P$71,IF(R21=28,'A.0_Tablas salariales SC'!$P$72,0)))))))))))</f>
        <v>480.93</v>
      </c>
      <c r="Z21" s="175">
        <f>IF(S21=2,'A.0_Tablas salariales SC'!$P$90,(IF(S21=6,'A.0_Tablas salariales SC'!$P$91,IF(S21=10,'A.0_Tablas salariales SC'!$P$92,IF(S21=14,'A.0_Tablas salariales SC'!$P$93,IF(S21=18,'A.0_Tablas salariales SC'!$P$94,IF(S21=20,'A.0_Tablas salariales SC'!$P$95,IF(S21=22,'A.0_Tablas salariales SC'!$P$96,IF(S21=24,'A.0_Tablas salariales SC'!$P$97,IF(S21=26,'A.0_Tablas salariales SC'!$P$98,IF(S21=28,'A.0_Tablas salariales SC'!$P$99,0)))))))))))</f>
        <v>502.58</v>
      </c>
      <c r="AA21" s="175">
        <f>IF(T21=2,'A.0_Tablas salariales SC'!$P$117,(IF(T21=6,'A.0_Tablas salariales SC'!$P$118,IF(T21=10,'A.0_Tablas salariales SC'!$P$119,IF(T21=14,'A.0_Tablas salariales SC'!$P$120,IF(T21=18,'A.0_Tablas salariales SC'!$P$121,IF(T21=20,'A.0_Tablas salariales SC'!$P$122,IF(T21=22,'A.0_Tablas salariales SC'!$P$123,IF(T21=24,'A.0_Tablas salariales SC'!$P$124,IF(T21=26,'A.0_Tablas salariales SC'!$P$125,IF(T21=28,'A.0_Tablas salariales SC'!$P$126,0)))))))))))</f>
        <v>527.70000000000005</v>
      </c>
      <c r="AB21" s="175">
        <f>IF(U21=2,'A.0_Tablas salariales SC'!$P$145,(IF(U21=6,'A.0_Tablas salariales SC'!$P$146,IF(U21=10,'A.0_Tablas salariales SC'!$P$147,IF(U21=14,'A.0_Tablas salariales SC'!$P$148,IF(U21=18,'A.0_Tablas salariales SC'!$P$149,IF(U21=20,'A.0_Tablas salariales SC'!$P$150,IF(U21=22,'A.0_Tablas salariales SC'!$P$151,IF(U21=24,'A.0_Tablas salariales SC'!$P$152,IF(U21=26,'A.0_Tablas salariales SC'!$P$153,IF(U21=28,'A.0_Tablas salariales SC'!$P$154,0)))))))))))</f>
        <v>543.53100000000006</v>
      </c>
      <c r="AC21" s="175">
        <f>IF(V21=2,'A.0_Tablas salariales SC'!$P$173,(IF(V21=6,'A.0_Tablas salariales SC'!$P$174,IF(V21=10,'A.0_Tablas salariales SC'!$P$175,IF(V21=14,'A.0_Tablas salariales SC'!$P$176,IF(V21=18,'A.0_Tablas salariales SC'!$P$177,IF(V21=20,'A.0_Tablas salariales SC'!$P$178,IF(V21=22,'A.0_Tablas salariales SC'!$P$179,IF(V21=24,'A.0_Tablas salariales SC'!$P$180,IF(V21=26,'A.0_Tablas salariales SC'!$P$181,IF(V21=28,'A.0_Tablas salariales SC'!$P$182,0)))))))))))</f>
        <v>559.83693000000005</v>
      </c>
    </row>
    <row r="22" spans="1:29">
      <c r="A22" s="508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2">
        <f t="shared" si="39"/>
        <v>1900</v>
      </c>
      <c r="G22" s="173">
        <f t="shared" si="40"/>
        <v>2026</v>
      </c>
      <c r="H22" s="173">
        <f t="shared" si="40"/>
        <v>2032</v>
      </c>
      <c r="I22" s="173">
        <f t="shared" si="41"/>
        <v>126</v>
      </c>
      <c r="J22" s="173">
        <f t="shared" si="42"/>
        <v>127</v>
      </c>
      <c r="K22" s="173">
        <f t="shared" si="43"/>
        <v>128</v>
      </c>
      <c r="L22" s="173">
        <f t="shared" si="44"/>
        <v>129</v>
      </c>
      <c r="M22" s="173">
        <f t="shared" si="45"/>
        <v>130</v>
      </c>
      <c r="N22" s="173">
        <f t="shared" si="46"/>
        <v>131</v>
      </c>
      <c r="O22" s="173">
        <f t="shared" si="47"/>
        <v>132</v>
      </c>
      <c r="P22" s="173">
        <f t="shared" si="48"/>
        <v>28</v>
      </c>
      <c r="Q22" s="173">
        <f t="shared" si="49"/>
        <v>28</v>
      </c>
      <c r="R22" s="173">
        <f t="shared" si="50"/>
        <v>28</v>
      </c>
      <c r="S22" s="173">
        <f t="shared" si="51"/>
        <v>28</v>
      </c>
      <c r="T22" s="173">
        <f t="shared" si="52"/>
        <v>28</v>
      </c>
      <c r="U22" s="173">
        <f t="shared" si="53"/>
        <v>28</v>
      </c>
      <c r="V22" s="173">
        <f t="shared" si="54"/>
        <v>28</v>
      </c>
      <c r="W22" s="175">
        <f>IF(P22=2,'A.0_Tablas salariales SC'!$P$9,(IF(P22=6,'A.0_Tablas salariales SC'!$P$10,IF(P22=10,'A.0_Tablas salariales SC'!$P$11,IF(P22=14,'A.0_Tablas salariales SC'!$P$12,IF(P22=18,'A.0_Tablas salariales SC'!$P$13,IF(P22=20,'A.0_Tablas salariales SC'!$P$14,IF(P22=22,'A.0_Tablas salariales SC'!$P$15,IF(P22=24,'A.0_Tablas salariales SC'!$P$16,IF(P22=26,'A.0_Tablas salariales SC'!$P$17,IF(P22=28,'A.0_Tablas salariales SC'!$P$18,0)))))))))))</f>
        <v>446.8</v>
      </c>
      <c r="X22" s="175">
        <f>IF(Q22=2,'A.0_Tablas salariales SC'!$P$36,(IF(Q22=6,'A.0_Tablas salariales SC'!$P$37,IF(Q22=10,'A.0_Tablas salariales SC'!$P$38,IF(Q22=14,'A.0_Tablas salariales SC'!$P$39,IF(Q22=18,'A.0_Tablas salariales SC'!$P$40,IF(Q22=20,'A.0_Tablas salariales SC'!$P$41,IF(Q22=22,'A.0_Tablas salariales SC'!$P$42,IF(Q22=24,'A.0_Tablas salariales SC'!$P$43,IF(Q22=26,'A.0_Tablas salariales SC'!$P$44,IF(Q22=28,'A.0_Tablas salariales SC'!$P$45,0)))))))))))</f>
        <v>462.44</v>
      </c>
      <c r="Y22" s="175">
        <f>IF(R22=2,'A.0_Tablas salariales SC'!$P$63,(IF(R22=6,'A.0_Tablas salariales SC'!$P$64,IF(R22=10,'A.0_Tablas salariales SC'!$P$65,IF(R22=14,'A.0_Tablas salariales SC'!$P$66,IF(R22=18,'A.0_Tablas salariales SC'!$P$67,IF(R22=20,'A.0_Tablas salariales SC'!$P$68,IF(R22=22,'A.0_Tablas salariales SC'!$P$69,IF(R22=24,'A.0_Tablas salariales SC'!$P$70,IF(R22=26,'A.0_Tablas salariales SC'!$P$71,IF(R22=28,'A.0_Tablas salariales SC'!$P$72,0)))))))))))</f>
        <v>480.93</v>
      </c>
      <c r="Z22" s="175">
        <f>IF(S22=2,'A.0_Tablas salariales SC'!$P$90,(IF(S22=6,'A.0_Tablas salariales SC'!$P$91,IF(S22=10,'A.0_Tablas salariales SC'!$P$92,IF(S22=14,'A.0_Tablas salariales SC'!$P$93,IF(S22=18,'A.0_Tablas salariales SC'!$P$94,IF(S22=20,'A.0_Tablas salariales SC'!$P$95,IF(S22=22,'A.0_Tablas salariales SC'!$P$96,IF(S22=24,'A.0_Tablas salariales SC'!$P$97,IF(S22=26,'A.0_Tablas salariales SC'!$P$98,IF(S22=28,'A.0_Tablas salariales SC'!$P$99,0)))))))))))</f>
        <v>502.58</v>
      </c>
      <c r="AA22" s="175">
        <f>IF(T22=2,'A.0_Tablas salariales SC'!$P$117,(IF(T22=6,'A.0_Tablas salariales SC'!$P$118,IF(T22=10,'A.0_Tablas salariales SC'!$P$119,IF(T22=14,'A.0_Tablas salariales SC'!$P$120,IF(T22=18,'A.0_Tablas salariales SC'!$P$121,IF(T22=20,'A.0_Tablas salariales SC'!$P$122,IF(T22=22,'A.0_Tablas salariales SC'!$P$123,IF(T22=24,'A.0_Tablas salariales SC'!$P$124,IF(T22=26,'A.0_Tablas salariales SC'!$P$125,IF(T22=28,'A.0_Tablas salariales SC'!$P$126,0)))))))))))</f>
        <v>527.70000000000005</v>
      </c>
      <c r="AB22" s="175">
        <f>IF(U22=2,'A.0_Tablas salariales SC'!$P$145,(IF(U22=6,'A.0_Tablas salariales SC'!$P$146,IF(U22=10,'A.0_Tablas salariales SC'!$P$147,IF(U22=14,'A.0_Tablas salariales SC'!$P$148,IF(U22=18,'A.0_Tablas salariales SC'!$P$149,IF(U22=20,'A.0_Tablas salariales SC'!$P$150,IF(U22=22,'A.0_Tablas salariales SC'!$P$151,IF(U22=24,'A.0_Tablas salariales SC'!$P$152,IF(U22=26,'A.0_Tablas salariales SC'!$P$153,IF(U22=28,'A.0_Tablas salariales SC'!$P$154,0)))))))))))</f>
        <v>543.53100000000006</v>
      </c>
      <c r="AC22" s="175">
        <f>IF(V22=2,'A.0_Tablas salariales SC'!$P$173,(IF(V22=6,'A.0_Tablas salariales SC'!$P$174,IF(V22=10,'A.0_Tablas salariales SC'!$P$175,IF(V22=14,'A.0_Tablas salariales SC'!$P$176,IF(V22=18,'A.0_Tablas salariales SC'!$P$177,IF(V22=20,'A.0_Tablas salariales SC'!$P$178,IF(V22=22,'A.0_Tablas salariales SC'!$P$179,IF(V22=24,'A.0_Tablas salariales SC'!$P$180,IF(V22=26,'A.0_Tablas salariales SC'!$P$181,IF(V22=28,'A.0_Tablas salariales SC'!$P$182,0)))))))))))</f>
        <v>559.83693000000005</v>
      </c>
    </row>
    <row r="23" spans="1:29">
      <c r="A23" s="508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2">
        <f t="shared" si="39"/>
        <v>1900</v>
      </c>
      <c r="G23" s="173">
        <f t="shared" si="40"/>
        <v>2026</v>
      </c>
      <c r="H23" s="173">
        <f t="shared" si="40"/>
        <v>2032</v>
      </c>
      <c r="I23" s="173">
        <f t="shared" si="41"/>
        <v>126</v>
      </c>
      <c r="J23" s="173">
        <f t="shared" si="42"/>
        <v>127</v>
      </c>
      <c r="K23" s="173">
        <f t="shared" si="43"/>
        <v>128</v>
      </c>
      <c r="L23" s="173">
        <f t="shared" si="44"/>
        <v>129</v>
      </c>
      <c r="M23" s="173">
        <f t="shared" si="45"/>
        <v>130</v>
      </c>
      <c r="N23" s="173">
        <f t="shared" si="46"/>
        <v>131</v>
      </c>
      <c r="O23" s="173">
        <f t="shared" si="47"/>
        <v>132</v>
      </c>
      <c r="P23" s="173">
        <f t="shared" si="48"/>
        <v>28</v>
      </c>
      <c r="Q23" s="173">
        <f t="shared" si="49"/>
        <v>28</v>
      </c>
      <c r="R23" s="173">
        <f t="shared" si="50"/>
        <v>28</v>
      </c>
      <c r="S23" s="173">
        <f t="shared" si="51"/>
        <v>28</v>
      </c>
      <c r="T23" s="173">
        <f t="shared" si="52"/>
        <v>28</v>
      </c>
      <c r="U23" s="173">
        <f t="shared" si="53"/>
        <v>28</v>
      </c>
      <c r="V23" s="173">
        <f t="shared" si="54"/>
        <v>28</v>
      </c>
      <c r="W23" s="175">
        <f>IF(P23=2,'A.0_Tablas salariales SC'!$P$9,(IF(P23=6,'A.0_Tablas salariales SC'!$P$10,IF(P23=10,'A.0_Tablas salariales SC'!$P$11,IF(P23=14,'A.0_Tablas salariales SC'!$P$12,IF(P23=18,'A.0_Tablas salariales SC'!$P$13,IF(P23=20,'A.0_Tablas salariales SC'!$P$14,IF(P23=22,'A.0_Tablas salariales SC'!$P$15,IF(P23=24,'A.0_Tablas salariales SC'!$P$16,IF(P23=26,'A.0_Tablas salariales SC'!$P$17,IF(P23=28,'A.0_Tablas salariales SC'!$P$18,0)))))))))))</f>
        <v>446.8</v>
      </c>
      <c r="X23" s="175">
        <f>IF(Q23=2,'A.0_Tablas salariales SC'!$P$36,(IF(Q23=6,'A.0_Tablas salariales SC'!$P$37,IF(Q23=10,'A.0_Tablas salariales SC'!$P$38,IF(Q23=14,'A.0_Tablas salariales SC'!$P$39,IF(Q23=18,'A.0_Tablas salariales SC'!$P$40,IF(Q23=20,'A.0_Tablas salariales SC'!$P$41,IF(Q23=22,'A.0_Tablas salariales SC'!$P$42,IF(Q23=24,'A.0_Tablas salariales SC'!$P$43,IF(Q23=26,'A.0_Tablas salariales SC'!$P$44,IF(Q23=28,'A.0_Tablas salariales SC'!$P$45,0)))))))))))</f>
        <v>462.44</v>
      </c>
      <c r="Y23" s="175">
        <f>IF(R23=2,'A.0_Tablas salariales SC'!$P$63,(IF(R23=6,'A.0_Tablas salariales SC'!$P$64,IF(R23=10,'A.0_Tablas salariales SC'!$P$65,IF(R23=14,'A.0_Tablas salariales SC'!$P$66,IF(R23=18,'A.0_Tablas salariales SC'!$P$67,IF(R23=20,'A.0_Tablas salariales SC'!$P$68,IF(R23=22,'A.0_Tablas salariales SC'!$P$69,IF(R23=24,'A.0_Tablas salariales SC'!$P$70,IF(R23=26,'A.0_Tablas salariales SC'!$P$71,IF(R23=28,'A.0_Tablas salariales SC'!$P$72,0)))))))))))</f>
        <v>480.93</v>
      </c>
      <c r="Z23" s="175">
        <f>IF(S23=2,'A.0_Tablas salariales SC'!$P$90,(IF(S23=6,'A.0_Tablas salariales SC'!$P$91,IF(S23=10,'A.0_Tablas salariales SC'!$P$92,IF(S23=14,'A.0_Tablas salariales SC'!$P$93,IF(S23=18,'A.0_Tablas salariales SC'!$P$94,IF(S23=20,'A.0_Tablas salariales SC'!$P$95,IF(S23=22,'A.0_Tablas salariales SC'!$P$96,IF(S23=24,'A.0_Tablas salariales SC'!$P$97,IF(S23=26,'A.0_Tablas salariales SC'!$P$98,IF(S23=28,'A.0_Tablas salariales SC'!$P$99,0)))))))))))</f>
        <v>502.58</v>
      </c>
      <c r="AA23" s="175">
        <f>IF(T23=2,'A.0_Tablas salariales SC'!$P$117,(IF(T23=6,'A.0_Tablas salariales SC'!$P$118,IF(T23=10,'A.0_Tablas salariales SC'!$P$119,IF(T23=14,'A.0_Tablas salariales SC'!$P$120,IF(T23=18,'A.0_Tablas salariales SC'!$P$121,IF(T23=20,'A.0_Tablas salariales SC'!$P$122,IF(T23=22,'A.0_Tablas salariales SC'!$P$123,IF(T23=24,'A.0_Tablas salariales SC'!$P$124,IF(T23=26,'A.0_Tablas salariales SC'!$P$125,IF(T23=28,'A.0_Tablas salariales SC'!$P$126,0)))))))))))</f>
        <v>527.70000000000005</v>
      </c>
      <c r="AB23" s="175">
        <f>IF(U23=2,'A.0_Tablas salariales SC'!$P$145,(IF(U23=6,'A.0_Tablas salariales SC'!$P$146,IF(U23=10,'A.0_Tablas salariales SC'!$P$147,IF(U23=14,'A.0_Tablas salariales SC'!$P$148,IF(U23=18,'A.0_Tablas salariales SC'!$P$149,IF(U23=20,'A.0_Tablas salariales SC'!$P$150,IF(U23=22,'A.0_Tablas salariales SC'!$P$151,IF(U23=24,'A.0_Tablas salariales SC'!$P$152,IF(U23=26,'A.0_Tablas salariales SC'!$P$153,IF(U23=28,'A.0_Tablas salariales SC'!$P$154,0)))))))))))</f>
        <v>543.53100000000006</v>
      </c>
      <c r="AC23" s="175">
        <f>IF(V23=2,'A.0_Tablas salariales SC'!$P$173,(IF(V23=6,'A.0_Tablas salariales SC'!$P$174,IF(V23=10,'A.0_Tablas salariales SC'!$P$175,IF(V23=14,'A.0_Tablas salariales SC'!$P$176,IF(V23=18,'A.0_Tablas salariales SC'!$P$177,IF(V23=20,'A.0_Tablas salariales SC'!$P$178,IF(V23=22,'A.0_Tablas salariales SC'!$P$179,IF(V23=24,'A.0_Tablas salariales SC'!$P$180,IF(V23=26,'A.0_Tablas salariales SC'!$P$181,IF(V23=28,'A.0_Tablas salariales SC'!$P$182,0)))))))))))</f>
        <v>559.83693000000005</v>
      </c>
    </row>
    <row r="24" spans="1:29">
      <c r="A24" s="508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2">
        <f t="shared" si="39"/>
        <v>1900</v>
      </c>
      <c r="G24" s="173">
        <f t="shared" si="40"/>
        <v>2026</v>
      </c>
      <c r="H24" s="173">
        <f t="shared" si="40"/>
        <v>2032</v>
      </c>
      <c r="I24" s="173">
        <f t="shared" si="41"/>
        <v>126</v>
      </c>
      <c r="J24" s="173">
        <f t="shared" si="42"/>
        <v>127</v>
      </c>
      <c r="K24" s="173">
        <f t="shared" si="43"/>
        <v>128</v>
      </c>
      <c r="L24" s="173">
        <f t="shared" si="44"/>
        <v>129</v>
      </c>
      <c r="M24" s="173">
        <f t="shared" si="45"/>
        <v>130</v>
      </c>
      <c r="N24" s="173">
        <f t="shared" si="46"/>
        <v>131</v>
      </c>
      <c r="O24" s="173">
        <f t="shared" si="47"/>
        <v>132</v>
      </c>
      <c r="P24" s="173">
        <f t="shared" si="48"/>
        <v>28</v>
      </c>
      <c r="Q24" s="173">
        <f t="shared" si="49"/>
        <v>28</v>
      </c>
      <c r="R24" s="173">
        <f t="shared" si="50"/>
        <v>28</v>
      </c>
      <c r="S24" s="173">
        <f t="shared" si="51"/>
        <v>28</v>
      </c>
      <c r="T24" s="173">
        <f t="shared" si="52"/>
        <v>28</v>
      </c>
      <c r="U24" s="173">
        <f t="shared" si="53"/>
        <v>28</v>
      </c>
      <c r="V24" s="173">
        <f t="shared" si="54"/>
        <v>28</v>
      </c>
      <c r="W24" s="175">
        <f>IF(P24=2,'A.0_Tablas salariales SC'!$P$9,(IF(P24=6,'A.0_Tablas salariales SC'!$P$10,IF(P24=10,'A.0_Tablas salariales SC'!$P$11,IF(P24=14,'A.0_Tablas salariales SC'!$P$12,IF(P24=18,'A.0_Tablas salariales SC'!$P$13,IF(P24=20,'A.0_Tablas salariales SC'!$P$14,IF(P24=22,'A.0_Tablas salariales SC'!$P$15,IF(P24=24,'A.0_Tablas salariales SC'!$P$16,IF(P24=26,'A.0_Tablas salariales SC'!$P$17,IF(P24=28,'A.0_Tablas salariales SC'!$P$18,0)))))))))))</f>
        <v>446.8</v>
      </c>
      <c r="X24" s="175">
        <f>IF(Q24=2,'A.0_Tablas salariales SC'!$P$36,(IF(Q24=6,'A.0_Tablas salariales SC'!$P$37,IF(Q24=10,'A.0_Tablas salariales SC'!$P$38,IF(Q24=14,'A.0_Tablas salariales SC'!$P$39,IF(Q24=18,'A.0_Tablas salariales SC'!$P$40,IF(Q24=20,'A.0_Tablas salariales SC'!$P$41,IF(Q24=22,'A.0_Tablas salariales SC'!$P$42,IF(Q24=24,'A.0_Tablas salariales SC'!$P$43,IF(Q24=26,'A.0_Tablas salariales SC'!$P$44,IF(Q24=28,'A.0_Tablas salariales SC'!$P$45,0)))))))))))</f>
        <v>462.44</v>
      </c>
      <c r="Y24" s="175">
        <f>IF(R24=2,'A.0_Tablas salariales SC'!$P$63,(IF(R24=6,'A.0_Tablas salariales SC'!$P$64,IF(R24=10,'A.0_Tablas salariales SC'!$P$65,IF(R24=14,'A.0_Tablas salariales SC'!$P$66,IF(R24=18,'A.0_Tablas salariales SC'!$P$67,IF(R24=20,'A.0_Tablas salariales SC'!$P$68,IF(R24=22,'A.0_Tablas salariales SC'!$P$69,IF(R24=24,'A.0_Tablas salariales SC'!$P$70,IF(R24=26,'A.0_Tablas salariales SC'!$P$71,IF(R24=28,'A.0_Tablas salariales SC'!$P$72,0)))))))))))</f>
        <v>480.93</v>
      </c>
      <c r="Z24" s="175">
        <f>IF(S24=2,'A.0_Tablas salariales SC'!$P$90,(IF(S24=6,'A.0_Tablas salariales SC'!$P$91,IF(S24=10,'A.0_Tablas salariales SC'!$P$92,IF(S24=14,'A.0_Tablas salariales SC'!$P$93,IF(S24=18,'A.0_Tablas salariales SC'!$P$94,IF(S24=20,'A.0_Tablas salariales SC'!$P$95,IF(S24=22,'A.0_Tablas salariales SC'!$P$96,IF(S24=24,'A.0_Tablas salariales SC'!$P$97,IF(S24=26,'A.0_Tablas salariales SC'!$P$98,IF(S24=28,'A.0_Tablas salariales SC'!$P$99,0)))))))))))</f>
        <v>502.58</v>
      </c>
      <c r="AA24" s="175">
        <f>IF(T24=2,'A.0_Tablas salariales SC'!$P$117,(IF(T24=6,'A.0_Tablas salariales SC'!$P$118,IF(T24=10,'A.0_Tablas salariales SC'!$P$119,IF(T24=14,'A.0_Tablas salariales SC'!$P$120,IF(T24=18,'A.0_Tablas salariales SC'!$P$121,IF(T24=20,'A.0_Tablas salariales SC'!$P$122,IF(T24=22,'A.0_Tablas salariales SC'!$P$123,IF(T24=24,'A.0_Tablas salariales SC'!$P$124,IF(T24=26,'A.0_Tablas salariales SC'!$P$125,IF(T24=28,'A.0_Tablas salariales SC'!$P$126,0)))))))))))</f>
        <v>527.70000000000005</v>
      </c>
      <c r="AB24" s="175">
        <f>IF(U24=2,'A.0_Tablas salariales SC'!$P$145,(IF(U24=6,'A.0_Tablas salariales SC'!$P$146,IF(U24=10,'A.0_Tablas salariales SC'!$P$147,IF(U24=14,'A.0_Tablas salariales SC'!$P$148,IF(U24=18,'A.0_Tablas salariales SC'!$P$149,IF(U24=20,'A.0_Tablas salariales SC'!$P$150,IF(U24=22,'A.0_Tablas salariales SC'!$P$151,IF(U24=24,'A.0_Tablas salariales SC'!$P$152,IF(U24=26,'A.0_Tablas salariales SC'!$P$153,IF(U24=28,'A.0_Tablas salariales SC'!$P$154,0)))))))))))</f>
        <v>543.53100000000006</v>
      </c>
      <c r="AC24" s="175">
        <f>IF(V24=2,'A.0_Tablas salariales SC'!$P$173,(IF(V24=6,'A.0_Tablas salariales SC'!$P$174,IF(V24=10,'A.0_Tablas salariales SC'!$P$175,IF(V24=14,'A.0_Tablas salariales SC'!$P$176,IF(V24=18,'A.0_Tablas salariales SC'!$P$177,IF(V24=20,'A.0_Tablas salariales SC'!$P$178,IF(V24=22,'A.0_Tablas salariales SC'!$P$179,IF(V24=24,'A.0_Tablas salariales SC'!$P$180,IF(V24=26,'A.0_Tablas salariales SC'!$P$181,IF(V24=28,'A.0_Tablas salariales SC'!$P$182,0)))))))))))</f>
        <v>559.83693000000005</v>
      </c>
    </row>
    <row r="25" spans="1:29">
      <c r="A25" s="508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2">
        <f t="shared" si="39"/>
        <v>1900</v>
      </c>
      <c r="G25" s="173">
        <f t="shared" si="40"/>
        <v>2026</v>
      </c>
      <c r="H25" s="173">
        <f t="shared" si="40"/>
        <v>2032</v>
      </c>
      <c r="I25" s="173">
        <f t="shared" si="41"/>
        <v>126</v>
      </c>
      <c r="J25" s="173">
        <f t="shared" si="42"/>
        <v>127</v>
      </c>
      <c r="K25" s="173">
        <f t="shared" si="43"/>
        <v>128</v>
      </c>
      <c r="L25" s="173">
        <f t="shared" si="44"/>
        <v>129</v>
      </c>
      <c r="M25" s="173">
        <f t="shared" si="45"/>
        <v>130</v>
      </c>
      <c r="N25" s="173">
        <f t="shared" si="46"/>
        <v>131</v>
      </c>
      <c r="O25" s="173">
        <f t="shared" si="47"/>
        <v>132</v>
      </c>
      <c r="P25" s="173">
        <f t="shared" si="48"/>
        <v>28</v>
      </c>
      <c r="Q25" s="173">
        <f t="shared" si="49"/>
        <v>28</v>
      </c>
      <c r="R25" s="173">
        <f t="shared" si="50"/>
        <v>28</v>
      </c>
      <c r="S25" s="173">
        <f t="shared" si="51"/>
        <v>28</v>
      </c>
      <c r="T25" s="173">
        <f t="shared" si="52"/>
        <v>28</v>
      </c>
      <c r="U25" s="173">
        <f t="shared" si="53"/>
        <v>28</v>
      </c>
      <c r="V25" s="173">
        <f t="shared" si="54"/>
        <v>28</v>
      </c>
      <c r="W25" s="175">
        <f>IF(P25=2,'A.0_Tablas salariales SC'!$P$9,(IF(P25=6,'A.0_Tablas salariales SC'!$P$10,IF(P25=10,'A.0_Tablas salariales SC'!$P$11,IF(P25=14,'A.0_Tablas salariales SC'!$P$12,IF(P25=18,'A.0_Tablas salariales SC'!$P$13,IF(P25=20,'A.0_Tablas salariales SC'!$P$14,IF(P25=22,'A.0_Tablas salariales SC'!$P$15,IF(P25=24,'A.0_Tablas salariales SC'!$P$16,IF(P25=26,'A.0_Tablas salariales SC'!$P$17,IF(P25=28,'A.0_Tablas salariales SC'!$P$18,0)))))))))))</f>
        <v>446.8</v>
      </c>
      <c r="X25" s="175">
        <f>IF(Q25=2,'A.0_Tablas salariales SC'!$P$36,(IF(Q25=6,'A.0_Tablas salariales SC'!$P$37,IF(Q25=10,'A.0_Tablas salariales SC'!$P$38,IF(Q25=14,'A.0_Tablas salariales SC'!$P$39,IF(Q25=18,'A.0_Tablas salariales SC'!$P$40,IF(Q25=20,'A.0_Tablas salariales SC'!$P$41,IF(Q25=22,'A.0_Tablas salariales SC'!$P$42,IF(Q25=24,'A.0_Tablas salariales SC'!$P$43,IF(Q25=26,'A.0_Tablas salariales SC'!$P$44,IF(Q25=28,'A.0_Tablas salariales SC'!$P$45,0)))))))))))</f>
        <v>462.44</v>
      </c>
      <c r="Y25" s="175">
        <f>IF(R25=2,'A.0_Tablas salariales SC'!$P$63,(IF(R25=6,'A.0_Tablas salariales SC'!$P$64,IF(R25=10,'A.0_Tablas salariales SC'!$P$65,IF(R25=14,'A.0_Tablas salariales SC'!$P$66,IF(R25=18,'A.0_Tablas salariales SC'!$P$67,IF(R25=20,'A.0_Tablas salariales SC'!$P$68,IF(R25=22,'A.0_Tablas salariales SC'!$P$69,IF(R25=24,'A.0_Tablas salariales SC'!$P$70,IF(R25=26,'A.0_Tablas salariales SC'!$P$71,IF(R25=28,'A.0_Tablas salariales SC'!$P$72,0)))))))))))</f>
        <v>480.93</v>
      </c>
      <c r="Z25" s="175">
        <f>IF(S25=2,'A.0_Tablas salariales SC'!$P$90,(IF(S25=6,'A.0_Tablas salariales SC'!$P$91,IF(S25=10,'A.0_Tablas salariales SC'!$P$92,IF(S25=14,'A.0_Tablas salariales SC'!$P$93,IF(S25=18,'A.0_Tablas salariales SC'!$P$94,IF(S25=20,'A.0_Tablas salariales SC'!$P$95,IF(S25=22,'A.0_Tablas salariales SC'!$P$96,IF(S25=24,'A.0_Tablas salariales SC'!$P$97,IF(S25=26,'A.0_Tablas salariales SC'!$P$98,IF(S25=28,'A.0_Tablas salariales SC'!$P$99,0)))))))))))</f>
        <v>502.58</v>
      </c>
      <c r="AA25" s="175">
        <f>IF(T25=2,'A.0_Tablas salariales SC'!$P$117,(IF(T25=6,'A.0_Tablas salariales SC'!$P$118,IF(T25=10,'A.0_Tablas salariales SC'!$P$119,IF(T25=14,'A.0_Tablas salariales SC'!$P$120,IF(T25=18,'A.0_Tablas salariales SC'!$P$121,IF(T25=20,'A.0_Tablas salariales SC'!$P$122,IF(T25=22,'A.0_Tablas salariales SC'!$P$123,IF(T25=24,'A.0_Tablas salariales SC'!$P$124,IF(T25=26,'A.0_Tablas salariales SC'!$P$125,IF(T25=28,'A.0_Tablas salariales SC'!$P$126,0)))))))))))</f>
        <v>527.70000000000005</v>
      </c>
      <c r="AB25" s="175">
        <f>IF(U25=2,'A.0_Tablas salariales SC'!$P$145,(IF(U25=6,'A.0_Tablas salariales SC'!$P$146,IF(U25=10,'A.0_Tablas salariales SC'!$P$147,IF(U25=14,'A.0_Tablas salariales SC'!$P$148,IF(U25=18,'A.0_Tablas salariales SC'!$P$149,IF(U25=20,'A.0_Tablas salariales SC'!$P$150,IF(U25=22,'A.0_Tablas salariales SC'!$P$151,IF(U25=24,'A.0_Tablas salariales SC'!$P$152,IF(U25=26,'A.0_Tablas salariales SC'!$P$153,IF(U25=28,'A.0_Tablas salariales SC'!$P$154,0)))))))))))</f>
        <v>543.53100000000006</v>
      </c>
      <c r="AC25" s="175">
        <f>IF(V25=2,'A.0_Tablas salariales SC'!$P$173,(IF(V25=6,'A.0_Tablas salariales SC'!$P$174,IF(V25=10,'A.0_Tablas salariales SC'!$P$175,IF(V25=14,'A.0_Tablas salariales SC'!$P$176,IF(V25=18,'A.0_Tablas salariales SC'!$P$177,IF(V25=20,'A.0_Tablas salariales SC'!$P$178,IF(V25=22,'A.0_Tablas salariales SC'!$P$179,IF(V25=24,'A.0_Tablas salariales SC'!$P$180,IF(V25=26,'A.0_Tablas salariales SC'!$P$181,IF(V25=28,'A.0_Tablas salariales SC'!$P$182,0)))))))))))</f>
        <v>559.83693000000005</v>
      </c>
    </row>
    <row r="26" spans="1:29">
      <c r="A26" s="508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2">
        <f t="shared" si="39"/>
        <v>1900</v>
      </c>
      <c r="G26" s="173">
        <f t="shared" si="40"/>
        <v>2026</v>
      </c>
      <c r="H26" s="173">
        <f t="shared" si="40"/>
        <v>2032</v>
      </c>
      <c r="I26" s="173">
        <f t="shared" si="41"/>
        <v>126</v>
      </c>
      <c r="J26" s="173">
        <f t="shared" si="42"/>
        <v>127</v>
      </c>
      <c r="K26" s="173">
        <f t="shared" si="43"/>
        <v>128</v>
      </c>
      <c r="L26" s="173">
        <f t="shared" si="44"/>
        <v>129</v>
      </c>
      <c r="M26" s="173">
        <f t="shared" si="45"/>
        <v>130</v>
      </c>
      <c r="N26" s="173">
        <f t="shared" si="46"/>
        <v>131</v>
      </c>
      <c r="O26" s="173">
        <f t="shared" si="47"/>
        <v>132</v>
      </c>
      <c r="P26" s="173">
        <f t="shared" si="48"/>
        <v>28</v>
      </c>
      <c r="Q26" s="173">
        <f t="shared" si="49"/>
        <v>28</v>
      </c>
      <c r="R26" s="173">
        <f t="shared" si="50"/>
        <v>28</v>
      </c>
      <c r="S26" s="173">
        <f t="shared" si="51"/>
        <v>28</v>
      </c>
      <c r="T26" s="173">
        <f t="shared" si="52"/>
        <v>28</v>
      </c>
      <c r="U26" s="173">
        <f t="shared" si="53"/>
        <v>28</v>
      </c>
      <c r="V26" s="173">
        <f t="shared" si="54"/>
        <v>28</v>
      </c>
      <c r="W26" s="175">
        <f>IF(P26=2,'A.0_Tablas salariales SC'!$P$9,(IF(P26=6,'A.0_Tablas salariales SC'!$P$10,IF(P26=10,'A.0_Tablas salariales SC'!$P$11,IF(P26=14,'A.0_Tablas salariales SC'!$P$12,IF(P26=18,'A.0_Tablas salariales SC'!$P$13,IF(P26=20,'A.0_Tablas salariales SC'!$P$14,IF(P26=22,'A.0_Tablas salariales SC'!$P$15,IF(P26=24,'A.0_Tablas salariales SC'!$P$16,IF(P26=26,'A.0_Tablas salariales SC'!$P$17,IF(P26=28,'A.0_Tablas salariales SC'!$P$18,0)))))))))))</f>
        <v>446.8</v>
      </c>
      <c r="X26" s="175">
        <f>IF(Q26=2,'A.0_Tablas salariales SC'!$P$36,(IF(Q26=6,'A.0_Tablas salariales SC'!$P$37,IF(Q26=10,'A.0_Tablas salariales SC'!$P$38,IF(Q26=14,'A.0_Tablas salariales SC'!$P$39,IF(Q26=18,'A.0_Tablas salariales SC'!$P$40,IF(Q26=20,'A.0_Tablas salariales SC'!$P$41,IF(Q26=22,'A.0_Tablas salariales SC'!$P$42,IF(Q26=24,'A.0_Tablas salariales SC'!$P$43,IF(Q26=26,'A.0_Tablas salariales SC'!$P$44,IF(Q26=28,'A.0_Tablas salariales SC'!$P$45,0)))))))))))</f>
        <v>462.44</v>
      </c>
      <c r="Y26" s="175">
        <f>IF(R26=2,'A.0_Tablas salariales SC'!$P$63,(IF(R26=6,'A.0_Tablas salariales SC'!$P$64,IF(R26=10,'A.0_Tablas salariales SC'!$P$65,IF(R26=14,'A.0_Tablas salariales SC'!$P$66,IF(R26=18,'A.0_Tablas salariales SC'!$P$67,IF(R26=20,'A.0_Tablas salariales SC'!$P$68,IF(R26=22,'A.0_Tablas salariales SC'!$P$69,IF(R26=24,'A.0_Tablas salariales SC'!$P$70,IF(R26=26,'A.0_Tablas salariales SC'!$P$71,IF(R26=28,'A.0_Tablas salariales SC'!$P$72,0)))))))))))</f>
        <v>480.93</v>
      </c>
      <c r="Z26" s="175">
        <f>IF(S26=2,'A.0_Tablas salariales SC'!$P$90,(IF(S26=6,'A.0_Tablas salariales SC'!$P$91,IF(S26=10,'A.0_Tablas salariales SC'!$P$92,IF(S26=14,'A.0_Tablas salariales SC'!$P$93,IF(S26=18,'A.0_Tablas salariales SC'!$P$94,IF(S26=20,'A.0_Tablas salariales SC'!$P$95,IF(S26=22,'A.0_Tablas salariales SC'!$P$96,IF(S26=24,'A.0_Tablas salariales SC'!$P$97,IF(S26=26,'A.0_Tablas salariales SC'!$P$98,IF(S26=28,'A.0_Tablas salariales SC'!$P$99,0)))))))))))</f>
        <v>502.58</v>
      </c>
      <c r="AA26" s="175">
        <f>IF(T26=2,'A.0_Tablas salariales SC'!$P$117,(IF(T26=6,'A.0_Tablas salariales SC'!$P$118,IF(T26=10,'A.0_Tablas salariales SC'!$P$119,IF(T26=14,'A.0_Tablas salariales SC'!$P$120,IF(T26=18,'A.0_Tablas salariales SC'!$P$121,IF(T26=20,'A.0_Tablas salariales SC'!$P$122,IF(T26=22,'A.0_Tablas salariales SC'!$P$123,IF(T26=24,'A.0_Tablas salariales SC'!$P$124,IF(T26=26,'A.0_Tablas salariales SC'!$P$125,IF(T26=28,'A.0_Tablas salariales SC'!$P$126,0)))))))))))</f>
        <v>527.70000000000005</v>
      </c>
      <c r="AB26" s="175">
        <f>IF(U26=2,'A.0_Tablas salariales SC'!$P$145,(IF(U26=6,'A.0_Tablas salariales SC'!$P$146,IF(U26=10,'A.0_Tablas salariales SC'!$P$147,IF(U26=14,'A.0_Tablas salariales SC'!$P$148,IF(U26=18,'A.0_Tablas salariales SC'!$P$149,IF(U26=20,'A.0_Tablas salariales SC'!$P$150,IF(U26=22,'A.0_Tablas salariales SC'!$P$151,IF(U26=24,'A.0_Tablas salariales SC'!$P$152,IF(U26=26,'A.0_Tablas salariales SC'!$P$153,IF(U26=28,'A.0_Tablas salariales SC'!$P$154,0)))))))))))</f>
        <v>543.53100000000006</v>
      </c>
      <c r="AC26" s="175">
        <f>IF(V26=2,'A.0_Tablas salariales SC'!$P$173,(IF(V26=6,'A.0_Tablas salariales SC'!$P$174,IF(V26=10,'A.0_Tablas salariales SC'!$P$175,IF(V26=14,'A.0_Tablas salariales SC'!$P$176,IF(V26=18,'A.0_Tablas salariales SC'!$P$177,IF(V26=20,'A.0_Tablas salariales SC'!$P$178,IF(V26=22,'A.0_Tablas salariales SC'!$P$179,IF(V26=24,'A.0_Tablas salariales SC'!$P$180,IF(V26=26,'A.0_Tablas salariales SC'!$P$181,IF(V26=28,'A.0_Tablas salariales SC'!$P$182,0)))))))))))</f>
        <v>559.83693000000005</v>
      </c>
    </row>
    <row r="27" spans="1:29">
      <c r="A27" s="508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2">
        <f t="shared" si="39"/>
        <v>1900</v>
      </c>
      <c r="G27" s="173">
        <f t="shared" si="40"/>
        <v>2026</v>
      </c>
      <c r="H27" s="173">
        <f t="shared" si="40"/>
        <v>2032</v>
      </c>
      <c r="I27" s="173">
        <f t="shared" si="41"/>
        <v>126</v>
      </c>
      <c r="J27" s="173">
        <f t="shared" si="42"/>
        <v>127</v>
      </c>
      <c r="K27" s="173">
        <f t="shared" si="43"/>
        <v>128</v>
      </c>
      <c r="L27" s="173">
        <f t="shared" si="44"/>
        <v>129</v>
      </c>
      <c r="M27" s="173">
        <f t="shared" si="45"/>
        <v>130</v>
      </c>
      <c r="N27" s="173">
        <f t="shared" si="46"/>
        <v>131</v>
      </c>
      <c r="O27" s="173">
        <f t="shared" si="47"/>
        <v>132</v>
      </c>
      <c r="P27" s="173">
        <f t="shared" si="48"/>
        <v>28</v>
      </c>
      <c r="Q27" s="173">
        <f t="shared" si="49"/>
        <v>28</v>
      </c>
      <c r="R27" s="173">
        <f t="shared" si="50"/>
        <v>28</v>
      </c>
      <c r="S27" s="173">
        <f t="shared" si="51"/>
        <v>28</v>
      </c>
      <c r="T27" s="173">
        <f t="shared" si="52"/>
        <v>28</v>
      </c>
      <c r="U27" s="173">
        <f t="shared" si="53"/>
        <v>28</v>
      </c>
      <c r="V27" s="173">
        <f t="shared" si="54"/>
        <v>28</v>
      </c>
      <c r="W27" s="175">
        <f>IF(P27=2,'A.0_Tablas salariales SC'!$P$9,(IF(P27=6,'A.0_Tablas salariales SC'!$P$10,IF(P27=10,'A.0_Tablas salariales SC'!$P$11,IF(P27=14,'A.0_Tablas salariales SC'!$P$12,IF(P27=18,'A.0_Tablas salariales SC'!$P$13,IF(P27=20,'A.0_Tablas salariales SC'!$P$14,IF(P27=22,'A.0_Tablas salariales SC'!$P$15,IF(P27=24,'A.0_Tablas salariales SC'!$P$16,IF(P27=26,'A.0_Tablas salariales SC'!$P$17,IF(P27=28,'A.0_Tablas salariales SC'!$P$18,0)))))))))))</f>
        <v>446.8</v>
      </c>
      <c r="X27" s="175">
        <f>IF(Q27=2,'A.0_Tablas salariales SC'!$P$36,(IF(Q27=6,'A.0_Tablas salariales SC'!$P$37,IF(Q27=10,'A.0_Tablas salariales SC'!$P$38,IF(Q27=14,'A.0_Tablas salariales SC'!$P$39,IF(Q27=18,'A.0_Tablas salariales SC'!$P$40,IF(Q27=20,'A.0_Tablas salariales SC'!$P$41,IF(Q27=22,'A.0_Tablas salariales SC'!$P$42,IF(Q27=24,'A.0_Tablas salariales SC'!$P$43,IF(Q27=26,'A.0_Tablas salariales SC'!$P$44,IF(Q27=28,'A.0_Tablas salariales SC'!$P$45,0)))))))))))</f>
        <v>462.44</v>
      </c>
      <c r="Y27" s="175">
        <f>IF(R27=2,'A.0_Tablas salariales SC'!$P$63,(IF(R27=6,'A.0_Tablas salariales SC'!$P$64,IF(R27=10,'A.0_Tablas salariales SC'!$P$65,IF(R27=14,'A.0_Tablas salariales SC'!$P$66,IF(R27=18,'A.0_Tablas salariales SC'!$P$67,IF(R27=20,'A.0_Tablas salariales SC'!$P$68,IF(R27=22,'A.0_Tablas salariales SC'!$P$69,IF(R27=24,'A.0_Tablas salariales SC'!$P$70,IF(R27=26,'A.0_Tablas salariales SC'!$P$71,IF(R27=28,'A.0_Tablas salariales SC'!$P$72,0)))))))))))</f>
        <v>480.93</v>
      </c>
      <c r="Z27" s="175">
        <f>IF(S27=2,'A.0_Tablas salariales SC'!$P$90,(IF(S27=6,'A.0_Tablas salariales SC'!$P$91,IF(S27=10,'A.0_Tablas salariales SC'!$P$92,IF(S27=14,'A.0_Tablas salariales SC'!$P$93,IF(S27=18,'A.0_Tablas salariales SC'!$P$94,IF(S27=20,'A.0_Tablas salariales SC'!$P$95,IF(S27=22,'A.0_Tablas salariales SC'!$P$96,IF(S27=24,'A.0_Tablas salariales SC'!$P$97,IF(S27=26,'A.0_Tablas salariales SC'!$P$98,IF(S27=28,'A.0_Tablas salariales SC'!$P$99,0)))))))))))</f>
        <v>502.58</v>
      </c>
      <c r="AA27" s="175">
        <f>IF(T27=2,'A.0_Tablas salariales SC'!$P$117,(IF(T27=6,'A.0_Tablas salariales SC'!$P$118,IF(T27=10,'A.0_Tablas salariales SC'!$P$119,IF(T27=14,'A.0_Tablas salariales SC'!$P$120,IF(T27=18,'A.0_Tablas salariales SC'!$P$121,IF(T27=20,'A.0_Tablas salariales SC'!$P$122,IF(T27=22,'A.0_Tablas salariales SC'!$P$123,IF(T27=24,'A.0_Tablas salariales SC'!$P$124,IF(T27=26,'A.0_Tablas salariales SC'!$P$125,IF(T27=28,'A.0_Tablas salariales SC'!$P$126,0)))))))))))</f>
        <v>527.70000000000005</v>
      </c>
      <c r="AB27" s="175">
        <f>IF(U27=2,'A.0_Tablas salariales SC'!$P$145,(IF(U27=6,'A.0_Tablas salariales SC'!$P$146,IF(U27=10,'A.0_Tablas salariales SC'!$P$147,IF(U27=14,'A.0_Tablas salariales SC'!$P$148,IF(U27=18,'A.0_Tablas salariales SC'!$P$149,IF(U27=20,'A.0_Tablas salariales SC'!$P$150,IF(U27=22,'A.0_Tablas salariales SC'!$P$151,IF(U27=24,'A.0_Tablas salariales SC'!$P$152,IF(U27=26,'A.0_Tablas salariales SC'!$P$153,IF(U27=28,'A.0_Tablas salariales SC'!$P$154,0)))))))))))</f>
        <v>543.53100000000006</v>
      </c>
      <c r="AC27" s="175">
        <f>IF(V27=2,'A.0_Tablas salariales SC'!$P$173,(IF(V27=6,'A.0_Tablas salariales SC'!$P$174,IF(V27=10,'A.0_Tablas salariales SC'!$P$175,IF(V27=14,'A.0_Tablas salariales SC'!$P$176,IF(V27=18,'A.0_Tablas salariales SC'!$P$177,IF(V27=20,'A.0_Tablas salariales SC'!$P$178,IF(V27=22,'A.0_Tablas salariales SC'!$P$179,IF(V27=24,'A.0_Tablas salariales SC'!$P$180,IF(V27=26,'A.0_Tablas salariales SC'!$P$181,IF(V27=28,'A.0_Tablas salariales SC'!$P$182,0)))))))))))</f>
        <v>559.83693000000005</v>
      </c>
    </row>
    <row r="28" spans="1:29">
      <c r="A28" s="508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2">
        <f t="shared" si="39"/>
        <v>1900</v>
      </c>
      <c r="G28" s="173">
        <f t="shared" si="40"/>
        <v>2026</v>
      </c>
      <c r="H28" s="173">
        <f t="shared" si="40"/>
        <v>2032</v>
      </c>
      <c r="I28" s="173">
        <f t="shared" si="41"/>
        <v>126</v>
      </c>
      <c r="J28" s="173">
        <f t="shared" si="42"/>
        <v>127</v>
      </c>
      <c r="K28" s="173">
        <f t="shared" si="43"/>
        <v>128</v>
      </c>
      <c r="L28" s="173">
        <f t="shared" si="44"/>
        <v>129</v>
      </c>
      <c r="M28" s="173">
        <f t="shared" si="45"/>
        <v>130</v>
      </c>
      <c r="N28" s="173">
        <f t="shared" si="46"/>
        <v>131</v>
      </c>
      <c r="O28" s="173">
        <f t="shared" si="47"/>
        <v>132</v>
      </c>
      <c r="P28" s="173">
        <f t="shared" si="48"/>
        <v>28</v>
      </c>
      <c r="Q28" s="173">
        <f t="shared" si="49"/>
        <v>28</v>
      </c>
      <c r="R28" s="173">
        <f t="shared" si="50"/>
        <v>28</v>
      </c>
      <c r="S28" s="173">
        <f t="shared" si="51"/>
        <v>28</v>
      </c>
      <c r="T28" s="173">
        <f t="shared" si="52"/>
        <v>28</v>
      </c>
      <c r="U28" s="173">
        <f t="shared" si="53"/>
        <v>28</v>
      </c>
      <c r="V28" s="173">
        <f t="shared" si="54"/>
        <v>28</v>
      </c>
      <c r="W28" s="175">
        <f>IF(P28=2,'A.0_Tablas salariales SC'!$P$9,(IF(P28=6,'A.0_Tablas salariales SC'!$P$10,IF(P28=10,'A.0_Tablas salariales SC'!$P$11,IF(P28=14,'A.0_Tablas salariales SC'!$P$12,IF(P28=18,'A.0_Tablas salariales SC'!$P$13,IF(P28=20,'A.0_Tablas salariales SC'!$P$14,IF(P28=22,'A.0_Tablas salariales SC'!$P$15,IF(P28=24,'A.0_Tablas salariales SC'!$P$16,IF(P28=26,'A.0_Tablas salariales SC'!$P$17,IF(P28=28,'A.0_Tablas salariales SC'!$P$18,0)))))))))))</f>
        <v>446.8</v>
      </c>
      <c r="X28" s="175">
        <f>IF(Q28=2,'A.0_Tablas salariales SC'!$P$36,(IF(Q28=6,'A.0_Tablas salariales SC'!$P$37,IF(Q28=10,'A.0_Tablas salariales SC'!$P$38,IF(Q28=14,'A.0_Tablas salariales SC'!$P$39,IF(Q28=18,'A.0_Tablas salariales SC'!$P$40,IF(Q28=20,'A.0_Tablas salariales SC'!$P$41,IF(Q28=22,'A.0_Tablas salariales SC'!$P$42,IF(Q28=24,'A.0_Tablas salariales SC'!$P$43,IF(Q28=26,'A.0_Tablas salariales SC'!$P$44,IF(Q28=28,'A.0_Tablas salariales SC'!$P$45,0)))))))))))</f>
        <v>462.44</v>
      </c>
      <c r="Y28" s="175">
        <f>IF(R28=2,'A.0_Tablas salariales SC'!$P$63,(IF(R28=6,'A.0_Tablas salariales SC'!$P$64,IF(R28=10,'A.0_Tablas salariales SC'!$P$65,IF(R28=14,'A.0_Tablas salariales SC'!$P$66,IF(R28=18,'A.0_Tablas salariales SC'!$P$67,IF(R28=20,'A.0_Tablas salariales SC'!$P$68,IF(R28=22,'A.0_Tablas salariales SC'!$P$69,IF(R28=24,'A.0_Tablas salariales SC'!$P$70,IF(R28=26,'A.0_Tablas salariales SC'!$P$71,IF(R28=28,'A.0_Tablas salariales SC'!$P$72,0)))))))))))</f>
        <v>480.93</v>
      </c>
      <c r="Z28" s="175">
        <f>IF(S28=2,'A.0_Tablas salariales SC'!$P$90,(IF(S28=6,'A.0_Tablas salariales SC'!$P$91,IF(S28=10,'A.0_Tablas salariales SC'!$P$92,IF(S28=14,'A.0_Tablas salariales SC'!$P$93,IF(S28=18,'A.0_Tablas salariales SC'!$P$94,IF(S28=20,'A.0_Tablas salariales SC'!$P$95,IF(S28=22,'A.0_Tablas salariales SC'!$P$96,IF(S28=24,'A.0_Tablas salariales SC'!$P$97,IF(S28=26,'A.0_Tablas salariales SC'!$P$98,IF(S28=28,'A.0_Tablas salariales SC'!$P$99,0)))))))))))</f>
        <v>502.58</v>
      </c>
      <c r="AA28" s="175">
        <f>IF(T28=2,'A.0_Tablas salariales SC'!$P$117,(IF(T28=6,'A.0_Tablas salariales SC'!$P$118,IF(T28=10,'A.0_Tablas salariales SC'!$P$119,IF(T28=14,'A.0_Tablas salariales SC'!$P$120,IF(T28=18,'A.0_Tablas salariales SC'!$P$121,IF(T28=20,'A.0_Tablas salariales SC'!$P$122,IF(T28=22,'A.0_Tablas salariales SC'!$P$123,IF(T28=24,'A.0_Tablas salariales SC'!$P$124,IF(T28=26,'A.0_Tablas salariales SC'!$P$125,IF(T28=28,'A.0_Tablas salariales SC'!$P$126,0)))))))))))</f>
        <v>527.70000000000005</v>
      </c>
      <c r="AB28" s="175">
        <f>IF(U28=2,'A.0_Tablas salariales SC'!$P$145,(IF(U28=6,'A.0_Tablas salariales SC'!$P$146,IF(U28=10,'A.0_Tablas salariales SC'!$P$147,IF(U28=14,'A.0_Tablas salariales SC'!$P$148,IF(U28=18,'A.0_Tablas salariales SC'!$P$149,IF(U28=20,'A.0_Tablas salariales SC'!$P$150,IF(U28=22,'A.0_Tablas salariales SC'!$P$151,IF(U28=24,'A.0_Tablas salariales SC'!$P$152,IF(U28=26,'A.0_Tablas salariales SC'!$P$153,IF(U28=28,'A.0_Tablas salariales SC'!$P$154,0)))))))))))</f>
        <v>543.53100000000006</v>
      </c>
      <c r="AC28" s="175">
        <f>IF(V28=2,'A.0_Tablas salariales SC'!$P$173,(IF(V28=6,'A.0_Tablas salariales SC'!$P$174,IF(V28=10,'A.0_Tablas salariales SC'!$P$175,IF(V28=14,'A.0_Tablas salariales SC'!$P$176,IF(V28=18,'A.0_Tablas salariales SC'!$P$177,IF(V28=20,'A.0_Tablas salariales SC'!$P$178,IF(V28=22,'A.0_Tablas salariales SC'!$P$179,IF(V28=24,'A.0_Tablas salariales SC'!$P$180,IF(V28=26,'A.0_Tablas salariales SC'!$P$181,IF(V28=28,'A.0_Tablas salariales SC'!$P$182,0)))))))))))</f>
        <v>559.83693000000005</v>
      </c>
    </row>
    <row r="29" spans="1:29">
      <c r="A29" s="508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2">
        <f t="shared" si="39"/>
        <v>1900</v>
      </c>
      <c r="G29" s="173">
        <f t="shared" si="40"/>
        <v>2026</v>
      </c>
      <c r="H29" s="173">
        <f t="shared" si="40"/>
        <v>2032</v>
      </c>
      <c r="I29" s="173">
        <f t="shared" si="41"/>
        <v>126</v>
      </c>
      <c r="J29" s="173">
        <f t="shared" si="42"/>
        <v>127</v>
      </c>
      <c r="K29" s="173">
        <f t="shared" si="43"/>
        <v>128</v>
      </c>
      <c r="L29" s="173">
        <f t="shared" si="44"/>
        <v>129</v>
      </c>
      <c r="M29" s="173">
        <f t="shared" si="45"/>
        <v>130</v>
      </c>
      <c r="N29" s="173">
        <f t="shared" si="46"/>
        <v>131</v>
      </c>
      <c r="O29" s="173">
        <f t="shared" si="47"/>
        <v>132</v>
      </c>
      <c r="P29" s="173">
        <f t="shared" si="48"/>
        <v>28</v>
      </c>
      <c r="Q29" s="173">
        <f t="shared" si="49"/>
        <v>28</v>
      </c>
      <c r="R29" s="173">
        <f t="shared" si="50"/>
        <v>28</v>
      </c>
      <c r="S29" s="173">
        <f t="shared" si="51"/>
        <v>28</v>
      </c>
      <c r="T29" s="173">
        <f t="shared" si="52"/>
        <v>28</v>
      </c>
      <c r="U29" s="173">
        <f t="shared" si="53"/>
        <v>28</v>
      </c>
      <c r="V29" s="173">
        <f t="shared" si="54"/>
        <v>28</v>
      </c>
      <c r="W29" s="175">
        <f>IF(P29=2,'A.0_Tablas salariales SC'!$P$9,(IF(P29=6,'A.0_Tablas salariales SC'!$P$10,IF(P29=10,'A.0_Tablas salariales SC'!$P$11,IF(P29=14,'A.0_Tablas salariales SC'!$P$12,IF(P29=18,'A.0_Tablas salariales SC'!$P$13,IF(P29=20,'A.0_Tablas salariales SC'!$P$14,IF(P29=22,'A.0_Tablas salariales SC'!$P$15,IF(P29=24,'A.0_Tablas salariales SC'!$P$16,IF(P29=26,'A.0_Tablas salariales SC'!$P$17,IF(P29=28,'A.0_Tablas salariales SC'!$P$18,0)))))))))))</f>
        <v>446.8</v>
      </c>
      <c r="X29" s="175">
        <f>IF(Q29=2,'A.0_Tablas salariales SC'!$P$36,(IF(Q29=6,'A.0_Tablas salariales SC'!$P$37,IF(Q29=10,'A.0_Tablas salariales SC'!$P$38,IF(Q29=14,'A.0_Tablas salariales SC'!$P$39,IF(Q29=18,'A.0_Tablas salariales SC'!$P$40,IF(Q29=20,'A.0_Tablas salariales SC'!$P$41,IF(Q29=22,'A.0_Tablas salariales SC'!$P$42,IF(Q29=24,'A.0_Tablas salariales SC'!$P$43,IF(Q29=26,'A.0_Tablas salariales SC'!$P$44,IF(Q29=28,'A.0_Tablas salariales SC'!$P$45,0)))))))))))</f>
        <v>462.44</v>
      </c>
      <c r="Y29" s="175">
        <f>IF(R29=2,'A.0_Tablas salariales SC'!$P$63,(IF(R29=6,'A.0_Tablas salariales SC'!$P$64,IF(R29=10,'A.0_Tablas salariales SC'!$P$65,IF(R29=14,'A.0_Tablas salariales SC'!$P$66,IF(R29=18,'A.0_Tablas salariales SC'!$P$67,IF(R29=20,'A.0_Tablas salariales SC'!$P$68,IF(R29=22,'A.0_Tablas salariales SC'!$P$69,IF(R29=24,'A.0_Tablas salariales SC'!$P$70,IF(R29=26,'A.0_Tablas salariales SC'!$P$71,IF(R29=28,'A.0_Tablas salariales SC'!$P$72,0)))))))))))</f>
        <v>480.93</v>
      </c>
      <c r="Z29" s="175">
        <f>IF(S29=2,'A.0_Tablas salariales SC'!$P$90,(IF(S29=6,'A.0_Tablas salariales SC'!$P$91,IF(S29=10,'A.0_Tablas salariales SC'!$P$92,IF(S29=14,'A.0_Tablas salariales SC'!$P$93,IF(S29=18,'A.0_Tablas salariales SC'!$P$94,IF(S29=20,'A.0_Tablas salariales SC'!$P$95,IF(S29=22,'A.0_Tablas salariales SC'!$P$96,IF(S29=24,'A.0_Tablas salariales SC'!$P$97,IF(S29=26,'A.0_Tablas salariales SC'!$P$98,IF(S29=28,'A.0_Tablas salariales SC'!$P$99,0)))))))))))</f>
        <v>502.58</v>
      </c>
      <c r="AA29" s="175">
        <f>IF(T29=2,'A.0_Tablas salariales SC'!$P$117,(IF(T29=6,'A.0_Tablas salariales SC'!$P$118,IF(T29=10,'A.0_Tablas salariales SC'!$P$119,IF(T29=14,'A.0_Tablas salariales SC'!$P$120,IF(T29=18,'A.0_Tablas salariales SC'!$P$121,IF(T29=20,'A.0_Tablas salariales SC'!$P$122,IF(T29=22,'A.0_Tablas salariales SC'!$P$123,IF(T29=24,'A.0_Tablas salariales SC'!$P$124,IF(T29=26,'A.0_Tablas salariales SC'!$P$125,IF(T29=28,'A.0_Tablas salariales SC'!$P$126,0)))))))))))</f>
        <v>527.70000000000005</v>
      </c>
      <c r="AB29" s="175">
        <f>IF(U29=2,'A.0_Tablas salariales SC'!$P$145,(IF(U29=6,'A.0_Tablas salariales SC'!$P$146,IF(U29=10,'A.0_Tablas salariales SC'!$P$147,IF(U29=14,'A.0_Tablas salariales SC'!$P$148,IF(U29=18,'A.0_Tablas salariales SC'!$P$149,IF(U29=20,'A.0_Tablas salariales SC'!$P$150,IF(U29=22,'A.0_Tablas salariales SC'!$P$151,IF(U29=24,'A.0_Tablas salariales SC'!$P$152,IF(U29=26,'A.0_Tablas salariales SC'!$P$153,IF(U29=28,'A.0_Tablas salariales SC'!$P$154,0)))))))))))</f>
        <v>543.53100000000006</v>
      </c>
      <c r="AC29" s="175">
        <f>IF(V29=2,'A.0_Tablas salariales SC'!$P$173,(IF(V29=6,'A.0_Tablas salariales SC'!$P$174,IF(V29=10,'A.0_Tablas salariales SC'!$P$175,IF(V29=14,'A.0_Tablas salariales SC'!$P$176,IF(V29=18,'A.0_Tablas salariales SC'!$P$177,IF(V29=20,'A.0_Tablas salariales SC'!$P$178,IF(V29=22,'A.0_Tablas salariales SC'!$P$179,IF(V29=24,'A.0_Tablas salariales SC'!$P$180,IF(V29=26,'A.0_Tablas salariales SC'!$P$181,IF(V29=28,'A.0_Tablas salariales SC'!$P$182,0)))))))))))</f>
        <v>559.83693000000005</v>
      </c>
    </row>
    <row r="30" spans="1:29">
      <c r="A30" s="508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2">
        <f t="shared" si="39"/>
        <v>1900</v>
      </c>
      <c r="G30" s="173">
        <f t="shared" si="40"/>
        <v>2026</v>
      </c>
      <c r="H30" s="173">
        <f t="shared" si="40"/>
        <v>2032</v>
      </c>
      <c r="I30" s="173">
        <f t="shared" si="41"/>
        <v>126</v>
      </c>
      <c r="J30" s="173">
        <f t="shared" si="42"/>
        <v>127</v>
      </c>
      <c r="K30" s="173">
        <f t="shared" si="43"/>
        <v>128</v>
      </c>
      <c r="L30" s="173">
        <f t="shared" si="44"/>
        <v>129</v>
      </c>
      <c r="M30" s="173">
        <f t="shared" si="45"/>
        <v>130</v>
      </c>
      <c r="N30" s="173">
        <f t="shared" si="46"/>
        <v>131</v>
      </c>
      <c r="O30" s="173">
        <f t="shared" si="47"/>
        <v>132</v>
      </c>
      <c r="P30" s="173">
        <f t="shared" si="48"/>
        <v>28</v>
      </c>
      <c r="Q30" s="173">
        <f t="shared" si="49"/>
        <v>28</v>
      </c>
      <c r="R30" s="173">
        <f t="shared" si="50"/>
        <v>28</v>
      </c>
      <c r="S30" s="173">
        <f t="shared" si="51"/>
        <v>28</v>
      </c>
      <c r="T30" s="173">
        <f t="shared" si="52"/>
        <v>28</v>
      </c>
      <c r="U30" s="173">
        <f t="shared" si="53"/>
        <v>28</v>
      </c>
      <c r="V30" s="173">
        <f t="shared" si="54"/>
        <v>28</v>
      </c>
      <c r="W30" s="175">
        <f>IF(P30=2,'A.0_Tablas salariales SC'!$P$9,(IF(P30=6,'A.0_Tablas salariales SC'!$P$10,IF(P30=10,'A.0_Tablas salariales SC'!$P$11,IF(P30=14,'A.0_Tablas salariales SC'!$P$12,IF(P30=18,'A.0_Tablas salariales SC'!$P$13,IF(P30=20,'A.0_Tablas salariales SC'!$P$14,IF(P30=22,'A.0_Tablas salariales SC'!$P$15,IF(P30=24,'A.0_Tablas salariales SC'!$P$16,IF(P30=26,'A.0_Tablas salariales SC'!$P$17,IF(P30=28,'A.0_Tablas salariales SC'!$P$18,0)))))))))))</f>
        <v>446.8</v>
      </c>
      <c r="X30" s="175">
        <f>IF(Q30=2,'A.0_Tablas salariales SC'!$P$36,(IF(Q30=6,'A.0_Tablas salariales SC'!$P$37,IF(Q30=10,'A.0_Tablas salariales SC'!$P$38,IF(Q30=14,'A.0_Tablas salariales SC'!$P$39,IF(Q30=18,'A.0_Tablas salariales SC'!$P$40,IF(Q30=20,'A.0_Tablas salariales SC'!$P$41,IF(Q30=22,'A.0_Tablas salariales SC'!$P$42,IF(Q30=24,'A.0_Tablas salariales SC'!$P$43,IF(Q30=26,'A.0_Tablas salariales SC'!$P$44,IF(Q30=28,'A.0_Tablas salariales SC'!$P$45,0)))))))))))</f>
        <v>462.44</v>
      </c>
      <c r="Y30" s="175">
        <f>IF(R30=2,'A.0_Tablas salariales SC'!$P$63,(IF(R30=6,'A.0_Tablas salariales SC'!$P$64,IF(R30=10,'A.0_Tablas salariales SC'!$P$65,IF(R30=14,'A.0_Tablas salariales SC'!$P$66,IF(R30=18,'A.0_Tablas salariales SC'!$P$67,IF(R30=20,'A.0_Tablas salariales SC'!$P$68,IF(R30=22,'A.0_Tablas salariales SC'!$P$69,IF(R30=24,'A.0_Tablas salariales SC'!$P$70,IF(R30=26,'A.0_Tablas salariales SC'!$P$71,IF(R30=28,'A.0_Tablas salariales SC'!$P$72,0)))))))))))</f>
        <v>480.93</v>
      </c>
      <c r="Z30" s="175">
        <f>IF(S30=2,'A.0_Tablas salariales SC'!$P$90,(IF(S30=6,'A.0_Tablas salariales SC'!$P$91,IF(S30=10,'A.0_Tablas salariales SC'!$P$92,IF(S30=14,'A.0_Tablas salariales SC'!$P$93,IF(S30=18,'A.0_Tablas salariales SC'!$P$94,IF(S30=20,'A.0_Tablas salariales SC'!$P$95,IF(S30=22,'A.0_Tablas salariales SC'!$P$96,IF(S30=24,'A.0_Tablas salariales SC'!$P$97,IF(S30=26,'A.0_Tablas salariales SC'!$P$98,IF(S30=28,'A.0_Tablas salariales SC'!$P$99,0)))))))))))</f>
        <v>502.58</v>
      </c>
      <c r="AA30" s="175">
        <f>IF(T30=2,'A.0_Tablas salariales SC'!$P$117,(IF(T30=6,'A.0_Tablas salariales SC'!$P$118,IF(T30=10,'A.0_Tablas salariales SC'!$P$119,IF(T30=14,'A.0_Tablas salariales SC'!$P$120,IF(T30=18,'A.0_Tablas salariales SC'!$P$121,IF(T30=20,'A.0_Tablas salariales SC'!$P$122,IF(T30=22,'A.0_Tablas salariales SC'!$P$123,IF(T30=24,'A.0_Tablas salariales SC'!$P$124,IF(T30=26,'A.0_Tablas salariales SC'!$P$125,IF(T30=28,'A.0_Tablas salariales SC'!$P$126,0)))))))))))</f>
        <v>527.70000000000005</v>
      </c>
      <c r="AB30" s="175">
        <f>IF(U30=2,'A.0_Tablas salariales SC'!$P$145,(IF(U30=6,'A.0_Tablas salariales SC'!$P$146,IF(U30=10,'A.0_Tablas salariales SC'!$P$147,IF(U30=14,'A.0_Tablas salariales SC'!$P$148,IF(U30=18,'A.0_Tablas salariales SC'!$P$149,IF(U30=20,'A.0_Tablas salariales SC'!$P$150,IF(U30=22,'A.0_Tablas salariales SC'!$P$151,IF(U30=24,'A.0_Tablas salariales SC'!$P$152,IF(U30=26,'A.0_Tablas salariales SC'!$P$153,IF(U30=28,'A.0_Tablas salariales SC'!$P$154,0)))))))))))</f>
        <v>543.53100000000006</v>
      </c>
      <c r="AC30" s="175">
        <f>IF(V30=2,'A.0_Tablas salariales SC'!$P$173,(IF(V30=6,'A.0_Tablas salariales SC'!$P$174,IF(V30=10,'A.0_Tablas salariales SC'!$P$175,IF(V30=14,'A.0_Tablas salariales SC'!$P$176,IF(V30=18,'A.0_Tablas salariales SC'!$P$177,IF(V30=20,'A.0_Tablas salariales SC'!$P$178,IF(V30=22,'A.0_Tablas salariales SC'!$P$179,IF(V30=24,'A.0_Tablas salariales SC'!$P$180,IF(V30=26,'A.0_Tablas salariales SC'!$P$181,IF(V30=28,'A.0_Tablas salariales SC'!$P$182,0)))))))))))</f>
        <v>559.83693000000005</v>
      </c>
    </row>
    <row r="31" spans="1:29">
      <c r="A31" s="508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2">
        <f t="shared" si="39"/>
        <v>1900</v>
      </c>
      <c r="G31" s="173">
        <f t="shared" si="40"/>
        <v>2026</v>
      </c>
      <c r="H31" s="173">
        <f t="shared" si="40"/>
        <v>2032</v>
      </c>
      <c r="I31" s="173">
        <f t="shared" si="41"/>
        <v>126</v>
      </c>
      <c r="J31" s="173">
        <f t="shared" si="42"/>
        <v>127</v>
      </c>
      <c r="K31" s="173">
        <f t="shared" si="43"/>
        <v>128</v>
      </c>
      <c r="L31" s="173">
        <f t="shared" si="44"/>
        <v>129</v>
      </c>
      <c r="M31" s="173">
        <f t="shared" si="45"/>
        <v>130</v>
      </c>
      <c r="N31" s="173">
        <f t="shared" si="46"/>
        <v>131</v>
      </c>
      <c r="O31" s="173">
        <f t="shared" si="47"/>
        <v>132</v>
      </c>
      <c r="P31" s="173">
        <f t="shared" si="48"/>
        <v>28</v>
      </c>
      <c r="Q31" s="173">
        <f t="shared" si="49"/>
        <v>28</v>
      </c>
      <c r="R31" s="173">
        <f t="shared" si="50"/>
        <v>28</v>
      </c>
      <c r="S31" s="173">
        <f t="shared" si="51"/>
        <v>28</v>
      </c>
      <c r="T31" s="173">
        <f t="shared" si="52"/>
        <v>28</v>
      </c>
      <c r="U31" s="173">
        <f t="shared" si="53"/>
        <v>28</v>
      </c>
      <c r="V31" s="173">
        <f t="shared" si="54"/>
        <v>28</v>
      </c>
      <c r="W31" s="175">
        <f>IF(P31=2,'A.0_Tablas salariales SC'!$P$9,(IF(P31=6,'A.0_Tablas salariales SC'!$P$10,IF(P31=10,'A.0_Tablas salariales SC'!$P$11,IF(P31=14,'A.0_Tablas salariales SC'!$P$12,IF(P31=18,'A.0_Tablas salariales SC'!$P$13,IF(P31=20,'A.0_Tablas salariales SC'!$P$14,IF(P31=22,'A.0_Tablas salariales SC'!$P$15,IF(P31=24,'A.0_Tablas salariales SC'!$P$16,IF(P31=26,'A.0_Tablas salariales SC'!$P$17,IF(P31=28,'A.0_Tablas salariales SC'!$P$18,0)))))))))))</f>
        <v>446.8</v>
      </c>
      <c r="X31" s="175">
        <f>IF(Q31=2,'A.0_Tablas salariales SC'!$P$36,(IF(Q31=6,'A.0_Tablas salariales SC'!$P$37,IF(Q31=10,'A.0_Tablas salariales SC'!$P$38,IF(Q31=14,'A.0_Tablas salariales SC'!$P$39,IF(Q31=18,'A.0_Tablas salariales SC'!$P$40,IF(Q31=20,'A.0_Tablas salariales SC'!$P$41,IF(Q31=22,'A.0_Tablas salariales SC'!$P$42,IF(Q31=24,'A.0_Tablas salariales SC'!$P$43,IF(Q31=26,'A.0_Tablas salariales SC'!$P$44,IF(Q31=28,'A.0_Tablas salariales SC'!$P$45,0)))))))))))</f>
        <v>462.44</v>
      </c>
      <c r="Y31" s="175">
        <f>IF(R31=2,'A.0_Tablas salariales SC'!$P$63,(IF(R31=6,'A.0_Tablas salariales SC'!$P$64,IF(R31=10,'A.0_Tablas salariales SC'!$P$65,IF(R31=14,'A.0_Tablas salariales SC'!$P$66,IF(R31=18,'A.0_Tablas salariales SC'!$P$67,IF(R31=20,'A.0_Tablas salariales SC'!$P$68,IF(R31=22,'A.0_Tablas salariales SC'!$P$69,IF(R31=24,'A.0_Tablas salariales SC'!$P$70,IF(R31=26,'A.0_Tablas salariales SC'!$P$71,IF(R31=28,'A.0_Tablas salariales SC'!$P$72,0)))))))))))</f>
        <v>480.93</v>
      </c>
      <c r="Z31" s="175">
        <f>IF(S31=2,'A.0_Tablas salariales SC'!$P$90,(IF(S31=6,'A.0_Tablas salariales SC'!$P$91,IF(S31=10,'A.0_Tablas salariales SC'!$P$92,IF(S31=14,'A.0_Tablas salariales SC'!$P$93,IF(S31=18,'A.0_Tablas salariales SC'!$P$94,IF(S31=20,'A.0_Tablas salariales SC'!$P$95,IF(S31=22,'A.0_Tablas salariales SC'!$P$96,IF(S31=24,'A.0_Tablas salariales SC'!$P$97,IF(S31=26,'A.0_Tablas salariales SC'!$P$98,IF(S31=28,'A.0_Tablas salariales SC'!$P$99,0)))))))))))</f>
        <v>502.58</v>
      </c>
      <c r="AA31" s="175">
        <f>IF(T31=2,'A.0_Tablas salariales SC'!$P$117,(IF(T31=6,'A.0_Tablas salariales SC'!$P$118,IF(T31=10,'A.0_Tablas salariales SC'!$P$119,IF(T31=14,'A.0_Tablas salariales SC'!$P$120,IF(T31=18,'A.0_Tablas salariales SC'!$P$121,IF(T31=20,'A.0_Tablas salariales SC'!$P$122,IF(T31=22,'A.0_Tablas salariales SC'!$P$123,IF(T31=24,'A.0_Tablas salariales SC'!$P$124,IF(T31=26,'A.0_Tablas salariales SC'!$P$125,IF(T31=28,'A.0_Tablas salariales SC'!$P$126,0)))))))))))</f>
        <v>527.70000000000005</v>
      </c>
      <c r="AB31" s="175">
        <f>IF(U31=2,'A.0_Tablas salariales SC'!$P$145,(IF(U31=6,'A.0_Tablas salariales SC'!$P$146,IF(U31=10,'A.0_Tablas salariales SC'!$P$147,IF(U31=14,'A.0_Tablas salariales SC'!$P$148,IF(U31=18,'A.0_Tablas salariales SC'!$P$149,IF(U31=20,'A.0_Tablas salariales SC'!$P$150,IF(U31=22,'A.0_Tablas salariales SC'!$P$151,IF(U31=24,'A.0_Tablas salariales SC'!$P$152,IF(U31=26,'A.0_Tablas salariales SC'!$P$153,IF(U31=28,'A.0_Tablas salariales SC'!$P$154,0)))))))))))</f>
        <v>543.53100000000006</v>
      </c>
      <c r="AC31" s="175">
        <f>IF(V31=2,'A.0_Tablas salariales SC'!$P$173,(IF(V31=6,'A.0_Tablas salariales SC'!$P$174,IF(V31=10,'A.0_Tablas salariales SC'!$P$175,IF(V31=14,'A.0_Tablas salariales SC'!$P$176,IF(V31=18,'A.0_Tablas salariales SC'!$P$177,IF(V31=20,'A.0_Tablas salariales SC'!$P$178,IF(V31=22,'A.0_Tablas salariales SC'!$P$179,IF(V31=24,'A.0_Tablas salariales SC'!$P$180,IF(V31=26,'A.0_Tablas salariales SC'!$P$181,IF(V31=28,'A.0_Tablas salariales SC'!$P$182,0)))))))))))</f>
        <v>559.83693000000005</v>
      </c>
    </row>
    <row r="32" spans="1:29">
      <c r="A32" s="508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2">
        <f t="shared" ref="F32:F67" si="55">YEAR(E32)</f>
        <v>1900</v>
      </c>
      <c r="G32" s="173">
        <f t="shared" si="40"/>
        <v>2026</v>
      </c>
      <c r="H32" s="173">
        <f t="shared" si="40"/>
        <v>2032</v>
      </c>
      <c r="I32" s="173">
        <f t="shared" si="41"/>
        <v>126</v>
      </c>
      <c r="J32" s="173">
        <f t="shared" si="42"/>
        <v>127</v>
      </c>
      <c r="K32" s="173">
        <f t="shared" si="43"/>
        <v>128</v>
      </c>
      <c r="L32" s="173">
        <f t="shared" si="44"/>
        <v>129</v>
      </c>
      <c r="M32" s="173">
        <f t="shared" si="45"/>
        <v>130</v>
      </c>
      <c r="N32" s="173">
        <f t="shared" si="46"/>
        <v>131</v>
      </c>
      <c r="O32" s="173">
        <f t="shared" si="47"/>
        <v>132</v>
      </c>
      <c r="P32" s="173">
        <f t="shared" si="48"/>
        <v>28</v>
      </c>
      <c r="Q32" s="173">
        <f t="shared" si="49"/>
        <v>28</v>
      </c>
      <c r="R32" s="173">
        <f t="shared" si="50"/>
        <v>28</v>
      </c>
      <c r="S32" s="173">
        <f t="shared" si="51"/>
        <v>28</v>
      </c>
      <c r="T32" s="173">
        <f t="shared" si="52"/>
        <v>28</v>
      </c>
      <c r="U32" s="173">
        <f t="shared" si="53"/>
        <v>28</v>
      </c>
      <c r="V32" s="173">
        <f t="shared" si="54"/>
        <v>28</v>
      </c>
      <c r="W32" s="175">
        <f>IF(P32=2,'A.0_Tablas salariales SC'!$P$9,(IF(P32=6,'A.0_Tablas salariales SC'!$P$10,IF(P32=10,'A.0_Tablas salariales SC'!$P$11,IF(P32=14,'A.0_Tablas salariales SC'!$P$12,IF(P32=18,'A.0_Tablas salariales SC'!$P$13,IF(P32=20,'A.0_Tablas salariales SC'!$P$14,IF(P32=22,'A.0_Tablas salariales SC'!$P$15,IF(P32=24,'A.0_Tablas salariales SC'!$P$16,IF(P32=26,'A.0_Tablas salariales SC'!$P$17,IF(P32=28,'A.0_Tablas salariales SC'!$P$18,0)))))))))))</f>
        <v>446.8</v>
      </c>
      <c r="X32" s="175">
        <f>IF(Q32=2,'A.0_Tablas salariales SC'!$P$36,(IF(Q32=6,'A.0_Tablas salariales SC'!$P$37,IF(Q32=10,'A.0_Tablas salariales SC'!$P$38,IF(Q32=14,'A.0_Tablas salariales SC'!$P$39,IF(Q32=18,'A.0_Tablas salariales SC'!$P$40,IF(Q32=20,'A.0_Tablas salariales SC'!$P$41,IF(Q32=22,'A.0_Tablas salariales SC'!$P$42,IF(Q32=24,'A.0_Tablas salariales SC'!$P$43,IF(Q32=26,'A.0_Tablas salariales SC'!$P$44,IF(Q32=28,'A.0_Tablas salariales SC'!$P$45,0)))))))))))</f>
        <v>462.44</v>
      </c>
      <c r="Y32" s="175">
        <f>IF(R32=2,'A.0_Tablas salariales SC'!$P$63,(IF(R32=6,'A.0_Tablas salariales SC'!$P$64,IF(R32=10,'A.0_Tablas salariales SC'!$P$65,IF(R32=14,'A.0_Tablas salariales SC'!$P$66,IF(R32=18,'A.0_Tablas salariales SC'!$P$67,IF(R32=20,'A.0_Tablas salariales SC'!$P$68,IF(R32=22,'A.0_Tablas salariales SC'!$P$69,IF(R32=24,'A.0_Tablas salariales SC'!$P$70,IF(R32=26,'A.0_Tablas salariales SC'!$P$71,IF(R32=28,'A.0_Tablas salariales SC'!$P$72,0)))))))))))</f>
        <v>480.93</v>
      </c>
      <c r="Z32" s="175">
        <f>IF(S32=2,'A.0_Tablas salariales SC'!$P$90,(IF(S32=6,'A.0_Tablas salariales SC'!$P$91,IF(S32=10,'A.0_Tablas salariales SC'!$P$92,IF(S32=14,'A.0_Tablas salariales SC'!$P$93,IF(S32=18,'A.0_Tablas salariales SC'!$P$94,IF(S32=20,'A.0_Tablas salariales SC'!$P$95,IF(S32=22,'A.0_Tablas salariales SC'!$P$96,IF(S32=24,'A.0_Tablas salariales SC'!$P$97,IF(S32=26,'A.0_Tablas salariales SC'!$P$98,IF(S32=28,'A.0_Tablas salariales SC'!$P$99,0)))))))))))</f>
        <v>502.58</v>
      </c>
      <c r="AA32" s="175">
        <f>IF(T32=2,'A.0_Tablas salariales SC'!$P$117,(IF(T32=6,'A.0_Tablas salariales SC'!$P$118,IF(T32=10,'A.0_Tablas salariales SC'!$P$119,IF(T32=14,'A.0_Tablas salariales SC'!$P$120,IF(T32=18,'A.0_Tablas salariales SC'!$P$121,IF(T32=20,'A.0_Tablas salariales SC'!$P$122,IF(T32=22,'A.0_Tablas salariales SC'!$P$123,IF(T32=24,'A.0_Tablas salariales SC'!$P$124,IF(T32=26,'A.0_Tablas salariales SC'!$P$125,IF(T32=28,'A.0_Tablas salariales SC'!$P$126,0)))))))))))</f>
        <v>527.70000000000005</v>
      </c>
      <c r="AB32" s="175">
        <f>IF(U32=2,'A.0_Tablas salariales SC'!$P$145,(IF(U32=6,'A.0_Tablas salariales SC'!$P$146,IF(U32=10,'A.0_Tablas salariales SC'!$P$147,IF(U32=14,'A.0_Tablas salariales SC'!$P$148,IF(U32=18,'A.0_Tablas salariales SC'!$P$149,IF(U32=20,'A.0_Tablas salariales SC'!$P$150,IF(U32=22,'A.0_Tablas salariales SC'!$P$151,IF(U32=24,'A.0_Tablas salariales SC'!$P$152,IF(U32=26,'A.0_Tablas salariales SC'!$P$153,IF(U32=28,'A.0_Tablas salariales SC'!$P$154,0)))))))))))</f>
        <v>543.53100000000006</v>
      </c>
      <c r="AC32" s="175">
        <f>IF(V32=2,'A.0_Tablas salariales SC'!$P$173,(IF(V32=6,'A.0_Tablas salariales SC'!$P$174,IF(V32=10,'A.0_Tablas salariales SC'!$P$175,IF(V32=14,'A.0_Tablas salariales SC'!$P$176,IF(V32=18,'A.0_Tablas salariales SC'!$P$177,IF(V32=20,'A.0_Tablas salariales SC'!$P$178,IF(V32=22,'A.0_Tablas salariales SC'!$P$179,IF(V32=24,'A.0_Tablas salariales SC'!$P$180,IF(V32=26,'A.0_Tablas salariales SC'!$P$181,IF(V32=28,'A.0_Tablas salariales SC'!$P$182,0)))))))))))</f>
        <v>559.83693000000005</v>
      </c>
    </row>
    <row r="33" spans="1:29">
      <c r="A33" s="508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2">
        <f t="shared" si="55"/>
        <v>1900</v>
      </c>
      <c r="G33" s="173">
        <f t="shared" si="40"/>
        <v>2026</v>
      </c>
      <c r="H33" s="173">
        <f t="shared" si="40"/>
        <v>2032</v>
      </c>
      <c r="I33" s="173">
        <f t="shared" si="41"/>
        <v>126</v>
      </c>
      <c r="J33" s="173">
        <f t="shared" si="42"/>
        <v>127</v>
      </c>
      <c r="K33" s="173">
        <f t="shared" si="43"/>
        <v>128</v>
      </c>
      <c r="L33" s="173">
        <f t="shared" si="44"/>
        <v>129</v>
      </c>
      <c r="M33" s="173">
        <f t="shared" si="45"/>
        <v>130</v>
      </c>
      <c r="N33" s="173">
        <f t="shared" si="46"/>
        <v>131</v>
      </c>
      <c r="O33" s="173">
        <f t="shared" si="47"/>
        <v>132</v>
      </c>
      <c r="P33" s="173">
        <f t="shared" si="48"/>
        <v>28</v>
      </c>
      <c r="Q33" s="173">
        <f t="shared" si="49"/>
        <v>28</v>
      </c>
      <c r="R33" s="173">
        <f t="shared" si="50"/>
        <v>28</v>
      </c>
      <c r="S33" s="173">
        <f t="shared" si="51"/>
        <v>28</v>
      </c>
      <c r="T33" s="173">
        <f t="shared" si="52"/>
        <v>28</v>
      </c>
      <c r="U33" s="173">
        <f t="shared" si="53"/>
        <v>28</v>
      </c>
      <c r="V33" s="173">
        <f t="shared" si="54"/>
        <v>28</v>
      </c>
      <c r="W33" s="175">
        <f>IF(P33=2,'A.0_Tablas salariales SC'!$P$9,(IF(P33=6,'A.0_Tablas salariales SC'!$P$10,IF(P33=10,'A.0_Tablas salariales SC'!$P$11,IF(P33=14,'A.0_Tablas salariales SC'!$P$12,IF(P33=18,'A.0_Tablas salariales SC'!$P$13,IF(P33=20,'A.0_Tablas salariales SC'!$P$14,IF(P33=22,'A.0_Tablas salariales SC'!$P$15,IF(P33=24,'A.0_Tablas salariales SC'!$P$16,IF(P33=26,'A.0_Tablas salariales SC'!$P$17,IF(P33=28,'A.0_Tablas salariales SC'!$P$18,0)))))))))))</f>
        <v>446.8</v>
      </c>
      <c r="X33" s="175">
        <f>IF(Q33=2,'A.0_Tablas salariales SC'!$P$36,(IF(Q33=6,'A.0_Tablas salariales SC'!$P$37,IF(Q33=10,'A.0_Tablas salariales SC'!$P$38,IF(Q33=14,'A.0_Tablas salariales SC'!$P$39,IF(Q33=18,'A.0_Tablas salariales SC'!$P$40,IF(Q33=20,'A.0_Tablas salariales SC'!$P$41,IF(Q33=22,'A.0_Tablas salariales SC'!$P$42,IF(Q33=24,'A.0_Tablas salariales SC'!$P$43,IF(Q33=26,'A.0_Tablas salariales SC'!$P$44,IF(Q33=28,'A.0_Tablas salariales SC'!$P$45,0)))))))))))</f>
        <v>462.44</v>
      </c>
      <c r="Y33" s="175">
        <f>IF(R33=2,'A.0_Tablas salariales SC'!$P$63,(IF(R33=6,'A.0_Tablas salariales SC'!$P$64,IF(R33=10,'A.0_Tablas salariales SC'!$P$65,IF(R33=14,'A.0_Tablas salariales SC'!$P$66,IF(R33=18,'A.0_Tablas salariales SC'!$P$67,IF(R33=20,'A.0_Tablas salariales SC'!$P$68,IF(R33=22,'A.0_Tablas salariales SC'!$P$69,IF(R33=24,'A.0_Tablas salariales SC'!$P$70,IF(R33=26,'A.0_Tablas salariales SC'!$P$71,IF(R33=28,'A.0_Tablas salariales SC'!$P$72,0)))))))))))</f>
        <v>480.93</v>
      </c>
      <c r="Z33" s="175">
        <f>IF(S33=2,'A.0_Tablas salariales SC'!$P$90,(IF(S33=6,'A.0_Tablas salariales SC'!$P$91,IF(S33=10,'A.0_Tablas salariales SC'!$P$92,IF(S33=14,'A.0_Tablas salariales SC'!$P$93,IF(S33=18,'A.0_Tablas salariales SC'!$P$94,IF(S33=20,'A.0_Tablas salariales SC'!$P$95,IF(S33=22,'A.0_Tablas salariales SC'!$P$96,IF(S33=24,'A.0_Tablas salariales SC'!$P$97,IF(S33=26,'A.0_Tablas salariales SC'!$P$98,IF(S33=28,'A.0_Tablas salariales SC'!$P$99,0)))))))))))</f>
        <v>502.58</v>
      </c>
      <c r="AA33" s="175">
        <f>IF(T33=2,'A.0_Tablas salariales SC'!$P$117,(IF(T33=6,'A.0_Tablas salariales SC'!$P$118,IF(T33=10,'A.0_Tablas salariales SC'!$P$119,IF(T33=14,'A.0_Tablas salariales SC'!$P$120,IF(T33=18,'A.0_Tablas salariales SC'!$P$121,IF(T33=20,'A.0_Tablas salariales SC'!$P$122,IF(T33=22,'A.0_Tablas salariales SC'!$P$123,IF(T33=24,'A.0_Tablas salariales SC'!$P$124,IF(T33=26,'A.0_Tablas salariales SC'!$P$125,IF(T33=28,'A.0_Tablas salariales SC'!$P$126,0)))))))))))</f>
        <v>527.70000000000005</v>
      </c>
      <c r="AB33" s="175">
        <f>IF(U33=2,'A.0_Tablas salariales SC'!$P$145,(IF(U33=6,'A.0_Tablas salariales SC'!$P$146,IF(U33=10,'A.0_Tablas salariales SC'!$P$147,IF(U33=14,'A.0_Tablas salariales SC'!$P$148,IF(U33=18,'A.0_Tablas salariales SC'!$P$149,IF(U33=20,'A.0_Tablas salariales SC'!$P$150,IF(U33=22,'A.0_Tablas salariales SC'!$P$151,IF(U33=24,'A.0_Tablas salariales SC'!$P$152,IF(U33=26,'A.0_Tablas salariales SC'!$P$153,IF(U33=28,'A.0_Tablas salariales SC'!$P$154,0)))))))))))</f>
        <v>543.53100000000006</v>
      </c>
      <c r="AC33" s="175">
        <f>IF(V33=2,'A.0_Tablas salariales SC'!$P$173,(IF(V33=6,'A.0_Tablas salariales SC'!$P$174,IF(V33=10,'A.0_Tablas salariales SC'!$P$175,IF(V33=14,'A.0_Tablas salariales SC'!$P$176,IF(V33=18,'A.0_Tablas salariales SC'!$P$177,IF(V33=20,'A.0_Tablas salariales SC'!$P$178,IF(V33=22,'A.0_Tablas salariales SC'!$P$179,IF(V33=24,'A.0_Tablas salariales SC'!$P$180,IF(V33=26,'A.0_Tablas salariales SC'!$P$181,IF(V33=28,'A.0_Tablas salariales SC'!$P$182,0)))))))))))</f>
        <v>559.83693000000005</v>
      </c>
    </row>
    <row r="34" spans="1:29">
      <c r="A34" s="508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2">
        <f t="shared" si="55"/>
        <v>1900</v>
      </c>
      <c r="G34" s="173">
        <f t="shared" si="40"/>
        <v>2026</v>
      </c>
      <c r="H34" s="173">
        <f t="shared" si="40"/>
        <v>2032</v>
      </c>
      <c r="I34" s="173">
        <f t="shared" si="41"/>
        <v>126</v>
      </c>
      <c r="J34" s="173">
        <f t="shared" si="42"/>
        <v>127</v>
      </c>
      <c r="K34" s="173">
        <f t="shared" si="43"/>
        <v>128</v>
      </c>
      <c r="L34" s="173">
        <f t="shared" si="44"/>
        <v>129</v>
      </c>
      <c r="M34" s="173">
        <f t="shared" si="45"/>
        <v>130</v>
      </c>
      <c r="N34" s="173">
        <f t="shared" si="46"/>
        <v>131</v>
      </c>
      <c r="O34" s="173">
        <f t="shared" si="47"/>
        <v>132</v>
      </c>
      <c r="P34" s="173">
        <f t="shared" si="48"/>
        <v>28</v>
      </c>
      <c r="Q34" s="173">
        <f t="shared" si="49"/>
        <v>28</v>
      </c>
      <c r="R34" s="173">
        <f t="shared" si="50"/>
        <v>28</v>
      </c>
      <c r="S34" s="173">
        <f t="shared" si="51"/>
        <v>28</v>
      </c>
      <c r="T34" s="173">
        <f t="shared" si="52"/>
        <v>28</v>
      </c>
      <c r="U34" s="173">
        <f t="shared" si="53"/>
        <v>28</v>
      </c>
      <c r="V34" s="173">
        <f t="shared" si="54"/>
        <v>28</v>
      </c>
      <c r="W34" s="175">
        <f>IF(P34=2,'A.0_Tablas salariales SC'!$P$9,(IF(P34=6,'A.0_Tablas salariales SC'!$P$10,IF(P34=10,'A.0_Tablas salariales SC'!$P$11,IF(P34=14,'A.0_Tablas salariales SC'!$P$12,IF(P34=18,'A.0_Tablas salariales SC'!$P$13,IF(P34=20,'A.0_Tablas salariales SC'!$P$14,IF(P34=22,'A.0_Tablas salariales SC'!$P$15,IF(P34=24,'A.0_Tablas salariales SC'!$P$16,IF(P34=26,'A.0_Tablas salariales SC'!$P$17,IF(P34=28,'A.0_Tablas salariales SC'!$P$18,0)))))))))))</f>
        <v>446.8</v>
      </c>
      <c r="X34" s="175">
        <f>IF(Q34=2,'A.0_Tablas salariales SC'!$P$36,(IF(Q34=6,'A.0_Tablas salariales SC'!$P$37,IF(Q34=10,'A.0_Tablas salariales SC'!$P$38,IF(Q34=14,'A.0_Tablas salariales SC'!$P$39,IF(Q34=18,'A.0_Tablas salariales SC'!$P$40,IF(Q34=20,'A.0_Tablas salariales SC'!$P$41,IF(Q34=22,'A.0_Tablas salariales SC'!$P$42,IF(Q34=24,'A.0_Tablas salariales SC'!$P$43,IF(Q34=26,'A.0_Tablas salariales SC'!$P$44,IF(Q34=28,'A.0_Tablas salariales SC'!$P$45,0)))))))))))</f>
        <v>462.44</v>
      </c>
      <c r="Y34" s="175">
        <f>IF(R34=2,'A.0_Tablas salariales SC'!$P$63,(IF(R34=6,'A.0_Tablas salariales SC'!$P$64,IF(R34=10,'A.0_Tablas salariales SC'!$P$65,IF(R34=14,'A.0_Tablas salariales SC'!$P$66,IF(R34=18,'A.0_Tablas salariales SC'!$P$67,IF(R34=20,'A.0_Tablas salariales SC'!$P$68,IF(R34=22,'A.0_Tablas salariales SC'!$P$69,IF(R34=24,'A.0_Tablas salariales SC'!$P$70,IF(R34=26,'A.0_Tablas salariales SC'!$P$71,IF(R34=28,'A.0_Tablas salariales SC'!$P$72,0)))))))))))</f>
        <v>480.93</v>
      </c>
      <c r="Z34" s="175">
        <f>IF(S34=2,'A.0_Tablas salariales SC'!$P$90,(IF(S34=6,'A.0_Tablas salariales SC'!$P$91,IF(S34=10,'A.0_Tablas salariales SC'!$P$92,IF(S34=14,'A.0_Tablas salariales SC'!$P$93,IF(S34=18,'A.0_Tablas salariales SC'!$P$94,IF(S34=20,'A.0_Tablas salariales SC'!$P$95,IF(S34=22,'A.0_Tablas salariales SC'!$P$96,IF(S34=24,'A.0_Tablas salariales SC'!$P$97,IF(S34=26,'A.0_Tablas salariales SC'!$P$98,IF(S34=28,'A.0_Tablas salariales SC'!$P$99,0)))))))))))</f>
        <v>502.58</v>
      </c>
      <c r="AA34" s="175">
        <f>IF(T34=2,'A.0_Tablas salariales SC'!$P$117,(IF(T34=6,'A.0_Tablas salariales SC'!$P$118,IF(T34=10,'A.0_Tablas salariales SC'!$P$119,IF(T34=14,'A.0_Tablas salariales SC'!$P$120,IF(T34=18,'A.0_Tablas salariales SC'!$P$121,IF(T34=20,'A.0_Tablas salariales SC'!$P$122,IF(T34=22,'A.0_Tablas salariales SC'!$P$123,IF(T34=24,'A.0_Tablas salariales SC'!$P$124,IF(T34=26,'A.0_Tablas salariales SC'!$P$125,IF(T34=28,'A.0_Tablas salariales SC'!$P$126,0)))))))))))</f>
        <v>527.70000000000005</v>
      </c>
      <c r="AB34" s="175">
        <f>IF(U34=2,'A.0_Tablas salariales SC'!$P$145,(IF(U34=6,'A.0_Tablas salariales SC'!$P$146,IF(U34=10,'A.0_Tablas salariales SC'!$P$147,IF(U34=14,'A.0_Tablas salariales SC'!$P$148,IF(U34=18,'A.0_Tablas salariales SC'!$P$149,IF(U34=20,'A.0_Tablas salariales SC'!$P$150,IF(U34=22,'A.0_Tablas salariales SC'!$P$151,IF(U34=24,'A.0_Tablas salariales SC'!$P$152,IF(U34=26,'A.0_Tablas salariales SC'!$P$153,IF(U34=28,'A.0_Tablas salariales SC'!$P$154,0)))))))))))</f>
        <v>543.53100000000006</v>
      </c>
      <c r="AC34" s="175">
        <f>IF(V34=2,'A.0_Tablas salariales SC'!$P$173,(IF(V34=6,'A.0_Tablas salariales SC'!$P$174,IF(V34=10,'A.0_Tablas salariales SC'!$P$175,IF(V34=14,'A.0_Tablas salariales SC'!$P$176,IF(V34=18,'A.0_Tablas salariales SC'!$P$177,IF(V34=20,'A.0_Tablas salariales SC'!$P$178,IF(V34=22,'A.0_Tablas salariales SC'!$P$179,IF(V34=24,'A.0_Tablas salariales SC'!$P$180,IF(V34=26,'A.0_Tablas salariales SC'!$P$181,IF(V34=28,'A.0_Tablas salariales SC'!$P$182,0)))))))))))</f>
        <v>559.83693000000005</v>
      </c>
    </row>
    <row r="35" spans="1:29">
      <c r="A35" s="508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2">
        <f t="shared" si="55"/>
        <v>1900</v>
      </c>
      <c r="G35" s="173">
        <f t="shared" si="40"/>
        <v>2026</v>
      </c>
      <c r="H35" s="173">
        <f t="shared" si="40"/>
        <v>2032</v>
      </c>
      <c r="I35" s="173">
        <f t="shared" si="41"/>
        <v>126</v>
      </c>
      <c r="J35" s="173">
        <f t="shared" si="42"/>
        <v>127</v>
      </c>
      <c r="K35" s="173">
        <f t="shared" si="43"/>
        <v>128</v>
      </c>
      <c r="L35" s="173">
        <f t="shared" si="44"/>
        <v>129</v>
      </c>
      <c r="M35" s="173">
        <f t="shared" si="45"/>
        <v>130</v>
      </c>
      <c r="N35" s="173">
        <f t="shared" si="46"/>
        <v>131</v>
      </c>
      <c r="O35" s="173">
        <f t="shared" si="47"/>
        <v>132</v>
      </c>
      <c r="P35" s="173">
        <f t="shared" si="48"/>
        <v>28</v>
      </c>
      <c r="Q35" s="173">
        <f t="shared" si="49"/>
        <v>28</v>
      </c>
      <c r="R35" s="173">
        <f t="shared" si="50"/>
        <v>28</v>
      </c>
      <c r="S35" s="173">
        <f t="shared" si="51"/>
        <v>28</v>
      </c>
      <c r="T35" s="173">
        <f t="shared" si="52"/>
        <v>28</v>
      </c>
      <c r="U35" s="173">
        <f t="shared" si="53"/>
        <v>28</v>
      </c>
      <c r="V35" s="173">
        <f t="shared" si="54"/>
        <v>28</v>
      </c>
      <c r="W35" s="175">
        <f>IF(P35=2,'A.0_Tablas salariales SC'!$P$9,(IF(P35=6,'A.0_Tablas salariales SC'!$P$10,IF(P35=10,'A.0_Tablas salariales SC'!$P$11,IF(P35=14,'A.0_Tablas salariales SC'!$P$12,IF(P35=18,'A.0_Tablas salariales SC'!$P$13,IF(P35=20,'A.0_Tablas salariales SC'!$P$14,IF(P35=22,'A.0_Tablas salariales SC'!$P$15,IF(P35=24,'A.0_Tablas salariales SC'!$P$16,IF(P35=26,'A.0_Tablas salariales SC'!$P$17,IF(P35=28,'A.0_Tablas salariales SC'!$P$18,0)))))))))))</f>
        <v>446.8</v>
      </c>
      <c r="X35" s="175">
        <f>IF(Q35=2,'A.0_Tablas salariales SC'!$P$36,(IF(Q35=6,'A.0_Tablas salariales SC'!$P$37,IF(Q35=10,'A.0_Tablas salariales SC'!$P$38,IF(Q35=14,'A.0_Tablas salariales SC'!$P$39,IF(Q35=18,'A.0_Tablas salariales SC'!$P$40,IF(Q35=20,'A.0_Tablas salariales SC'!$P$41,IF(Q35=22,'A.0_Tablas salariales SC'!$P$42,IF(Q35=24,'A.0_Tablas salariales SC'!$P$43,IF(Q35=26,'A.0_Tablas salariales SC'!$P$44,IF(Q35=28,'A.0_Tablas salariales SC'!$P$45,0)))))))))))</f>
        <v>462.44</v>
      </c>
      <c r="Y35" s="175">
        <f>IF(R35=2,'A.0_Tablas salariales SC'!$P$63,(IF(R35=6,'A.0_Tablas salariales SC'!$P$64,IF(R35=10,'A.0_Tablas salariales SC'!$P$65,IF(R35=14,'A.0_Tablas salariales SC'!$P$66,IF(R35=18,'A.0_Tablas salariales SC'!$P$67,IF(R35=20,'A.0_Tablas salariales SC'!$P$68,IF(R35=22,'A.0_Tablas salariales SC'!$P$69,IF(R35=24,'A.0_Tablas salariales SC'!$P$70,IF(R35=26,'A.0_Tablas salariales SC'!$P$71,IF(R35=28,'A.0_Tablas salariales SC'!$P$72,0)))))))))))</f>
        <v>480.93</v>
      </c>
      <c r="Z35" s="175">
        <f>IF(S35=2,'A.0_Tablas salariales SC'!$P$90,(IF(S35=6,'A.0_Tablas salariales SC'!$P$91,IF(S35=10,'A.0_Tablas salariales SC'!$P$92,IF(S35=14,'A.0_Tablas salariales SC'!$P$93,IF(S35=18,'A.0_Tablas salariales SC'!$P$94,IF(S35=20,'A.0_Tablas salariales SC'!$P$95,IF(S35=22,'A.0_Tablas salariales SC'!$P$96,IF(S35=24,'A.0_Tablas salariales SC'!$P$97,IF(S35=26,'A.0_Tablas salariales SC'!$P$98,IF(S35=28,'A.0_Tablas salariales SC'!$P$99,0)))))))))))</f>
        <v>502.58</v>
      </c>
      <c r="AA35" s="175">
        <f>IF(T35=2,'A.0_Tablas salariales SC'!$P$117,(IF(T35=6,'A.0_Tablas salariales SC'!$P$118,IF(T35=10,'A.0_Tablas salariales SC'!$P$119,IF(T35=14,'A.0_Tablas salariales SC'!$P$120,IF(T35=18,'A.0_Tablas salariales SC'!$P$121,IF(T35=20,'A.0_Tablas salariales SC'!$P$122,IF(T35=22,'A.0_Tablas salariales SC'!$P$123,IF(T35=24,'A.0_Tablas salariales SC'!$P$124,IF(T35=26,'A.0_Tablas salariales SC'!$P$125,IF(T35=28,'A.0_Tablas salariales SC'!$P$126,0)))))))))))</f>
        <v>527.70000000000005</v>
      </c>
      <c r="AB35" s="175">
        <f>IF(U35=2,'A.0_Tablas salariales SC'!$P$145,(IF(U35=6,'A.0_Tablas salariales SC'!$P$146,IF(U35=10,'A.0_Tablas salariales SC'!$P$147,IF(U35=14,'A.0_Tablas salariales SC'!$P$148,IF(U35=18,'A.0_Tablas salariales SC'!$P$149,IF(U35=20,'A.0_Tablas salariales SC'!$P$150,IF(U35=22,'A.0_Tablas salariales SC'!$P$151,IF(U35=24,'A.0_Tablas salariales SC'!$P$152,IF(U35=26,'A.0_Tablas salariales SC'!$P$153,IF(U35=28,'A.0_Tablas salariales SC'!$P$154,0)))))))))))</f>
        <v>543.53100000000006</v>
      </c>
      <c r="AC35" s="175">
        <f>IF(V35=2,'A.0_Tablas salariales SC'!$P$173,(IF(V35=6,'A.0_Tablas salariales SC'!$P$174,IF(V35=10,'A.0_Tablas salariales SC'!$P$175,IF(V35=14,'A.0_Tablas salariales SC'!$P$176,IF(V35=18,'A.0_Tablas salariales SC'!$P$177,IF(V35=20,'A.0_Tablas salariales SC'!$P$178,IF(V35=22,'A.0_Tablas salariales SC'!$P$179,IF(V35=24,'A.0_Tablas salariales SC'!$P$180,IF(V35=26,'A.0_Tablas salariales SC'!$P$181,IF(V35=28,'A.0_Tablas salariales SC'!$P$182,0)))))))))))</f>
        <v>559.83693000000005</v>
      </c>
    </row>
    <row r="36" spans="1:29">
      <c r="A36" s="508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2">
        <f t="shared" si="55"/>
        <v>1900</v>
      </c>
      <c r="G36" s="173">
        <f t="shared" si="40"/>
        <v>2026</v>
      </c>
      <c r="H36" s="173">
        <f t="shared" si="40"/>
        <v>2032</v>
      </c>
      <c r="I36" s="173">
        <f t="shared" si="41"/>
        <v>126</v>
      </c>
      <c r="J36" s="173">
        <f t="shared" si="42"/>
        <v>127</v>
      </c>
      <c r="K36" s="173">
        <f t="shared" si="43"/>
        <v>128</v>
      </c>
      <c r="L36" s="173">
        <f t="shared" si="44"/>
        <v>129</v>
      </c>
      <c r="M36" s="173">
        <f t="shared" si="45"/>
        <v>130</v>
      </c>
      <c r="N36" s="173">
        <f t="shared" si="46"/>
        <v>131</v>
      </c>
      <c r="O36" s="173">
        <f t="shared" si="47"/>
        <v>132</v>
      </c>
      <c r="P36" s="173">
        <f t="shared" si="48"/>
        <v>28</v>
      </c>
      <c r="Q36" s="173">
        <f t="shared" si="49"/>
        <v>28</v>
      </c>
      <c r="R36" s="173">
        <f t="shared" si="50"/>
        <v>28</v>
      </c>
      <c r="S36" s="173">
        <f t="shared" si="51"/>
        <v>28</v>
      </c>
      <c r="T36" s="173">
        <f t="shared" si="52"/>
        <v>28</v>
      </c>
      <c r="U36" s="173">
        <f t="shared" si="53"/>
        <v>28</v>
      </c>
      <c r="V36" s="173">
        <f t="shared" si="54"/>
        <v>28</v>
      </c>
      <c r="W36" s="175">
        <f>IF(P36=2,'A.0_Tablas salariales SC'!$P$9,(IF(P36=6,'A.0_Tablas salariales SC'!$P$10,IF(P36=10,'A.0_Tablas salariales SC'!$P$11,IF(P36=14,'A.0_Tablas salariales SC'!$P$12,IF(P36=18,'A.0_Tablas salariales SC'!$P$13,IF(P36=20,'A.0_Tablas salariales SC'!$P$14,IF(P36=22,'A.0_Tablas salariales SC'!$P$15,IF(P36=24,'A.0_Tablas salariales SC'!$P$16,IF(P36=26,'A.0_Tablas salariales SC'!$P$17,IF(P36=28,'A.0_Tablas salariales SC'!$P$18,0)))))))))))</f>
        <v>446.8</v>
      </c>
      <c r="X36" s="175">
        <f>IF(Q36=2,'A.0_Tablas salariales SC'!$P$36,(IF(Q36=6,'A.0_Tablas salariales SC'!$P$37,IF(Q36=10,'A.0_Tablas salariales SC'!$P$38,IF(Q36=14,'A.0_Tablas salariales SC'!$P$39,IF(Q36=18,'A.0_Tablas salariales SC'!$P$40,IF(Q36=20,'A.0_Tablas salariales SC'!$P$41,IF(Q36=22,'A.0_Tablas salariales SC'!$P$42,IF(Q36=24,'A.0_Tablas salariales SC'!$P$43,IF(Q36=26,'A.0_Tablas salariales SC'!$P$44,IF(Q36=28,'A.0_Tablas salariales SC'!$P$45,0)))))))))))</f>
        <v>462.44</v>
      </c>
      <c r="Y36" s="175">
        <f>IF(R36=2,'A.0_Tablas salariales SC'!$P$63,(IF(R36=6,'A.0_Tablas salariales SC'!$P$64,IF(R36=10,'A.0_Tablas salariales SC'!$P$65,IF(R36=14,'A.0_Tablas salariales SC'!$P$66,IF(R36=18,'A.0_Tablas salariales SC'!$P$67,IF(R36=20,'A.0_Tablas salariales SC'!$P$68,IF(R36=22,'A.0_Tablas salariales SC'!$P$69,IF(R36=24,'A.0_Tablas salariales SC'!$P$70,IF(R36=26,'A.0_Tablas salariales SC'!$P$71,IF(R36=28,'A.0_Tablas salariales SC'!$P$72,0)))))))))))</f>
        <v>480.93</v>
      </c>
      <c r="Z36" s="175">
        <f>IF(S36=2,'A.0_Tablas salariales SC'!$P$90,(IF(S36=6,'A.0_Tablas salariales SC'!$P$91,IF(S36=10,'A.0_Tablas salariales SC'!$P$92,IF(S36=14,'A.0_Tablas salariales SC'!$P$93,IF(S36=18,'A.0_Tablas salariales SC'!$P$94,IF(S36=20,'A.0_Tablas salariales SC'!$P$95,IF(S36=22,'A.0_Tablas salariales SC'!$P$96,IF(S36=24,'A.0_Tablas salariales SC'!$P$97,IF(S36=26,'A.0_Tablas salariales SC'!$P$98,IF(S36=28,'A.0_Tablas salariales SC'!$P$99,0)))))))))))</f>
        <v>502.58</v>
      </c>
      <c r="AA36" s="175">
        <f>IF(T36=2,'A.0_Tablas salariales SC'!$P$117,(IF(T36=6,'A.0_Tablas salariales SC'!$P$118,IF(T36=10,'A.0_Tablas salariales SC'!$P$119,IF(T36=14,'A.0_Tablas salariales SC'!$P$120,IF(T36=18,'A.0_Tablas salariales SC'!$P$121,IF(T36=20,'A.0_Tablas salariales SC'!$P$122,IF(T36=22,'A.0_Tablas salariales SC'!$P$123,IF(T36=24,'A.0_Tablas salariales SC'!$P$124,IF(T36=26,'A.0_Tablas salariales SC'!$P$125,IF(T36=28,'A.0_Tablas salariales SC'!$P$126,0)))))))))))</f>
        <v>527.70000000000005</v>
      </c>
      <c r="AB36" s="175">
        <f>IF(U36=2,'A.0_Tablas salariales SC'!$P$145,(IF(U36=6,'A.0_Tablas salariales SC'!$P$146,IF(U36=10,'A.0_Tablas salariales SC'!$P$147,IF(U36=14,'A.0_Tablas salariales SC'!$P$148,IF(U36=18,'A.0_Tablas salariales SC'!$P$149,IF(U36=20,'A.0_Tablas salariales SC'!$P$150,IF(U36=22,'A.0_Tablas salariales SC'!$P$151,IF(U36=24,'A.0_Tablas salariales SC'!$P$152,IF(U36=26,'A.0_Tablas salariales SC'!$P$153,IF(U36=28,'A.0_Tablas salariales SC'!$P$154,0)))))))))))</f>
        <v>543.53100000000006</v>
      </c>
      <c r="AC36" s="175">
        <f>IF(V36=2,'A.0_Tablas salariales SC'!$P$173,(IF(V36=6,'A.0_Tablas salariales SC'!$P$174,IF(V36=10,'A.0_Tablas salariales SC'!$P$175,IF(V36=14,'A.0_Tablas salariales SC'!$P$176,IF(V36=18,'A.0_Tablas salariales SC'!$P$177,IF(V36=20,'A.0_Tablas salariales SC'!$P$178,IF(V36=22,'A.0_Tablas salariales SC'!$P$179,IF(V36=24,'A.0_Tablas salariales SC'!$P$180,IF(V36=26,'A.0_Tablas salariales SC'!$P$181,IF(V36=28,'A.0_Tablas salariales SC'!$P$182,0)))))))))))</f>
        <v>559.83693000000005</v>
      </c>
    </row>
    <row r="37" spans="1:29">
      <c r="A37" s="508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2">
        <f t="shared" si="55"/>
        <v>1900</v>
      </c>
      <c r="G37" s="173">
        <f t="shared" si="40"/>
        <v>2026</v>
      </c>
      <c r="H37" s="173">
        <f t="shared" si="40"/>
        <v>2032</v>
      </c>
      <c r="I37" s="173">
        <f t="shared" si="41"/>
        <v>126</v>
      </c>
      <c r="J37" s="173">
        <f t="shared" si="42"/>
        <v>127</v>
      </c>
      <c r="K37" s="173">
        <f t="shared" si="43"/>
        <v>128</v>
      </c>
      <c r="L37" s="173">
        <f t="shared" si="44"/>
        <v>129</v>
      </c>
      <c r="M37" s="173">
        <f t="shared" si="45"/>
        <v>130</v>
      </c>
      <c r="N37" s="173">
        <f t="shared" si="46"/>
        <v>131</v>
      </c>
      <c r="O37" s="173">
        <f t="shared" si="47"/>
        <v>132</v>
      </c>
      <c r="P37" s="173">
        <f t="shared" si="48"/>
        <v>28</v>
      </c>
      <c r="Q37" s="173">
        <f t="shared" si="49"/>
        <v>28</v>
      </c>
      <c r="R37" s="173">
        <f t="shared" si="50"/>
        <v>28</v>
      </c>
      <c r="S37" s="173">
        <f t="shared" si="51"/>
        <v>28</v>
      </c>
      <c r="T37" s="173">
        <f t="shared" si="52"/>
        <v>28</v>
      </c>
      <c r="U37" s="173">
        <f t="shared" si="53"/>
        <v>28</v>
      </c>
      <c r="V37" s="173">
        <f t="shared" si="54"/>
        <v>28</v>
      </c>
      <c r="W37" s="175">
        <f>IF(P37=2,'A.0_Tablas salariales SC'!$P$9,(IF(P37=6,'A.0_Tablas salariales SC'!$P$10,IF(P37=10,'A.0_Tablas salariales SC'!$P$11,IF(P37=14,'A.0_Tablas salariales SC'!$P$12,IF(P37=18,'A.0_Tablas salariales SC'!$P$13,IF(P37=20,'A.0_Tablas salariales SC'!$P$14,IF(P37=22,'A.0_Tablas salariales SC'!$P$15,IF(P37=24,'A.0_Tablas salariales SC'!$P$16,IF(P37=26,'A.0_Tablas salariales SC'!$P$17,IF(P37=28,'A.0_Tablas salariales SC'!$P$18,0)))))))))))</f>
        <v>446.8</v>
      </c>
      <c r="X37" s="175">
        <f>IF(Q37=2,'A.0_Tablas salariales SC'!$P$36,(IF(Q37=6,'A.0_Tablas salariales SC'!$P$37,IF(Q37=10,'A.0_Tablas salariales SC'!$P$38,IF(Q37=14,'A.0_Tablas salariales SC'!$P$39,IF(Q37=18,'A.0_Tablas salariales SC'!$P$40,IF(Q37=20,'A.0_Tablas salariales SC'!$P$41,IF(Q37=22,'A.0_Tablas salariales SC'!$P$42,IF(Q37=24,'A.0_Tablas salariales SC'!$P$43,IF(Q37=26,'A.0_Tablas salariales SC'!$P$44,IF(Q37=28,'A.0_Tablas salariales SC'!$P$45,0)))))))))))</f>
        <v>462.44</v>
      </c>
      <c r="Y37" s="175">
        <f>IF(R37=2,'A.0_Tablas salariales SC'!$P$63,(IF(R37=6,'A.0_Tablas salariales SC'!$P$64,IF(R37=10,'A.0_Tablas salariales SC'!$P$65,IF(R37=14,'A.0_Tablas salariales SC'!$P$66,IF(R37=18,'A.0_Tablas salariales SC'!$P$67,IF(R37=20,'A.0_Tablas salariales SC'!$P$68,IF(R37=22,'A.0_Tablas salariales SC'!$P$69,IF(R37=24,'A.0_Tablas salariales SC'!$P$70,IF(R37=26,'A.0_Tablas salariales SC'!$P$71,IF(R37=28,'A.0_Tablas salariales SC'!$P$72,0)))))))))))</f>
        <v>480.93</v>
      </c>
      <c r="Z37" s="175">
        <f>IF(S37=2,'A.0_Tablas salariales SC'!$P$90,(IF(S37=6,'A.0_Tablas salariales SC'!$P$91,IF(S37=10,'A.0_Tablas salariales SC'!$P$92,IF(S37=14,'A.0_Tablas salariales SC'!$P$93,IF(S37=18,'A.0_Tablas salariales SC'!$P$94,IF(S37=20,'A.0_Tablas salariales SC'!$P$95,IF(S37=22,'A.0_Tablas salariales SC'!$P$96,IF(S37=24,'A.0_Tablas salariales SC'!$P$97,IF(S37=26,'A.0_Tablas salariales SC'!$P$98,IF(S37=28,'A.0_Tablas salariales SC'!$P$99,0)))))))))))</f>
        <v>502.58</v>
      </c>
      <c r="AA37" s="175">
        <f>IF(T37=2,'A.0_Tablas salariales SC'!$P$117,(IF(T37=6,'A.0_Tablas salariales SC'!$P$118,IF(T37=10,'A.0_Tablas salariales SC'!$P$119,IF(T37=14,'A.0_Tablas salariales SC'!$P$120,IF(T37=18,'A.0_Tablas salariales SC'!$P$121,IF(T37=20,'A.0_Tablas salariales SC'!$P$122,IF(T37=22,'A.0_Tablas salariales SC'!$P$123,IF(T37=24,'A.0_Tablas salariales SC'!$P$124,IF(T37=26,'A.0_Tablas salariales SC'!$P$125,IF(T37=28,'A.0_Tablas salariales SC'!$P$126,0)))))))))))</f>
        <v>527.70000000000005</v>
      </c>
      <c r="AB37" s="175">
        <f>IF(U37=2,'A.0_Tablas salariales SC'!$P$145,(IF(U37=6,'A.0_Tablas salariales SC'!$P$146,IF(U37=10,'A.0_Tablas salariales SC'!$P$147,IF(U37=14,'A.0_Tablas salariales SC'!$P$148,IF(U37=18,'A.0_Tablas salariales SC'!$P$149,IF(U37=20,'A.0_Tablas salariales SC'!$P$150,IF(U37=22,'A.0_Tablas salariales SC'!$P$151,IF(U37=24,'A.0_Tablas salariales SC'!$P$152,IF(U37=26,'A.0_Tablas salariales SC'!$P$153,IF(U37=28,'A.0_Tablas salariales SC'!$P$154,0)))))))))))</f>
        <v>543.53100000000006</v>
      </c>
      <c r="AC37" s="175">
        <f>IF(V37=2,'A.0_Tablas salariales SC'!$P$173,(IF(V37=6,'A.0_Tablas salariales SC'!$P$174,IF(V37=10,'A.0_Tablas salariales SC'!$P$175,IF(V37=14,'A.0_Tablas salariales SC'!$P$176,IF(V37=18,'A.0_Tablas salariales SC'!$P$177,IF(V37=20,'A.0_Tablas salariales SC'!$P$178,IF(V37=22,'A.0_Tablas salariales SC'!$P$179,IF(V37=24,'A.0_Tablas salariales SC'!$P$180,IF(V37=26,'A.0_Tablas salariales SC'!$P$181,IF(V37=28,'A.0_Tablas salariales SC'!$P$182,0)))))))))))</f>
        <v>559.83693000000005</v>
      </c>
    </row>
    <row r="38" spans="1:29">
      <c r="A38" s="508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2">
        <f t="shared" si="55"/>
        <v>1900</v>
      </c>
      <c r="G38" s="173">
        <f t="shared" si="40"/>
        <v>2026</v>
      </c>
      <c r="H38" s="173">
        <f t="shared" si="40"/>
        <v>2032</v>
      </c>
      <c r="I38" s="173">
        <f t="shared" si="41"/>
        <v>126</v>
      </c>
      <c r="J38" s="173">
        <f t="shared" si="42"/>
        <v>127</v>
      </c>
      <c r="K38" s="173">
        <f t="shared" si="43"/>
        <v>128</v>
      </c>
      <c r="L38" s="173">
        <f t="shared" si="44"/>
        <v>129</v>
      </c>
      <c r="M38" s="173">
        <f t="shared" si="45"/>
        <v>130</v>
      </c>
      <c r="N38" s="173">
        <f t="shared" si="46"/>
        <v>131</v>
      </c>
      <c r="O38" s="173">
        <f t="shared" si="47"/>
        <v>132</v>
      </c>
      <c r="P38" s="173">
        <f t="shared" si="48"/>
        <v>28</v>
      </c>
      <c r="Q38" s="173">
        <f t="shared" si="49"/>
        <v>28</v>
      </c>
      <c r="R38" s="173">
        <f t="shared" si="50"/>
        <v>28</v>
      </c>
      <c r="S38" s="173">
        <f t="shared" si="51"/>
        <v>28</v>
      </c>
      <c r="T38" s="173">
        <f t="shared" si="52"/>
        <v>28</v>
      </c>
      <c r="U38" s="173">
        <f t="shared" si="53"/>
        <v>28</v>
      </c>
      <c r="V38" s="173">
        <f t="shared" si="54"/>
        <v>28</v>
      </c>
      <c r="W38" s="175">
        <f>IF(P38=2,'A.0_Tablas salariales SC'!$P$9,(IF(P38=6,'A.0_Tablas salariales SC'!$P$10,IF(P38=10,'A.0_Tablas salariales SC'!$P$11,IF(P38=14,'A.0_Tablas salariales SC'!$P$12,IF(P38=18,'A.0_Tablas salariales SC'!$P$13,IF(P38=20,'A.0_Tablas salariales SC'!$P$14,IF(P38=22,'A.0_Tablas salariales SC'!$P$15,IF(P38=24,'A.0_Tablas salariales SC'!$P$16,IF(P38=26,'A.0_Tablas salariales SC'!$P$17,IF(P38=28,'A.0_Tablas salariales SC'!$P$18,0)))))))))))</f>
        <v>446.8</v>
      </c>
      <c r="X38" s="175">
        <f>IF(Q38=2,'A.0_Tablas salariales SC'!$P$36,(IF(Q38=6,'A.0_Tablas salariales SC'!$P$37,IF(Q38=10,'A.0_Tablas salariales SC'!$P$38,IF(Q38=14,'A.0_Tablas salariales SC'!$P$39,IF(Q38=18,'A.0_Tablas salariales SC'!$P$40,IF(Q38=20,'A.0_Tablas salariales SC'!$P$41,IF(Q38=22,'A.0_Tablas salariales SC'!$P$42,IF(Q38=24,'A.0_Tablas salariales SC'!$P$43,IF(Q38=26,'A.0_Tablas salariales SC'!$P$44,IF(Q38=28,'A.0_Tablas salariales SC'!$P$45,0)))))))))))</f>
        <v>462.44</v>
      </c>
      <c r="Y38" s="175">
        <f>IF(R38=2,'A.0_Tablas salariales SC'!$P$63,(IF(R38=6,'A.0_Tablas salariales SC'!$P$64,IF(R38=10,'A.0_Tablas salariales SC'!$P$65,IF(R38=14,'A.0_Tablas salariales SC'!$P$66,IF(R38=18,'A.0_Tablas salariales SC'!$P$67,IF(R38=20,'A.0_Tablas salariales SC'!$P$68,IF(R38=22,'A.0_Tablas salariales SC'!$P$69,IF(R38=24,'A.0_Tablas salariales SC'!$P$70,IF(R38=26,'A.0_Tablas salariales SC'!$P$71,IF(R38=28,'A.0_Tablas salariales SC'!$P$72,0)))))))))))</f>
        <v>480.93</v>
      </c>
      <c r="Z38" s="175">
        <f>IF(S38=2,'A.0_Tablas salariales SC'!$P$90,(IF(S38=6,'A.0_Tablas salariales SC'!$P$91,IF(S38=10,'A.0_Tablas salariales SC'!$P$92,IF(S38=14,'A.0_Tablas salariales SC'!$P$93,IF(S38=18,'A.0_Tablas salariales SC'!$P$94,IF(S38=20,'A.0_Tablas salariales SC'!$P$95,IF(S38=22,'A.0_Tablas salariales SC'!$P$96,IF(S38=24,'A.0_Tablas salariales SC'!$P$97,IF(S38=26,'A.0_Tablas salariales SC'!$P$98,IF(S38=28,'A.0_Tablas salariales SC'!$P$99,0)))))))))))</f>
        <v>502.58</v>
      </c>
      <c r="AA38" s="175">
        <f>IF(T38=2,'A.0_Tablas salariales SC'!$P$117,(IF(T38=6,'A.0_Tablas salariales SC'!$P$118,IF(T38=10,'A.0_Tablas salariales SC'!$P$119,IF(T38=14,'A.0_Tablas salariales SC'!$P$120,IF(T38=18,'A.0_Tablas salariales SC'!$P$121,IF(T38=20,'A.0_Tablas salariales SC'!$P$122,IF(T38=22,'A.0_Tablas salariales SC'!$P$123,IF(T38=24,'A.0_Tablas salariales SC'!$P$124,IF(T38=26,'A.0_Tablas salariales SC'!$P$125,IF(T38=28,'A.0_Tablas salariales SC'!$P$126,0)))))))))))</f>
        <v>527.70000000000005</v>
      </c>
      <c r="AB38" s="175">
        <f>IF(U38=2,'A.0_Tablas salariales SC'!$P$145,(IF(U38=6,'A.0_Tablas salariales SC'!$P$146,IF(U38=10,'A.0_Tablas salariales SC'!$P$147,IF(U38=14,'A.0_Tablas salariales SC'!$P$148,IF(U38=18,'A.0_Tablas salariales SC'!$P$149,IF(U38=20,'A.0_Tablas salariales SC'!$P$150,IF(U38=22,'A.0_Tablas salariales SC'!$P$151,IF(U38=24,'A.0_Tablas salariales SC'!$P$152,IF(U38=26,'A.0_Tablas salariales SC'!$P$153,IF(U38=28,'A.0_Tablas salariales SC'!$P$154,0)))))))))))</f>
        <v>543.53100000000006</v>
      </c>
      <c r="AC38" s="175">
        <f>IF(V38=2,'A.0_Tablas salariales SC'!$P$173,(IF(V38=6,'A.0_Tablas salariales SC'!$P$174,IF(V38=10,'A.0_Tablas salariales SC'!$P$175,IF(V38=14,'A.0_Tablas salariales SC'!$P$176,IF(V38=18,'A.0_Tablas salariales SC'!$P$177,IF(V38=20,'A.0_Tablas salariales SC'!$P$178,IF(V38=22,'A.0_Tablas salariales SC'!$P$179,IF(V38=24,'A.0_Tablas salariales SC'!$P$180,IF(V38=26,'A.0_Tablas salariales SC'!$P$181,IF(V38=28,'A.0_Tablas salariales SC'!$P$182,0)))))))))))</f>
        <v>559.83693000000005</v>
      </c>
    </row>
    <row r="39" spans="1:29">
      <c r="A39" s="508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2">
        <f t="shared" si="55"/>
        <v>1900</v>
      </c>
      <c r="G39" s="173">
        <f t="shared" si="40"/>
        <v>2026</v>
      </c>
      <c r="H39" s="173">
        <f t="shared" si="40"/>
        <v>2032</v>
      </c>
      <c r="I39" s="173">
        <f t="shared" si="41"/>
        <v>126</v>
      </c>
      <c r="J39" s="173">
        <f t="shared" si="42"/>
        <v>127</v>
      </c>
      <c r="K39" s="173">
        <f t="shared" si="43"/>
        <v>128</v>
      </c>
      <c r="L39" s="173">
        <f t="shared" si="44"/>
        <v>129</v>
      </c>
      <c r="M39" s="173">
        <f t="shared" si="45"/>
        <v>130</v>
      </c>
      <c r="N39" s="173">
        <f t="shared" si="46"/>
        <v>131</v>
      </c>
      <c r="O39" s="173">
        <f t="shared" si="47"/>
        <v>132</v>
      </c>
      <c r="P39" s="173">
        <f t="shared" si="48"/>
        <v>28</v>
      </c>
      <c r="Q39" s="173">
        <f t="shared" si="49"/>
        <v>28</v>
      </c>
      <c r="R39" s="173">
        <f t="shared" si="50"/>
        <v>28</v>
      </c>
      <c r="S39" s="173">
        <f t="shared" si="51"/>
        <v>28</v>
      </c>
      <c r="T39" s="173">
        <f t="shared" si="52"/>
        <v>28</v>
      </c>
      <c r="U39" s="173">
        <f t="shared" si="53"/>
        <v>28</v>
      </c>
      <c r="V39" s="173">
        <f t="shared" si="54"/>
        <v>28</v>
      </c>
      <c r="W39" s="175">
        <f>IF(P39=2,'A.0_Tablas salariales SC'!$P$9,(IF(P39=6,'A.0_Tablas salariales SC'!$P$10,IF(P39=10,'A.0_Tablas salariales SC'!$P$11,IF(P39=14,'A.0_Tablas salariales SC'!$P$12,IF(P39=18,'A.0_Tablas salariales SC'!$P$13,IF(P39=20,'A.0_Tablas salariales SC'!$P$14,IF(P39=22,'A.0_Tablas salariales SC'!$P$15,IF(P39=24,'A.0_Tablas salariales SC'!$P$16,IF(P39=26,'A.0_Tablas salariales SC'!$P$17,IF(P39=28,'A.0_Tablas salariales SC'!$P$18,0)))))))))))</f>
        <v>446.8</v>
      </c>
      <c r="X39" s="175">
        <f>IF(Q39=2,'A.0_Tablas salariales SC'!$P$36,(IF(Q39=6,'A.0_Tablas salariales SC'!$P$37,IF(Q39=10,'A.0_Tablas salariales SC'!$P$38,IF(Q39=14,'A.0_Tablas salariales SC'!$P$39,IF(Q39=18,'A.0_Tablas salariales SC'!$P$40,IF(Q39=20,'A.0_Tablas salariales SC'!$P$41,IF(Q39=22,'A.0_Tablas salariales SC'!$P$42,IF(Q39=24,'A.0_Tablas salariales SC'!$P$43,IF(Q39=26,'A.0_Tablas salariales SC'!$P$44,IF(Q39=28,'A.0_Tablas salariales SC'!$P$45,0)))))))))))</f>
        <v>462.44</v>
      </c>
      <c r="Y39" s="175">
        <f>IF(R39=2,'A.0_Tablas salariales SC'!$P$63,(IF(R39=6,'A.0_Tablas salariales SC'!$P$64,IF(R39=10,'A.0_Tablas salariales SC'!$P$65,IF(R39=14,'A.0_Tablas salariales SC'!$P$66,IF(R39=18,'A.0_Tablas salariales SC'!$P$67,IF(R39=20,'A.0_Tablas salariales SC'!$P$68,IF(R39=22,'A.0_Tablas salariales SC'!$P$69,IF(R39=24,'A.0_Tablas salariales SC'!$P$70,IF(R39=26,'A.0_Tablas salariales SC'!$P$71,IF(R39=28,'A.0_Tablas salariales SC'!$P$72,0)))))))))))</f>
        <v>480.93</v>
      </c>
      <c r="Z39" s="175">
        <f>IF(S39=2,'A.0_Tablas salariales SC'!$P$90,(IF(S39=6,'A.0_Tablas salariales SC'!$P$91,IF(S39=10,'A.0_Tablas salariales SC'!$P$92,IF(S39=14,'A.0_Tablas salariales SC'!$P$93,IF(S39=18,'A.0_Tablas salariales SC'!$P$94,IF(S39=20,'A.0_Tablas salariales SC'!$P$95,IF(S39=22,'A.0_Tablas salariales SC'!$P$96,IF(S39=24,'A.0_Tablas salariales SC'!$P$97,IF(S39=26,'A.0_Tablas salariales SC'!$P$98,IF(S39=28,'A.0_Tablas salariales SC'!$P$99,0)))))))))))</f>
        <v>502.58</v>
      </c>
      <c r="AA39" s="175">
        <f>IF(T39=2,'A.0_Tablas salariales SC'!$P$117,(IF(T39=6,'A.0_Tablas salariales SC'!$P$118,IF(T39=10,'A.0_Tablas salariales SC'!$P$119,IF(T39=14,'A.0_Tablas salariales SC'!$P$120,IF(T39=18,'A.0_Tablas salariales SC'!$P$121,IF(T39=20,'A.0_Tablas salariales SC'!$P$122,IF(T39=22,'A.0_Tablas salariales SC'!$P$123,IF(T39=24,'A.0_Tablas salariales SC'!$P$124,IF(T39=26,'A.0_Tablas salariales SC'!$P$125,IF(T39=28,'A.0_Tablas salariales SC'!$P$126,0)))))))))))</f>
        <v>527.70000000000005</v>
      </c>
      <c r="AB39" s="175">
        <f>IF(U39=2,'A.0_Tablas salariales SC'!$P$145,(IF(U39=6,'A.0_Tablas salariales SC'!$P$146,IF(U39=10,'A.0_Tablas salariales SC'!$P$147,IF(U39=14,'A.0_Tablas salariales SC'!$P$148,IF(U39=18,'A.0_Tablas salariales SC'!$P$149,IF(U39=20,'A.0_Tablas salariales SC'!$P$150,IF(U39=22,'A.0_Tablas salariales SC'!$P$151,IF(U39=24,'A.0_Tablas salariales SC'!$P$152,IF(U39=26,'A.0_Tablas salariales SC'!$P$153,IF(U39=28,'A.0_Tablas salariales SC'!$P$154,0)))))))))))</f>
        <v>543.53100000000006</v>
      </c>
      <c r="AC39" s="175">
        <f>IF(V39=2,'A.0_Tablas salariales SC'!$P$173,(IF(V39=6,'A.0_Tablas salariales SC'!$P$174,IF(V39=10,'A.0_Tablas salariales SC'!$P$175,IF(V39=14,'A.0_Tablas salariales SC'!$P$176,IF(V39=18,'A.0_Tablas salariales SC'!$P$177,IF(V39=20,'A.0_Tablas salariales SC'!$P$178,IF(V39=22,'A.0_Tablas salariales SC'!$P$179,IF(V39=24,'A.0_Tablas salariales SC'!$P$180,IF(V39=26,'A.0_Tablas salariales SC'!$P$181,IF(V39=28,'A.0_Tablas salariales SC'!$P$182,0)))))))))))</f>
        <v>559.83693000000005</v>
      </c>
    </row>
    <row r="40" spans="1:29">
      <c r="A40" s="508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2">
        <f t="shared" si="55"/>
        <v>1900</v>
      </c>
      <c r="G40" s="173">
        <f t="shared" si="40"/>
        <v>2026</v>
      </c>
      <c r="H40" s="173">
        <f t="shared" si="40"/>
        <v>2032</v>
      </c>
      <c r="I40" s="173">
        <f t="shared" si="41"/>
        <v>126</v>
      </c>
      <c r="J40" s="173">
        <f t="shared" si="42"/>
        <v>127</v>
      </c>
      <c r="K40" s="173">
        <f t="shared" si="43"/>
        <v>128</v>
      </c>
      <c r="L40" s="173">
        <f t="shared" si="44"/>
        <v>129</v>
      </c>
      <c r="M40" s="173">
        <f t="shared" si="45"/>
        <v>130</v>
      </c>
      <c r="N40" s="173">
        <f t="shared" si="46"/>
        <v>131</v>
      </c>
      <c r="O40" s="173">
        <f t="shared" si="47"/>
        <v>132</v>
      </c>
      <c r="P40" s="173">
        <f t="shared" si="48"/>
        <v>28</v>
      </c>
      <c r="Q40" s="173">
        <f t="shared" si="49"/>
        <v>28</v>
      </c>
      <c r="R40" s="173">
        <f t="shared" si="50"/>
        <v>28</v>
      </c>
      <c r="S40" s="173">
        <f t="shared" si="51"/>
        <v>28</v>
      </c>
      <c r="T40" s="173">
        <f t="shared" si="52"/>
        <v>28</v>
      </c>
      <c r="U40" s="173">
        <f t="shared" si="53"/>
        <v>28</v>
      </c>
      <c r="V40" s="173">
        <f t="shared" si="54"/>
        <v>28</v>
      </c>
      <c r="W40" s="175">
        <f>IF(P40=2,'A.0_Tablas salariales SC'!$P$9,(IF(P40=6,'A.0_Tablas salariales SC'!$P$10,IF(P40=10,'A.0_Tablas salariales SC'!$P$11,IF(P40=14,'A.0_Tablas salariales SC'!$P$12,IF(P40=18,'A.0_Tablas salariales SC'!$P$13,IF(P40=20,'A.0_Tablas salariales SC'!$P$14,IF(P40=22,'A.0_Tablas salariales SC'!$P$15,IF(P40=24,'A.0_Tablas salariales SC'!$P$16,IF(P40=26,'A.0_Tablas salariales SC'!$P$17,IF(P40=28,'A.0_Tablas salariales SC'!$P$18,0)))))))))))</f>
        <v>446.8</v>
      </c>
      <c r="X40" s="175">
        <f>IF(Q40=2,'A.0_Tablas salariales SC'!$P$36,(IF(Q40=6,'A.0_Tablas salariales SC'!$P$37,IF(Q40=10,'A.0_Tablas salariales SC'!$P$38,IF(Q40=14,'A.0_Tablas salariales SC'!$P$39,IF(Q40=18,'A.0_Tablas salariales SC'!$P$40,IF(Q40=20,'A.0_Tablas salariales SC'!$P$41,IF(Q40=22,'A.0_Tablas salariales SC'!$P$42,IF(Q40=24,'A.0_Tablas salariales SC'!$P$43,IF(Q40=26,'A.0_Tablas salariales SC'!$P$44,IF(Q40=28,'A.0_Tablas salariales SC'!$P$45,0)))))))))))</f>
        <v>462.44</v>
      </c>
      <c r="Y40" s="175">
        <f>IF(R40=2,'A.0_Tablas salariales SC'!$P$63,(IF(R40=6,'A.0_Tablas salariales SC'!$P$64,IF(R40=10,'A.0_Tablas salariales SC'!$P$65,IF(R40=14,'A.0_Tablas salariales SC'!$P$66,IF(R40=18,'A.0_Tablas salariales SC'!$P$67,IF(R40=20,'A.0_Tablas salariales SC'!$P$68,IF(R40=22,'A.0_Tablas salariales SC'!$P$69,IF(R40=24,'A.0_Tablas salariales SC'!$P$70,IF(R40=26,'A.0_Tablas salariales SC'!$P$71,IF(R40=28,'A.0_Tablas salariales SC'!$P$72,0)))))))))))</f>
        <v>480.93</v>
      </c>
      <c r="Z40" s="175">
        <f>IF(S40=2,'A.0_Tablas salariales SC'!$P$90,(IF(S40=6,'A.0_Tablas salariales SC'!$P$91,IF(S40=10,'A.0_Tablas salariales SC'!$P$92,IF(S40=14,'A.0_Tablas salariales SC'!$P$93,IF(S40=18,'A.0_Tablas salariales SC'!$P$94,IF(S40=20,'A.0_Tablas salariales SC'!$P$95,IF(S40=22,'A.0_Tablas salariales SC'!$P$96,IF(S40=24,'A.0_Tablas salariales SC'!$P$97,IF(S40=26,'A.0_Tablas salariales SC'!$P$98,IF(S40=28,'A.0_Tablas salariales SC'!$P$99,0)))))))))))</f>
        <v>502.58</v>
      </c>
      <c r="AA40" s="175">
        <f>IF(T40=2,'A.0_Tablas salariales SC'!$P$117,(IF(T40=6,'A.0_Tablas salariales SC'!$P$118,IF(T40=10,'A.0_Tablas salariales SC'!$P$119,IF(T40=14,'A.0_Tablas salariales SC'!$P$120,IF(T40=18,'A.0_Tablas salariales SC'!$P$121,IF(T40=20,'A.0_Tablas salariales SC'!$P$122,IF(T40=22,'A.0_Tablas salariales SC'!$P$123,IF(T40=24,'A.0_Tablas salariales SC'!$P$124,IF(T40=26,'A.0_Tablas salariales SC'!$P$125,IF(T40=28,'A.0_Tablas salariales SC'!$P$126,0)))))))))))</f>
        <v>527.70000000000005</v>
      </c>
      <c r="AB40" s="175">
        <f>IF(U40=2,'A.0_Tablas salariales SC'!$P$145,(IF(U40=6,'A.0_Tablas salariales SC'!$P$146,IF(U40=10,'A.0_Tablas salariales SC'!$P$147,IF(U40=14,'A.0_Tablas salariales SC'!$P$148,IF(U40=18,'A.0_Tablas salariales SC'!$P$149,IF(U40=20,'A.0_Tablas salariales SC'!$P$150,IF(U40=22,'A.0_Tablas salariales SC'!$P$151,IF(U40=24,'A.0_Tablas salariales SC'!$P$152,IF(U40=26,'A.0_Tablas salariales SC'!$P$153,IF(U40=28,'A.0_Tablas salariales SC'!$P$154,0)))))))))))</f>
        <v>543.53100000000006</v>
      </c>
      <c r="AC40" s="175">
        <f>IF(V40=2,'A.0_Tablas salariales SC'!$P$173,(IF(V40=6,'A.0_Tablas salariales SC'!$P$174,IF(V40=10,'A.0_Tablas salariales SC'!$P$175,IF(V40=14,'A.0_Tablas salariales SC'!$P$176,IF(V40=18,'A.0_Tablas salariales SC'!$P$177,IF(V40=20,'A.0_Tablas salariales SC'!$P$178,IF(V40=22,'A.0_Tablas salariales SC'!$P$179,IF(V40=24,'A.0_Tablas salariales SC'!$P$180,IF(V40=26,'A.0_Tablas salariales SC'!$P$181,IF(V40=28,'A.0_Tablas salariales SC'!$P$182,0)))))))))))</f>
        <v>559.83693000000005</v>
      </c>
    </row>
    <row r="41" spans="1:29">
      <c r="A41" s="508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2">
        <f t="shared" si="55"/>
        <v>1900</v>
      </c>
      <c r="G41" s="173">
        <f t="shared" si="40"/>
        <v>2026</v>
      </c>
      <c r="H41" s="173">
        <f t="shared" si="40"/>
        <v>2032</v>
      </c>
      <c r="I41" s="173">
        <f t="shared" si="41"/>
        <v>126</v>
      </c>
      <c r="J41" s="173">
        <f t="shared" si="42"/>
        <v>127</v>
      </c>
      <c r="K41" s="173">
        <f t="shared" si="43"/>
        <v>128</v>
      </c>
      <c r="L41" s="173">
        <f t="shared" si="44"/>
        <v>129</v>
      </c>
      <c r="M41" s="173">
        <f t="shared" si="45"/>
        <v>130</v>
      </c>
      <c r="N41" s="173">
        <f t="shared" si="46"/>
        <v>131</v>
      </c>
      <c r="O41" s="173">
        <f t="shared" si="47"/>
        <v>132</v>
      </c>
      <c r="P41" s="173">
        <f t="shared" si="48"/>
        <v>28</v>
      </c>
      <c r="Q41" s="173">
        <f t="shared" si="49"/>
        <v>28</v>
      </c>
      <c r="R41" s="173">
        <f t="shared" si="50"/>
        <v>28</v>
      </c>
      <c r="S41" s="173">
        <f t="shared" si="51"/>
        <v>28</v>
      </c>
      <c r="T41" s="173">
        <f t="shared" si="52"/>
        <v>28</v>
      </c>
      <c r="U41" s="173">
        <f t="shared" si="53"/>
        <v>28</v>
      </c>
      <c r="V41" s="173">
        <f t="shared" si="54"/>
        <v>28</v>
      </c>
      <c r="W41" s="175">
        <f>IF(P41=2,'A.0_Tablas salariales SC'!$P$9,(IF(P41=6,'A.0_Tablas salariales SC'!$P$10,IF(P41=10,'A.0_Tablas salariales SC'!$P$11,IF(P41=14,'A.0_Tablas salariales SC'!$P$12,IF(P41=18,'A.0_Tablas salariales SC'!$P$13,IF(P41=20,'A.0_Tablas salariales SC'!$P$14,IF(P41=22,'A.0_Tablas salariales SC'!$P$15,IF(P41=24,'A.0_Tablas salariales SC'!$P$16,IF(P41=26,'A.0_Tablas salariales SC'!$P$17,IF(P41=28,'A.0_Tablas salariales SC'!$P$18,0)))))))))))</f>
        <v>446.8</v>
      </c>
      <c r="X41" s="175">
        <f>IF(Q41=2,'A.0_Tablas salariales SC'!$P$36,(IF(Q41=6,'A.0_Tablas salariales SC'!$P$37,IF(Q41=10,'A.0_Tablas salariales SC'!$P$38,IF(Q41=14,'A.0_Tablas salariales SC'!$P$39,IF(Q41=18,'A.0_Tablas salariales SC'!$P$40,IF(Q41=20,'A.0_Tablas salariales SC'!$P$41,IF(Q41=22,'A.0_Tablas salariales SC'!$P$42,IF(Q41=24,'A.0_Tablas salariales SC'!$P$43,IF(Q41=26,'A.0_Tablas salariales SC'!$P$44,IF(Q41=28,'A.0_Tablas salariales SC'!$P$45,0)))))))))))</f>
        <v>462.44</v>
      </c>
      <c r="Y41" s="175">
        <f>IF(R41=2,'A.0_Tablas salariales SC'!$P$63,(IF(R41=6,'A.0_Tablas salariales SC'!$P$64,IF(R41=10,'A.0_Tablas salariales SC'!$P$65,IF(R41=14,'A.0_Tablas salariales SC'!$P$66,IF(R41=18,'A.0_Tablas salariales SC'!$P$67,IF(R41=20,'A.0_Tablas salariales SC'!$P$68,IF(R41=22,'A.0_Tablas salariales SC'!$P$69,IF(R41=24,'A.0_Tablas salariales SC'!$P$70,IF(R41=26,'A.0_Tablas salariales SC'!$P$71,IF(R41=28,'A.0_Tablas salariales SC'!$P$72,0)))))))))))</f>
        <v>480.93</v>
      </c>
      <c r="Z41" s="175">
        <f>IF(S41=2,'A.0_Tablas salariales SC'!$P$90,(IF(S41=6,'A.0_Tablas salariales SC'!$P$91,IF(S41=10,'A.0_Tablas salariales SC'!$P$92,IF(S41=14,'A.0_Tablas salariales SC'!$P$93,IF(S41=18,'A.0_Tablas salariales SC'!$P$94,IF(S41=20,'A.0_Tablas salariales SC'!$P$95,IF(S41=22,'A.0_Tablas salariales SC'!$P$96,IF(S41=24,'A.0_Tablas salariales SC'!$P$97,IF(S41=26,'A.0_Tablas salariales SC'!$P$98,IF(S41=28,'A.0_Tablas salariales SC'!$P$99,0)))))))))))</f>
        <v>502.58</v>
      </c>
      <c r="AA41" s="175">
        <f>IF(T41=2,'A.0_Tablas salariales SC'!$P$117,(IF(T41=6,'A.0_Tablas salariales SC'!$P$118,IF(T41=10,'A.0_Tablas salariales SC'!$P$119,IF(T41=14,'A.0_Tablas salariales SC'!$P$120,IF(T41=18,'A.0_Tablas salariales SC'!$P$121,IF(T41=20,'A.0_Tablas salariales SC'!$P$122,IF(T41=22,'A.0_Tablas salariales SC'!$P$123,IF(T41=24,'A.0_Tablas salariales SC'!$P$124,IF(T41=26,'A.0_Tablas salariales SC'!$P$125,IF(T41=28,'A.0_Tablas salariales SC'!$P$126,0)))))))))))</f>
        <v>527.70000000000005</v>
      </c>
      <c r="AB41" s="175">
        <f>IF(U41=2,'A.0_Tablas salariales SC'!$P$145,(IF(U41=6,'A.0_Tablas salariales SC'!$P$146,IF(U41=10,'A.0_Tablas salariales SC'!$P$147,IF(U41=14,'A.0_Tablas salariales SC'!$P$148,IF(U41=18,'A.0_Tablas salariales SC'!$P$149,IF(U41=20,'A.0_Tablas salariales SC'!$P$150,IF(U41=22,'A.0_Tablas salariales SC'!$P$151,IF(U41=24,'A.0_Tablas salariales SC'!$P$152,IF(U41=26,'A.0_Tablas salariales SC'!$P$153,IF(U41=28,'A.0_Tablas salariales SC'!$P$154,0)))))))))))</f>
        <v>543.53100000000006</v>
      </c>
      <c r="AC41" s="175">
        <f>IF(V41=2,'A.0_Tablas salariales SC'!$P$173,(IF(V41=6,'A.0_Tablas salariales SC'!$P$174,IF(V41=10,'A.0_Tablas salariales SC'!$P$175,IF(V41=14,'A.0_Tablas salariales SC'!$P$176,IF(V41=18,'A.0_Tablas salariales SC'!$P$177,IF(V41=20,'A.0_Tablas salariales SC'!$P$178,IF(V41=22,'A.0_Tablas salariales SC'!$P$179,IF(V41=24,'A.0_Tablas salariales SC'!$P$180,IF(V41=26,'A.0_Tablas salariales SC'!$P$181,IF(V41=28,'A.0_Tablas salariales SC'!$P$182,0)))))))))))</f>
        <v>559.83693000000005</v>
      </c>
    </row>
    <row r="42" spans="1:29">
      <c r="A42" s="508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2">
        <f t="shared" si="55"/>
        <v>1900</v>
      </c>
      <c r="G42" s="173">
        <f t="shared" si="40"/>
        <v>2026</v>
      </c>
      <c r="H42" s="173">
        <f t="shared" si="40"/>
        <v>2032</v>
      </c>
      <c r="I42" s="173">
        <f t="shared" si="41"/>
        <v>126</v>
      </c>
      <c r="J42" s="173">
        <f t="shared" si="42"/>
        <v>127</v>
      </c>
      <c r="K42" s="173">
        <f t="shared" si="43"/>
        <v>128</v>
      </c>
      <c r="L42" s="173">
        <f t="shared" si="44"/>
        <v>129</v>
      </c>
      <c r="M42" s="173">
        <f t="shared" si="45"/>
        <v>130</v>
      </c>
      <c r="N42" s="173">
        <f t="shared" si="46"/>
        <v>131</v>
      </c>
      <c r="O42" s="173">
        <f t="shared" si="47"/>
        <v>132</v>
      </c>
      <c r="P42" s="173">
        <f t="shared" si="48"/>
        <v>28</v>
      </c>
      <c r="Q42" s="173">
        <f t="shared" si="49"/>
        <v>28</v>
      </c>
      <c r="R42" s="173">
        <f t="shared" si="50"/>
        <v>28</v>
      </c>
      <c r="S42" s="173">
        <f t="shared" si="51"/>
        <v>28</v>
      </c>
      <c r="T42" s="173">
        <f t="shared" si="52"/>
        <v>28</v>
      </c>
      <c r="U42" s="173">
        <f t="shared" si="53"/>
        <v>28</v>
      </c>
      <c r="V42" s="173">
        <f t="shared" si="54"/>
        <v>28</v>
      </c>
      <c r="W42" s="175">
        <f>IF(P42=2,'A.0_Tablas salariales SC'!$P$9,(IF(P42=6,'A.0_Tablas salariales SC'!$P$10,IF(P42=10,'A.0_Tablas salariales SC'!$P$11,IF(P42=14,'A.0_Tablas salariales SC'!$P$12,IF(P42=18,'A.0_Tablas salariales SC'!$P$13,IF(P42=20,'A.0_Tablas salariales SC'!$P$14,IF(P42=22,'A.0_Tablas salariales SC'!$P$15,IF(P42=24,'A.0_Tablas salariales SC'!$P$16,IF(P42=26,'A.0_Tablas salariales SC'!$P$17,IF(P42=28,'A.0_Tablas salariales SC'!$P$18,0)))))))))))</f>
        <v>446.8</v>
      </c>
      <c r="X42" s="175">
        <f>IF(Q42=2,'A.0_Tablas salariales SC'!$P$36,(IF(Q42=6,'A.0_Tablas salariales SC'!$P$37,IF(Q42=10,'A.0_Tablas salariales SC'!$P$38,IF(Q42=14,'A.0_Tablas salariales SC'!$P$39,IF(Q42=18,'A.0_Tablas salariales SC'!$P$40,IF(Q42=20,'A.0_Tablas salariales SC'!$P$41,IF(Q42=22,'A.0_Tablas salariales SC'!$P$42,IF(Q42=24,'A.0_Tablas salariales SC'!$P$43,IF(Q42=26,'A.0_Tablas salariales SC'!$P$44,IF(Q42=28,'A.0_Tablas salariales SC'!$P$45,0)))))))))))</f>
        <v>462.44</v>
      </c>
      <c r="Y42" s="175">
        <f>IF(R42=2,'A.0_Tablas salariales SC'!$P$63,(IF(R42=6,'A.0_Tablas salariales SC'!$P$64,IF(R42=10,'A.0_Tablas salariales SC'!$P$65,IF(R42=14,'A.0_Tablas salariales SC'!$P$66,IF(R42=18,'A.0_Tablas salariales SC'!$P$67,IF(R42=20,'A.0_Tablas salariales SC'!$P$68,IF(R42=22,'A.0_Tablas salariales SC'!$P$69,IF(R42=24,'A.0_Tablas salariales SC'!$P$70,IF(R42=26,'A.0_Tablas salariales SC'!$P$71,IF(R42=28,'A.0_Tablas salariales SC'!$P$72,0)))))))))))</f>
        <v>480.93</v>
      </c>
      <c r="Z42" s="175">
        <f>IF(S42=2,'A.0_Tablas salariales SC'!$P$90,(IF(S42=6,'A.0_Tablas salariales SC'!$P$91,IF(S42=10,'A.0_Tablas salariales SC'!$P$92,IF(S42=14,'A.0_Tablas salariales SC'!$P$93,IF(S42=18,'A.0_Tablas salariales SC'!$P$94,IF(S42=20,'A.0_Tablas salariales SC'!$P$95,IF(S42=22,'A.0_Tablas salariales SC'!$P$96,IF(S42=24,'A.0_Tablas salariales SC'!$P$97,IF(S42=26,'A.0_Tablas salariales SC'!$P$98,IF(S42=28,'A.0_Tablas salariales SC'!$P$99,0)))))))))))</f>
        <v>502.58</v>
      </c>
      <c r="AA42" s="175">
        <f>IF(T42=2,'A.0_Tablas salariales SC'!$P$117,(IF(T42=6,'A.0_Tablas salariales SC'!$P$118,IF(T42=10,'A.0_Tablas salariales SC'!$P$119,IF(T42=14,'A.0_Tablas salariales SC'!$P$120,IF(T42=18,'A.0_Tablas salariales SC'!$P$121,IF(T42=20,'A.0_Tablas salariales SC'!$P$122,IF(T42=22,'A.0_Tablas salariales SC'!$P$123,IF(T42=24,'A.0_Tablas salariales SC'!$P$124,IF(T42=26,'A.0_Tablas salariales SC'!$P$125,IF(T42=28,'A.0_Tablas salariales SC'!$P$126,0)))))))))))</f>
        <v>527.70000000000005</v>
      </c>
      <c r="AB42" s="175">
        <f>IF(U42=2,'A.0_Tablas salariales SC'!$P$145,(IF(U42=6,'A.0_Tablas salariales SC'!$P$146,IF(U42=10,'A.0_Tablas salariales SC'!$P$147,IF(U42=14,'A.0_Tablas salariales SC'!$P$148,IF(U42=18,'A.0_Tablas salariales SC'!$P$149,IF(U42=20,'A.0_Tablas salariales SC'!$P$150,IF(U42=22,'A.0_Tablas salariales SC'!$P$151,IF(U42=24,'A.0_Tablas salariales SC'!$P$152,IF(U42=26,'A.0_Tablas salariales SC'!$P$153,IF(U42=28,'A.0_Tablas salariales SC'!$P$154,0)))))))))))</f>
        <v>543.53100000000006</v>
      </c>
      <c r="AC42" s="175">
        <f>IF(V42=2,'A.0_Tablas salariales SC'!$P$173,(IF(V42=6,'A.0_Tablas salariales SC'!$P$174,IF(V42=10,'A.0_Tablas salariales SC'!$P$175,IF(V42=14,'A.0_Tablas salariales SC'!$P$176,IF(V42=18,'A.0_Tablas salariales SC'!$P$177,IF(V42=20,'A.0_Tablas salariales SC'!$P$178,IF(V42=22,'A.0_Tablas salariales SC'!$P$179,IF(V42=24,'A.0_Tablas salariales SC'!$P$180,IF(V42=26,'A.0_Tablas salariales SC'!$P$181,IF(V42=28,'A.0_Tablas salariales SC'!$P$182,0)))))))))))</f>
        <v>559.83693000000005</v>
      </c>
    </row>
    <row r="43" spans="1:29">
      <c r="A43" s="508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2">
        <f t="shared" si="55"/>
        <v>1900</v>
      </c>
      <c r="G43" s="173">
        <f t="shared" si="40"/>
        <v>2026</v>
      </c>
      <c r="H43" s="173">
        <f t="shared" si="40"/>
        <v>2032</v>
      </c>
      <c r="I43" s="173">
        <f t="shared" si="41"/>
        <v>126</v>
      </c>
      <c r="J43" s="173">
        <f t="shared" si="42"/>
        <v>127</v>
      </c>
      <c r="K43" s="173">
        <f t="shared" si="43"/>
        <v>128</v>
      </c>
      <c r="L43" s="173">
        <f t="shared" si="44"/>
        <v>129</v>
      </c>
      <c r="M43" s="173">
        <f t="shared" si="45"/>
        <v>130</v>
      </c>
      <c r="N43" s="173">
        <f t="shared" si="46"/>
        <v>131</v>
      </c>
      <c r="O43" s="173">
        <f t="shared" si="47"/>
        <v>132</v>
      </c>
      <c r="P43" s="173">
        <f t="shared" si="48"/>
        <v>28</v>
      </c>
      <c r="Q43" s="173">
        <f t="shared" si="49"/>
        <v>28</v>
      </c>
      <c r="R43" s="173">
        <f t="shared" si="50"/>
        <v>28</v>
      </c>
      <c r="S43" s="173">
        <f t="shared" si="51"/>
        <v>28</v>
      </c>
      <c r="T43" s="173">
        <f t="shared" si="52"/>
        <v>28</v>
      </c>
      <c r="U43" s="173">
        <f t="shared" si="53"/>
        <v>28</v>
      </c>
      <c r="V43" s="173">
        <f t="shared" si="54"/>
        <v>28</v>
      </c>
      <c r="W43" s="175">
        <f>IF(P43=2,'A.0_Tablas salariales SC'!$P$9,(IF(P43=6,'A.0_Tablas salariales SC'!$P$10,IF(P43=10,'A.0_Tablas salariales SC'!$P$11,IF(P43=14,'A.0_Tablas salariales SC'!$P$12,IF(P43=18,'A.0_Tablas salariales SC'!$P$13,IF(P43=20,'A.0_Tablas salariales SC'!$P$14,IF(P43=22,'A.0_Tablas salariales SC'!$P$15,IF(P43=24,'A.0_Tablas salariales SC'!$P$16,IF(P43=26,'A.0_Tablas salariales SC'!$P$17,IF(P43=28,'A.0_Tablas salariales SC'!$P$18,0)))))))))))</f>
        <v>446.8</v>
      </c>
      <c r="X43" s="175">
        <f>IF(Q43=2,'A.0_Tablas salariales SC'!$P$36,(IF(Q43=6,'A.0_Tablas salariales SC'!$P$37,IF(Q43=10,'A.0_Tablas salariales SC'!$P$38,IF(Q43=14,'A.0_Tablas salariales SC'!$P$39,IF(Q43=18,'A.0_Tablas salariales SC'!$P$40,IF(Q43=20,'A.0_Tablas salariales SC'!$P$41,IF(Q43=22,'A.0_Tablas salariales SC'!$P$42,IF(Q43=24,'A.0_Tablas salariales SC'!$P$43,IF(Q43=26,'A.0_Tablas salariales SC'!$P$44,IF(Q43=28,'A.0_Tablas salariales SC'!$P$45,0)))))))))))</f>
        <v>462.44</v>
      </c>
      <c r="Y43" s="175">
        <f>IF(R43=2,'A.0_Tablas salariales SC'!$P$63,(IF(R43=6,'A.0_Tablas salariales SC'!$P$64,IF(R43=10,'A.0_Tablas salariales SC'!$P$65,IF(R43=14,'A.0_Tablas salariales SC'!$P$66,IF(R43=18,'A.0_Tablas salariales SC'!$P$67,IF(R43=20,'A.0_Tablas salariales SC'!$P$68,IF(R43=22,'A.0_Tablas salariales SC'!$P$69,IF(R43=24,'A.0_Tablas salariales SC'!$P$70,IF(R43=26,'A.0_Tablas salariales SC'!$P$71,IF(R43=28,'A.0_Tablas salariales SC'!$P$72,0)))))))))))</f>
        <v>480.93</v>
      </c>
      <c r="Z43" s="175">
        <f>IF(S43=2,'A.0_Tablas salariales SC'!$P$90,(IF(S43=6,'A.0_Tablas salariales SC'!$P$91,IF(S43=10,'A.0_Tablas salariales SC'!$P$92,IF(S43=14,'A.0_Tablas salariales SC'!$P$93,IF(S43=18,'A.0_Tablas salariales SC'!$P$94,IF(S43=20,'A.0_Tablas salariales SC'!$P$95,IF(S43=22,'A.0_Tablas salariales SC'!$P$96,IF(S43=24,'A.0_Tablas salariales SC'!$P$97,IF(S43=26,'A.0_Tablas salariales SC'!$P$98,IF(S43=28,'A.0_Tablas salariales SC'!$P$99,0)))))))))))</f>
        <v>502.58</v>
      </c>
      <c r="AA43" s="175">
        <f>IF(T43=2,'A.0_Tablas salariales SC'!$P$117,(IF(T43=6,'A.0_Tablas salariales SC'!$P$118,IF(T43=10,'A.0_Tablas salariales SC'!$P$119,IF(T43=14,'A.0_Tablas salariales SC'!$P$120,IF(T43=18,'A.0_Tablas salariales SC'!$P$121,IF(T43=20,'A.0_Tablas salariales SC'!$P$122,IF(T43=22,'A.0_Tablas salariales SC'!$P$123,IF(T43=24,'A.0_Tablas salariales SC'!$P$124,IF(T43=26,'A.0_Tablas salariales SC'!$P$125,IF(T43=28,'A.0_Tablas salariales SC'!$P$126,0)))))))))))</f>
        <v>527.70000000000005</v>
      </c>
      <c r="AB43" s="175">
        <f>IF(U43=2,'A.0_Tablas salariales SC'!$P$145,(IF(U43=6,'A.0_Tablas salariales SC'!$P$146,IF(U43=10,'A.0_Tablas salariales SC'!$P$147,IF(U43=14,'A.0_Tablas salariales SC'!$P$148,IF(U43=18,'A.0_Tablas salariales SC'!$P$149,IF(U43=20,'A.0_Tablas salariales SC'!$P$150,IF(U43=22,'A.0_Tablas salariales SC'!$P$151,IF(U43=24,'A.0_Tablas salariales SC'!$P$152,IF(U43=26,'A.0_Tablas salariales SC'!$P$153,IF(U43=28,'A.0_Tablas salariales SC'!$P$154,0)))))))))))</f>
        <v>543.53100000000006</v>
      </c>
      <c r="AC43" s="175">
        <f>IF(V43=2,'A.0_Tablas salariales SC'!$P$173,(IF(V43=6,'A.0_Tablas salariales SC'!$P$174,IF(V43=10,'A.0_Tablas salariales SC'!$P$175,IF(V43=14,'A.0_Tablas salariales SC'!$P$176,IF(V43=18,'A.0_Tablas salariales SC'!$P$177,IF(V43=20,'A.0_Tablas salariales SC'!$P$178,IF(V43=22,'A.0_Tablas salariales SC'!$P$179,IF(V43=24,'A.0_Tablas salariales SC'!$P$180,IF(V43=26,'A.0_Tablas salariales SC'!$P$181,IF(V43=28,'A.0_Tablas salariales SC'!$P$182,0)))))))))))</f>
        <v>559.83693000000005</v>
      </c>
    </row>
    <row r="44" spans="1:29">
      <c r="A44" s="508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2">
        <f t="shared" si="55"/>
        <v>1900</v>
      </c>
      <c r="G44" s="173">
        <f t="shared" si="40"/>
        <v>2026</v>
      </c>
      <c r="H44" s="173">
        <f t="shared" si="40"/>
        <v>2032</v>
      </c>
      <c r="I44" s="173">
        <f t="shared" si="41"/>
        <v>126</v>
      </c>
      <c r="J44" s="173">
        <f t="shared" si="42"/>
        <v>127</v>
      </c>
      <c r="K44" s="173">
        <f t="shared" si="43"/>
        <v>128</v>
      </c>
      <c r="L44" s="173">
        <f t="shared" si="44"/>
        <v>129</v>
      </c>
      <c r="M44" s="173">
        <f t="shared" si="45"/>
        <v>130</v>
      </c>
      <c r="N44" s="173">
        <f t="shared" si="46"/>
        <v>131</v>
      </c>
      <c r="O44" s="173">
        <f t="shared" si="47"/>
        <v>132</v>
      </c>
      <c r="P44" s="173">
        <f t="shared" si="48"/>
        <v>28</v>
      </c>
      <c r="Q44" s="173">
        <f t="shared" si="49"/>
        <v>28</v>
      </c>
      <c r="R44" s="173">
        <f t="shared" si="50"/>
        <v>28</v>
      </c>
      <c r="S44" s="173">
        <f t="shared" si="51"/>
        <v>28</v>
      </c>
      <c r="T44" s="173">
        <f t="shared" si="52"/>
        <v>28</v>
      </c>
      <c r="U44" s="173">
        <f t="shared" si="53"/>
        <v>28</v>
      </c>
      <c r="V44" s="173">
        <f t="shared" si="54"/>
        <v>28</v>
      </c>
      <c r="W44" s="175">
        <f>IF(P44=2,'A.0_Tablas salariales SC'!$P$9,(IF(P44=6,'A.0_Tablas salariales SC'!$P$10,IF(P44=10,'A.0_Tablas salariales SC'!$P$11,IF(P44=14,'A.0_Tablas salariales SC'!$P$12,IF(P44=18,'A.0_Tablas salariales SC'!$P$13,IF(P44=20,'A.0_Tablas salariales SC'!$P$14,IF(P44=22,'A.0_Tablas salariales SC'!$P$15,IF(P44=24,'A.0_Tablas salariales SC'!$P$16,IF(P44=26,'A.0_Tablas salariales SC'!$P$17,IF(P44=28,'A.0_Tablas salariales SC'!$P$18,0)))))))))))</f>
        <v>446.8</v>
      </c>
      <c r="X44" s="175">
        <f>IF(Q44=2,'A.0_Tablas salariales SC'!$P$36,(IF(Q44=6,'A.0_Tablas salariales SC'!$P$37,IF(Q44=10,'A.0_Tablas salariales SC'!$P$38,IF(Q44=14,'A.0_Tablas salariales SC'!$P$39,IF(Q44=18,'A.0_Tablas salariales SC'!$P$40,IF(Q44=20,'A.0_Tablas salariales SC'!$P$41,IF(Q44=22,'A.0_Tablas salariales SC'!$P$42,IF(Q44=24,'A.0_Tablas salariales SC'!$P$43,IF(Q44=26,'A.0_Tablas salariales SC'!$P$44,IF(Q44=28,'A.0_Tablas salariales SC'!$P$45,0)))))))))))</f>
        <v>462.44</v>
      </c>
      <c r="Y44" s="175">
        <f>IF(R44=2,'A.0_Tablas salariales SC'!$P$63,(IF(R44=6,'A.0_Tablas salariales SC'!$P$64,IF(R44=10,'A.0_Tablas salariales SC'!$P$65,IF(R44=14,'A.0_Tablas salariales SC'!$P$66,IF(R44=18,'A.0_Tablas salariales SC'!$P$67,IF(R44=20,'A.0_Tablas salariales SC'!$P$68,IF(R44=22,'A.0_Tablas salariales SC'!$P$69,IF(R44=24,'A.0_Tablas salariales SC'!$P$70,IF(R44=26,'A.0_Tablas salariales SC'!$P$71,IF(R44=28,'A.0_Tablas salariales SC'!$P$72,0)))))))))))</f>
        <v>480.93</v>
      </c>
      <c r="Z44" s="175">
        <f>IF(S44=2,'A.0_Tablas salariales SC'!$P$90,(IF(S44=6,'A.0_Tablas salariales SC'!$P$91,IF(S44=10,'A.0_Tablas salariales SC'!$P$92,IF(S44=14,'A.0_Tablas salariales SC'!$P$93,IF(S44=18,'A.0_Tablas salariales SC'!$P$94,IF(S44=20,'A.0_Tablas salariales SC'!$P$95,IF(S44=22,'A.0_Tablas salariales SC'!$P$96,IF(S44=24,'A.0_Tablas salariales SC'!$P$97,IF(S44=26,'A.0_Tablas salariales SC'!$P$98,IF(S44=28,'A.0_Tablas salariales SC'!$P$99,0)))))))))))</f>
        <v>502.58</v>
      </c>
      <c r="AA44" s="175">
        <f>IF(T44=2,'A.0_Tablas salariales SC'!$P$117,(IF(T44=6,'A.0_Tablas salariales SC'!$P$118,IF(T44=10,'A.0_Tablas salariales SC'!$P$119,IF(T44=14,'A.0_Tablas salariales SC'!$P$120,IF(T44=18,'A.0_Tablas salariales SC'!$P$121,IF(T44=20,'A.0_Tablas salariales SC'!$P$122,IF(T44=22,'A.0_Tablas salariales SC'!$P$123,IF(T44=24,'A.0_Tablas salariales SC'!$P$124,IF(T44=26,'A.0_Tablas salariales SC'!$P$125,IF(T44=28,'A.0_Tablas salariales SC'!$P$126,0)))))))))))</f>
        <v>527.70000000000005</v>
      </c>
      <c r="AB44" s="175">
        <f>IF(U44=2,'A.0_Tablas salariales SC'!$P$145,(IF(U44=6,'A.0_Tablas salariales SC'!$P$146,IF(U44=10,'A.0_Tablas salariales SC'!$P$147,IF(U44=14,'A.0_Tablas salariales SC'!$P$148,IF(U44=18,'A.0_Tablas salariales SC'!$P$149,IF(U44=20,'A.0_Tablas salariales SC'!$P$150,IF(U44=22,'A.0_Tablas salariales SC'!$P$151,IF(U44=24,'A.0_Tablas salariales SC'!$P$152,IF(U44=26,'A.0_Tablas salariales SC'!$P$153,IF(U44=28,'A.0_Tablas salariales SC'!$P$154,0)))))))))))</f>
        <v>543.53100000000006</v>
      </c>
      <c r="AC44" s="175">
        <f>IF(V44=2,'A.0_Tablas salariales SC'!$P$173,(IF(V44=6,'A.0_Tablas salariales SC'!$P$174,IF(V44=10,'A.0_Tablas salariales SC'!$P$175,IF(V44=14,'A.0_Tablas salariales SC'!$P$176,IF(V44=18,'A.0_Tablas salariales SC'!$P$177,IF(V44=20,'A.0_Tablas salariales SC'!$P$178,IF(V44=22,'A.0_Tablas salariales SC'!$P$179,IF(V44=24,'A.0_Tablas salariales SC'!$P$180,IF(V44=26,'A.0_Tablas salariales SC'!$P$181,IF(V44=28,'A.0_Tablas salariales SC'!$P$182,0)))))))))))</f>
        <v>559.83693000000005</v>
      </c>
    </row>
    <row r="45" spans="1:29">
      <c r="A45" s="508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2">
        <f t="shared" si="55"/>
        <v>1900</v>
      </c>
      <c r="G45" s="173">
        <f t="shared" si="40"/>
        <v>2026</v>
      </c>
      <c r="H45" s="173">
        <f t="shared" si="40"/>
        <v>2032</v>
      </c>
      <c r="I45" s="173">
        <f t="shared" si="41"/>
        <v>126</v>
      </c>
      <c r="J45" s="173">
        <f t="shared" si="42"/>
        <v>127</v>
      </c>
      <c r="K45" s="173">
        <f t="shared" si="43"/>
        <v>128</v>
      </c>
      <c r="L45" s="173">
        <f t="shared" si="44"/>
        <v>129</v>
      </c>
      <c r="M45" s="173">
        <f t="shared" si="45"/>
        <v>130</v>
      </c>
      <c r="N45" s="173">
        <f t="shared" si="46"/>
        <v>131</v>
      </c>
      <c r="O45" s="173">
        <f t="shared" si="47"/>
        <v>132</v>
      </c>
      <c r="P45" s="173">
        <f t="shared" si="48"/>
        <v>28</v>
      </c>
      <c r="Q45" s="173">
        <f t="shared" si="49"/>
        <v>28</v>
      </c>
      <c r="R45" s="173">
        <f t="shared" si="50"/>
        <v>28</v>
      </c>
      <c r="S45" s="173">
        <f t="shared" si="51"/>
        <v>28</v>
      </c>
      <c r="T45" s="173">
        <f t="shared" si="52"/>
        <v>28</v>
      </c>
      <c r="U45" s="173">
        <f t="shared" si="53"/>
        <v>28</v>
      </c>
      <c r="V45" s="173">
        <f t="shared" si="54"/>
        <v>28</v>
      </c>
      <c r="W45" s="175">
        <f>IF(P45=2,'A.0_Tablas salariales SC'!$P$9,(IF(P45=6,'A.0_Tablas salariales SC'!$P$10,IF(P45=10,'A.0_Tablas salariales SC'!$P$11,IF(P45=14,'A.0_Tablas salariales SC'!$P$12,IF(P45=18,'A.0_Tablas salariales SC'!$P$13,IF(P45=20,'A.0_Tablas salariales SC'!$P$14,IF(P45=22,'A.0_Tablas salariales SC'!$P$15,IF(P45=24,'A.0_Tablas salariales SC'!$P$16,IF(P45=26,'A.0_Tablas salariales SC'!$P$17,IF(P45=28,'A.0_Tablas salariales SC'!$P$18,0)))))))))))</f>
        <v>446.8</v>
      </c>
      <c r="X45" s="175">
        <f>IF(Q45=2,'A.0_Tablas salariales SC'!$P$36,(IF(Q45=6,'A.0_Tablas salariales SC'!$P$37,IF(Q45=10,'A.0_Tablas salariales SC'!$P$38,IF(Q45=14,'A.0_Tablas salariales SC'!$P$39,IF(Q45=18,'A.0_Tablas salariales SC'!$P$40,IF(Q45=20,'A.0_Tablas salariales SC'!$P$41,IF(Q45=22,'A.0_Tablas salariales SC'!$P$42,IF(Q45=24,'A.0_Tablas salariales SC'!$P$43,IF(Q45=26,'A.0_Tablas salariales SC'!$P$44,IF(Q45=28,'A.0_Tablas salariales SC'!$P$45,0)))))))))))</f>
        <v>462.44</v>
      </c>
      <c r="Y45" s="175">
        <f>IF(R45=2,'A.0_Tablas salariales SC'!$P$63,(IF(R45=6,'A.0_Tablas salariales SC'!$P$64,IF(R45=10,'A.0_Tablas salariales SC'!$P$65,IF(R45=14,'A.0_Tablas salariales SC'!$P$66,IF(R45=18,'A.0_Tablas salariales SC'!$P$67,IF(R45=20,'A.0_Tablas salariales SC'!$P$68,IF(R45=22,'A.0_Tablas salariales SC'!$P$69,IF(R45=24,'A.0_Tablas salariales SC'!$P$70,IF(R45=26,'A.0_Tablas salariales SC'!$P$71,IF(R45=28,'A.0_Tablas salariales SC'!$P$72,0)))))))))))</f>
        <v>480.93</v>
      </c>
      <c r="Z45" s="175">
        <f>IF(S45=2,'A.0_Tablas salariales SC'!$P$90,(IF(S45=6,'A.0_Tablas salariales SC'!$P$91,IF(S45=10,'A.0_Tablas salariales SC'!$P$92,IF(S45=14,'A.0_Tablas salariales SC'!$P$93,IF(S45=18,'A.0_Tablas salariales SC'!$P$94,IF(S45=20,'A.0_Tablas salariales SC'!$P$95,IF(S45=22,'A.0_Tablas salariales SC'!$P$96,IF(S45=24,'A.0_Tablas salariales SC'!$P$97,IF(S45=26,'A.0_Tablas salariales SC'!$P$98,IF(S45=28,'A.0_Tablas salariales SC'!$P$99,0)))))))))))</f>
        <v>502.58</v>
      </c>
      <c r="AA45" s="175">
        <f>IF(T45=2,'A.0_Tablas salariales SC'!$P$117,(IF(T45=6,'A.0_Tablas salariales SC'!$P$118,IF(T45=10,'A.0_Tablas salariales SC'!$P$119,IF(T45=14,'A.0_Tablas salariales SC'!$P$120,IF(T45=18,'A.0_Tablas salariales SC'!$P$121,IF(T45=20,'A.0_Tablas salariales SC'!$P$122,IF(T45=22,'A.0_Tablas salariales SC'!$P$123,IF(T45=24,'A.0_Tablas salariales SC'!$P$124,IF(T45=26,'A.0_Tablas salariales SC'!$P$125,IF(T45=28,'A.0_Tablas salariales SC'!$P$126,0)))))))))))</f>
        <v>527.70000000000005</v>
      </c>
      <c r="AB45" s="175">
        <f>IF(U45=2,'A.0_Tablas salariales SC'!$P$145,(IF(U45=6,'A.0_Tablas salariales SC'!$P$146,IF(U45=10,'A.0_Tablas salariales SC'!$P$147,IF(U45=14,'A.0_Tablas salariales SC'!$P$148,IF(U45=18,'A.0_Tablas salariales SC'!$P$149,IF(U45=20,'A.0_Tablas salariales SC'!$P$150,IF(U45=22,'A.0_Tablas salariales SC'!$P$151,IF(U45=24,'A.0_Tablas salariales SC'!$P$152,IF(U45=26,'A.0_Tablas salariales SC'!$P$153,IF(U45=28,'A.0_Tablas salariales SC'!$P$154,0)))))))))))</f>
        <v>543.53100000000006</v>
      </c>
      <c r="AC45" s="175">
        <f>IF(V45=2,'A.0_Tablas salariales SC'!$P$173,(IF(V45=6,'A.0_Tablas salariales SC'!$P$174,IF(V45=10,'A.0_Tablas salariales SC'!$P$175,IF(V45=14,'A.0_Tablas salariales SC'!$P$176,IF(V45=18,'A.0_Tablas salariales SC'!$P$177,IF(V45=20,'A.0_Tablas salariales SC'!$P$178,IF(V45=22,'A.0_Tablas salariales SC'!$P$179,IF(V45=24,'A.0_Tablas salariales SC'!$P$180,IF(V45=26,'A.0_Tablas salariales SC'!$P$181,IF(V45=28,'A.0_Tablas salariales SC'!$P$182,0)))))))))))</f>
        <v>559.83693000000005</v>
      </c>
    </row>
    <row r="46" spans="1:29">
      <c r="A46" s="508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2">
        <f t="shared" si="55"/>
        <v>1900</v>
      </c>
      <c r="G46" s="173">
        <f t="shared" ref="G46:H85" si="56">G$3</f>
        <v>2026</v>
      </c>
      <c r="H46" s="173">
        <f t="shared" si="56"/>
        <v>2032</v>
      </c>
      <c r="I46" s="173">
        <f t="shared" si="41"/>
        <v>126</v>
      </c>
      <c r="J46" s="173">
        <f t="shared" si="42"/>
        <v>127</v>
      </c>
      <c r="K46" s="173">
        <f t="shared" si="43"/>
        <v>128</v>
      </c>
      <c r="L46" s="173">
        <f t="shared" si="44"/>
        <v>129</v>
      </c>
      <c r="M46" s="173">
        <f t="shared" si="45"/>
        <v>130</v>
      </c>
      <c r="N46" s="173">
        <f t="shared" si="46"/>
        <v>131</v>
      </c>
      <c r="O46" s="173">
        <f t="shared" si="47"/>
        <v>132</v>
      </c>
      <c r="P46" s="173">
        <f t="shared" si="48"/>
        <v>28</v>
      </c>
      <c r="Q46" s="173">
        <f t="shared" si="49"/>
        <v>28</v>
      </c>
      <c r="R46" s="173">
        <f t="shared" si="50"/>
        <v>28</v>
      </c>
      <c r="S46" s="173">
        <f t="shared" si="51"/>
        <v>28</v>
      </c>
      <c r="T46" s="173">
        <f t="shared" si="52"/>
        <v>28</v>
      </c>
      <c r="U46" s="173">
        <f t="shared" si="53"/>
        <v>28</v>
      </c>
      <c r="V46" s="173">
        <f t="shared" si="54"/>
        <v>28</v>
      </c>
      <c r="W46" s="175">
        <f>IF(P46=2,'A.0_Tablas salariales SC'!$P$9,(IF(P46=6,'A.0_Tablas salariales SC'!$P$10,IF(P46=10,'A.0_Tablas salariales SC'!$P$11,IF(P46=14,'A.0_Tablas salariales SC'!$P$12,IF(P46=18,'A.0_Tablas salariales SC'!$P$13,IF(P46=20,'A.0_Tablas salariales SC'!$P$14,IF(P46=22,'A.0_Tablas salariales SC'!$P$15,IF(P46=24,'A.0_Tablas salariales SC'!$P$16,IF(P46=26,'A.0_Tablas salariales SC'!$P$17,IF(P46=28,'A.0_Tablas salariales SC'!$P$18,0)))))))))))</f>
        <v>446.8</v>
      </c>
      <c r="X46" s="175">
        <f>IF(Q46=2,'A.0_Tablas salariales SC'!$P$36,(IF(Q46=6,'A.0_Tablas salariales SC'!$P$37,IF(Q46=10,'A.0_Tablas salariales SC'!$P$38,IF(Q46=14,'A.0_Tablas salariales SC'!$P$39,IF(Q46=18,'A.0_Tablas salariales SC'!$P$40,IF(Q46=20,'A.0_Tablas salariales SC'!$P$41,IF(Q46=22,'A.0_Tablas salariales SC'!$P$42,IF(Q46=24,'A.0_Tablas salariales SC'!$P$43,IF(Q46=26,'A.0_Tablas salariales SC'!$P$44,IF(Q46=28,'A.0_Tablas salariales SC'!$P$45,0)))))))))))</f>
        <v>462.44</v>
      </c>
      <c r="Y46" s="175">
        <f>IF(R46=2,'A.0_Tablas salariales SC'!$P$63,(IF(R46=6,'A.0_Tablas salariales SC'!$P$64,IF(R46=10,'A.0_Tablas salariales SC'!$P$65,IF(R46=14,'A.0_Tablas salariales SC'!$P$66,IF(R46=18,'A.0_Tablas salariales SC'!$P$67,IF(R46=20,'A.0_Tablas salariales SC'!$P$68,IF(R46=22,'A.0_Tablas salariales SC'!$P$69,IF(R46=24,'A.0_Tablas salariales SC'!$P$70,IF(R46=26,'A.0_Tablas salariales SC'!$P$71,IF(R46=28,'A.0_Tablas salariales SC'!$P$72,0)))))))))))</f>
        <v>480.93</v>
      </c>
      <c r="Z46" s="175">
        <f>IF(S46=2,'A.0_Tablas salariales SC'!$P$90,(IF(S46=6,'A.0_Tablas salariales SC'!$P$91,IF(S46=10,'A.0_Tablas salariales SC'!$P$92,IF(S46=14,'A.0_Tablas salariales SC'!$P$93,IF(S46=18,'A.0_Tablas salariales SC'!$P$94,IF(S46=20,'A.0_Tablas salariales SC'!$P$95,IF(S46=22,'A.0_Tablas salariales SC'!$P$96,IF(S46=24,'A.0_Tablas salariales SC'!$P$97,IF(S46=26,'A.0_Tablas salariales SC'!$P$98,IF(S46=28,'A.0_Tablas salariales SC'!$P$99,0)))))))))))</f>
        <v>502.58</v>
      </c>
      <c r="AA46" s="175">
        <f>IF(T46=2,'A.0_Tablas salariales SC'!$P$117,(IF(T46=6,'A.0_Tablas salariales SC'!$P$118,IF(T46=10,'A.0_Tablas salariales SC'!$P$119,IF(T46=14,'A.0_Tablas salariales SC'!$P$120,IF(T46=18,'A.0_Tablas salariales SC'!$P$121,IF(T46=20,'A.0_Tablas salariales SC'!$P$122,IF(T46=22,'A.0_Tablas salariales SC'!$P$123,IF(T46=24,'A.0_Tablas salariales SC'!$P$124,IF(T46=26,'A.0_Tablas salariales SC'!$P$125,IF(T46=28,'A.0_Tablas salariales SC'!$P$126,0)))))))))))</f>
        <v>527.70000000000005</v>
      </c>
      <c r="AB46" s="175">
        <f>IF(U46=2,'A.0_Tablas salariales SC'!$P$145,(IF(U46=6,'A.0_Tablas salariales SC'!$P$146,IF(U46=10,'A.0_Tablas salariales SC'!$P$147,IF(U46=14,'A.0_Tablas salariales SC'!$P$148,IF(U46=18,'A.0_Tablas salariales SC'!$P$149,IF(U46=20,'A.0_Tablas salariales SC'!$P$150,IF(U46=22,'A.0_Tablas salariales SC'!$P$151,IF(U46=24,'A.0_Tablas salariales SC'!$P$152,IF(U46=26,'A.0_Tablas salariales SC'!$P$153,IF(U46=28,'A.0_Tablas salariales SC'!$P$154,0)))))))))))</f>
        <v>543.53100000000006</v>
      </c>
      <c r="AC46" s="175">
        <f>IF(V46=2,'A.0_Tablas salariales SC'!$P$173,(IF(V46=6,'A.0_Tablas salariales SC'!$P$174,IF(V46=10,'A.0_Tablas salariales SC'!$P$175,IF(V46=14,'A.0_Tablas salariales SC'!$P$176,IF(V46=18,'A.0_Tablas salariales SC'!$P$177,IF(V46=20,'A.0_Tablas salariales SC'!$P$178,IF(V46=22,'A.0_Tablas salariales SC'!$P$179,IF(V46=24,'A.0_Tablas salariales SC'!$P$180,IF(V46=26,'A.0_Tablas salariales SC'!$P$181,IF(V46=28,'A.0_Tablas salariales SC'!$P$182,0)))))))))))</f>
        <v>559.83693000000005</v>
      </c>
    </row>
    <row r="47" spans="1:29">
      <c r="A47" s="508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2">
        <f t="shared" si="55"/>
        <v>1900</v>
      </c>
      <c r="G47" s="173">
        <f t="shared" si="56"/>
        <v>2026</v>
      </c>
      <c r="H47" s="173">
        <f t="shared" si="56"/>
        <v>2032</v>
      </c>
      <c r="I47" s="173">
        <f t="shared" si="41"/>
        <v>126</v>
      </c>
      <c r="J47" s="173">
        <f t="shared" si="42"/>
        <v>127</v>
      </c>
      <c r="K47" s="173">
        <f t="shared" si="43"/>
        <v>128</v>
      </c>
      <c r="L47" s="173">
        <f t="shared" si="44"/>
        <v>129</v>
      </c>
      <c r="M47" s="173">
        <f t="shared" si="45"/>
        <v>130</v>
      </c>
      <c r="N47" s="173">
        <f t="shared" si="46"/>
        <v>131</v>
      </c>
      <c r="O47" s="173">
        <f t="shared" si="47"/>
        <v>132</v>
      </c>
      <c r="P47" s="173">
        <f t="shared" si="48"/>
        <v>28</v>
      </c>
      <c r="Q47" s="173">
        <f t="shared" si="49"/>
        <v>28</v>
      </c>
      <c r="R47" s="173">
        <f t="shared" si="50"/>
        <v>28</v>
      </c>
      <c r="S47" s="173">
        <f t="shared" si="51"/>
        <v>28</v>
      </c>
      <c r="T47" s="173">
        <f t="shared" si="52"/>
        <v>28</v>
      </c>
      <c r="U47" s="173">
        <f t="shared" si="53"/>
        <v>28</v>
      </c>
      <c r="V47" s="173">
        <f t="shared" si="54"/>
        <v>28</v>
      </c>
      <c r="W47" s="175">
        <f>IF(P47=2,'A.0_Tablas salariales SC'!$P$9,(IF(P47=6,'A.0_Tablas salariales SC'!$P$10,IF(P47=10,'A.0_Tablas salariales SC'!$P$11,IF(P47=14,'A.0_Tablas salariales SC'!$P$12,IF(P47=18,'A.0_Tablas salariales SC'!$P$13,IF(P47=20,'A.0_Tablas salariales SC'!$P$14,IF(P47=22,'A.0_Tablas salariales SC'!$P$15,IF(P47=24,'A.0_Tablas salariales SC'!$P$16,IF(P47=26,'A.0_Tablas salariales SC'!$P$17,IF(P47=28,'A.0_Tablas salariales SC'!$P$18,0)))))))))))</f>
        <v>446.8</v>
      </c>
      <c r="X47" s="175">
        <f>IF(Q47=2,'A.0_Tablas salariales SC'!$P$36,(IF(Q47=6,'A.0_Tablas salariales SC'!$P$37,IF(Q47=10,'A.0_Tablas salariales SC'!$P$38,IF(Q47=14,'A.0_Tablas salariales SC'!$P$39,IF(Q47=18,'A.0_Tablas salariales SC'!$P$40,IF(Q47=20,'A.0_Tablas salariales SC'!$P$41,IF(Q47=22,'A.0_Tablas salariales SC'!$P$42,IF(Q47=24,'A.0_Tablas salariales SC'!$P$43,IF(Q47=26,'A.0_Tablas salariales SC'!$P$44,IF(Q47=28,'A.0_Tablas salariales SC'!$P$45,0)))))))))))</f>
        <v>462.44</v>
      </c>
      <c r="Y47" s="175">
        <f>IF(R47=2,'A.0_Tablas salariales SC'!$P$63,(IF(R47=6,'A.0_Tablas salariales SC'!$P$64,IF(R47=10,'A.0_Tablas salariales SC'!$P$65,IF(R47=14,'A.0_Tablas salariales SC'!$P$66,IF(R47=18,'A.0_Tablas salariales SC'!$P$67,IF(R47=20,'A.0_Tablas salariales SC'!$P$68,IF(R47=22,'A.0_Tablas salariales SC'!$P$69,IF(R47=24,'A.0_Tablas salariales SC'!$P$70,IF(R47=26,'A.0_Tablas salariales SC'!$P$71,IF(R47=28,'A.0_Tablas salariales SC'!$P$72,0)))))))))))</f>
        <v>480.93</v>
      </c>
      <c r="Z47" s="175">
        <f>IF(S47=2,'A.0_Tablas salariales SC'!$P$90,(IF(S47=6,'A.0_Tablas salariales SC'!$P$91,IF(S47=10,'A.0_Tablas salariales SC'!$P$92,IF(S47=14,'A.0_Tablas salariales SC'!$P$93,IF(S47=18,'A.0_Tablas salariales SC'!$P$94,IF(S47=20,'A.0_Tablas salariales SC'!$P$95,IF(S47=22,'A.0_Tablas salariales SC'!$P$96,IF(S47=24,'A.0_Tablas salariales SC'!$P$97,IF(S47=26,'A.0_Tablas salariales SC'!$P$98,IF(S47=28,'A.0_Tablas salariales SC'!$P$99,0)))))))))))</f>
        <v>502.58</v>
      </c>
      <c r="AA47" s="175">
        <f>IF(T47=2,'A.0_Tablas salariales SC'!$P$117,(IF(T47=6,'A.0_Tablas salariales SC'!$P$118,IF(T47=10,'A.0_Tablas salariales SC'!$P$119,IF(T47=14,'A.0_Tablas salariales SC'!$P$120,IF(T47=18,'A.0_Tablas salariales SC'!$P$121,IF(T47=20,'A.0_Tablas salariales SC'!$P$122,IF(T47=22,'A.0_Tablas salariales SC'!$P$123,IF(T47=24,'A.0_Tablas salariales SC'!$P$124,IF(T47=26,'A.0_Tablas salariales SC'!$P$125,IF(T47=28,'A.0_Tablas salariales SC'!$P$126,0)))))))))))</f>
        <v>527.70000000000005</v>
      </c>
      <c r="AB47" s="175">
        <f>IF(U47=2,'A.0_Tablas salariales SC'!$P$145,(IF(U47=6,'A.0_Tablas salariales SC'!$P$146,IF(U47=10,'A.0_Tablas salariales SC'!$P$147,IF(U47=14,'A.0_Tablas salariales SC'!$P$148,IF(U47=18,'A.0_Tablas salariales SC'!$P$149,IF(U47=20,'A.0_Tablas salariales SC'!$P$150,IF(U47=22,'A.0_Tablas salariales SC'!$P$151,IF(U47=24,'A.0_Tablas salariales SC'!$P$152,IF(U47=26,'A.0_Tablas salariales SC'!$P$153,IF(U47=28,'A.0_Tablas salariales SC'!$P$154,0)))))))))))</f>
        <v>543.53100000000006</v>
      </c>
      <c r="AC47" s="175">
        <f>IF(V47=2,'A.0_Tablas salariales SC'!$P$173,(IF(V47=6,'A.0_Tablas salariales SC'!$P$174,IF(V47=10,'A.0_Tablas salariales SC'!$P$175,IF(V47=14,'A.0_Tablas salariales SC'!$P$176,IF(V47=18,'A.0_Tablas salariales SC'!$P$177,IF(V47=20,'A.0_Tablas salariales SC'!$P$178,IF(V47=22,'A.0_Tablas salariales SC'!$P$179,IF(V47=24,'A.0_Tablas salariales SC'!$P$180,IF(V47=26,'A.0_Tablas salariales SC'!$P$181,IF(V47=28,'A.0_Tablas salariales SC'!$P$182,0)))))))))))</f>
        <v>559.83693000000005</v>
      </c>
    </row>
    <row r="48" spans="1:29">
      <c r="A48" s="508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2">
        <f t="shared" si="55"/>
        <v>1900</v>
      </c>
      <c r="G48" s="173">
        <f t="shared" si="56"/>
        <v>2026</v>
      </c>
      <c r="H48" s="173">
        <f t="shared" si="56"/>
        <v>2032</v>
      </c>
      <c r="I48" s="173">
        <f t="shared" si="41"/>
        <v>126</v>
      </c>
      <c r="J48" s="173">
        <f t="shared" si="42"/>
        <v>127</v>
      </c>
      <c r="K48" s="173">
        <f t="shared" si="43"/>
        <v>128</v>
      </c>
      <c r="L48" s="173">
        <f t="shared" si="44"/>
        <v>129</v>
      </c>
      <c r="M48" s="173">
        <f t="shared" si="45"/>
        <v>130</v>
      </c>
      <c r="N48" s="173">
        <f t="shared" si="46"/>
        <v>131</v>
      </c>
      <c r="O48" s="173">
        <f t="shared" si="47"/>
        <v>132</v>
      </c>
      <c r="P48" s="173">
        <f t="shared" si="48"/>
        <v>28</v>
      </c>
      <c r="Q48" s="173">
        <f t="shared" si="49"/>
        <v>28</v>
      </c>
      <c r="R48" s="173">
        <f t="shared" si="50"/>
        <v>28</v>
      </c>
      <c r="S48" s="173">
        <f t="shared" si="51"/>
        <v>28</v>
      </c>
      <c r="T48" s="173">
        <f t="shared" si="52"/>
        <v>28</v>
      </c>
      <c r="U48" s="173">
        <f t="shared" si="53"/>
        <v>28</v>
      </c>
      <c r="V48" s="173">
        <f t="shared" si="54"/>
        <v>28</v>
      </c>
      <c r="W48" s="175">
        <f>IF(P48=2,'A.0_Tablas salariales SC'!$P$9,(IF(P48=6,'A.0_Tablas salariales SC'!$P$10,IF(P48=10,'A.0_Tablas salariales SC'!$P$11,IF(P48=14,'A.0_Tablas salariales SC'!$P$12,IF(P48=18,'A.0_Tablas salariales SC'!$P$13,IF(P48=20,'A.0_Tablas salariales SC'!$P$14,IF(P48=22,'A.0_Tablas salariales SC'!$P$15,IF(P48=24,'A.0_Tablas salariales SC'!$P$16,IF(P48=26,'A.0_Tablas salariales SC'!$P$17,IF(P48=28,'A.0_Tablas salariales SC'!$P$18,0)))))))))))</f>
        <v>446.8</v>
      </c>
      <c r="X48" s="175">
        <f>IF(Q48=2,'A.0_Tablas salariales SC'!$P$36,(IF(Q48=6,'A.0_Tablas salariales SC'!$P$37,IF(Q48=10,'A.0_Tablas salariales SC'!$P$38,IF(Q48=14,'A.0_Tablas salariales SC'!$P$39,IF(Q48=18,'A.0_Tablas salariales SC'!$P$40,IF(Q48=20,'A.0_Tablas salariales SC'!$P$41,IF(Q48=22,'A.0_Tablas salariales SC'!$P$42,IF(Q48=24,'A.0_Tablas salariales SC'!$P$43,IF(Q48=26,'A.0_Tablas salariales SC'!$P$44,IF(Q48=28,'A.0_Tablas salariales SC'!$P$45,0)))))))))))</f>
        <v>462.44</v>
      </c>
      <c r="Y48" s="175">
        <f>IF(R48=2,'A.0_Tablas salariales SC'!$P$63,(IF(R48=6,'A.0_Tablas salariales SC'!$P$64,IF(R48=10,'A.0_Tablas salariales SC'!$P$65,IF(R48=14,'A.0_Tablas salariales SC'!$P$66,IF(R48=18,'A.0_Tablas salariales SC'!$P$67,IF(R48=20,'A.0_Tablas salariales SC'!$P$68,IF(R48=22,'A.0_Tablas salariales SC'!$P$69,IF(R48=24,'A.0_Tablas salariales SC'!$P$70,IF(R48=26,'A.0_Tablas salariales SC'!$P$71,IF(R48=28,'A.0_Tablas salariales SC'!$P$72,0)))))))))))</f>
        <v>480.93</v>
      </c>
      <c r="Z48" s="175">
        <f>IF(S48=2,'A.0_Tablas salariales SC'!$P$90,(IF(S48=6,'A.0_Tablas salariales SC'!$P$91,IF(S48=10,'A.0_Tablas salariales SC'!$P$92,IF(S48=14,'A.0_Tablas salariales SC'!$P$93,IF(S48=18,'A.0_Tablas salariales SC'!$P$94,IF(S48=20,'A.0_Tablas salariales SC'!$P$95,IF(S48=22,'A.0_Tablas salariales SC'!$P$96,IF(S48=24,'A.0_Tablas salariales SC'!$P$97,IF(S48=26,'A.0_Tablas salariales SC'!$P$98,IF(S48=28,'A.0_Tablas salariales SC'!$P$99,0)))))))))))</f>
        <v>502.58</v>
      </c>
      <c r="AA48" s="175">
        <f>IF(T48=2,'A.0_Tablas salariales SC'!$P$117,(IF(T48=6,'A.0_Tablas salariales SC'!$P$118,IF(T48=10,'A.0_Tablas salariales SC'!$P$119,IF(T48=14,'A.0_Tablas salariales SC'!$P$120,IF(T48=18,'A.0_Tablas salariales SC'!$P$121,IF(T48=20,'A.0_Tablas salariales SC'!$P$122,IF(T48=22,'A.0_Tablas salariales SC'!$P$123,IF(T48=24,'A.0_Tablas salariales SC'!$P$124,IF(T48=26,'A.0_Tablas salariales SC'!$P$125,IF(T48=28,'A.0_Tablas salariales SC'!$P$126,0)))))))))))</f>
        <v>527.70000000000005</v>
      </c>
      <c r="AB48" s="175">
        <f>IF(U48=2,'A.0_Tablas salariales SC'!$P$145,(IF(U48=6,'A.0_Tablas salariales SC'!$P$146,IF(U48=10,'A.0_Tablas salariales SC'!$P$147,IF(U48=14,'A.0_Tablas salariales SC'!$P$148,IF(U48=18,'A.0_Tablas salariales SC'!$P$149,IF(U48=20,'A.0_Tablas salariales SC'!$P$150,IF(U48=22,'A.0_Tablas salariales SC'!$P$151,IF(U48=24,'A.0_Tablas salariales SC'!$P$152,IF(U48=26,'A.0_Tablas salariales SC'!$P$153,IF(U48=28,'A.0_Tablas salariales SC'!$P$154,0)))))))))))</f>
        <v>543.53100000000006</v>
      </c>
      <c r="AC48" s="175">
        <f>IF(V48=2,'A.0_Tablas salariales SC'!$P$173,(IF(V48=6,'A.0_Tablas salariales SC'!$P$174,IF(V48=10,'A.0_Tablas salariales SC'!$P$175,IF(V48=14,'A.0_Tablas salariales SC'!$P$176,IF(V48=18,'A.0_Tablas salariales SC'!$P$177,IF(V48=20,'A.0_Tablas salariales SC'!$P$178,IF(V48=22,'A.0_Tablas salariales SC'!$P$179,IF(V48=24,'A.0_Tablas salariales SC'!$P$180,IF(V48=26,'A.0_Tablas salariales SC'!$P$181,IF(V48=28,'A.0_Tablas salariales SC'!$P$182,0)))))))))))</f>
        <v>559.83693000000005</v>
      </c>
    </row>
    <row r="49" spans="1:29">
      <c r="A49" s="508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2">
        <f t="shared" si="55"/>
        <v>1900</v>
      </c>
      <c r="G49" s="173">
        <f t="shared" si="56"/>
        <v>2026</v>
      </c>
      <c r="H49" s="173">
        <f t="shared" si="56"/>
        <v>2032</v>
      </c>
      <c r="I49" s="173">
        <f t="shared" si="41"/>
        <v>126</v>
      </c>
      <c r="J49" s="173">
        <f t="shared" si="42"/>
        <v>127</v>
      </c>
      <c r="K49" s="173">
        <f t="shared" si="43"/>
        <v>128</v>
      </c>
      <c r="L49" s="173">
        <f t="shared" si="44"/>
        <v>129</v>
      </c>
      <c r="M49" s="173">
        <f t="shared" si="45"/>
        <v>130</v>
      </c>
      <c r="N49" s="173">
        <f t="shared" si="46"/>
        <v>131</v>
      </c>
      <c r="O49" s="173">
        <f t="shared" si="47"/>
        <v>132</v>
      </c>
      <c r="P49" s="173">
        <f t="shared" si="48"/>
        <v>28</v>
      </c>
      <c r="Q49" s="173">
        <f t="shared" si="49"/>
        <v>28</v>
      </c>
      <c r="R49" s="173">
        <f t="shared" si="50"/>
        <v>28</v>
      </c>
      <c r="S49" s="173">
        <f t="shared" si="51"/>
        <v>28</v>
      </c>
      <c r="T49" s="173">
        <f t="shared" si="52"/>
        <v>28</v>
      </c>
      <c r="U49" s="173">
        <f t="shared" si="53"/>
        <v>28</v>
      </c>
      <c r="V49" s="173">
        <f t="shared" si="54"/>
        <v>28</v>
      </c>
      <c r="W49" s="175">
        <f>IF(P49=2,'A.0_Tablas salariales SC'!$P$9,(IF(P49=6,'A.0_Tablas salariales SC'!$P$10,IF(P49=10,'A.0_Tablas salariales SC'!$P$11,IF(P49=14,'A.0_Tablas salariales SC'!$P$12,IF(P49=18,'A.0_Tablas salariales SC'!$P$13,IF(P49=20,'A.0_Tablas salariales SC'!$P$14,IF(P49=22,'A.0_Tablas salariales SC'!$P$15,IF(P49=24,'A.0_Tablas salariales SC'!$P$16,IF(P49=26,'A.0_Tablas salariales SC'!$P$17,IF(P49=28,'A.0_Tablas salariales SC'!$P$18,0)))))))))))</f>
        <v>446.8</v>
      </c>
      <c r="X49" s="175">
        <f>IF(Q49=2,'A.0_Tablas salariales SC'!$P$36,(IF(Q49=6,'A.0_Tablas salariales SC'!$P$37,IF(Q49=10,'A.0_Tablas salariales SC'!$P$38,IF(Q49=14,'A.0_Tablas salariales SC'!$P$39,IF(Q49=18,'A.0_Tablas salariales SC'!$P$40,IF(Q49=20,'A.0_Tablas salariales SC'!$P$41,IF(Q49=22,'A.0_Tablas salariales SC'!$P$42,IF(Q49=24,'A.0_Tablas salariales SC'!$P$43,IF(Q49=26,'A.0_Tablas salariales SC'!$P$44,IF(Q49=28,'A.0_Tablas salariales SC'!$P$45,0)))))))))))</f>
        <v>462.44</v>
      </c>
      <c r="Y49" s="175">
        <f>IF(R49=2,'A.0_Tablas salariales SC'!$P$63,(IF(R49=6,'A.0_Tablas salariales SC'!$P$64,IF(R49=10,'A.0_Tablas salariales SC'!$P$65,IF(R49=14,'A.0_Tablas salariales SC'!$P$66,IF(R49=18,'A.0_Tablas salariales SC'!$P$67,IF(R49=20,'A.0_Tablas salariales SC'!$P$68,IF(R49=22,'A.0_Tablas salariales SC'!$P$69,IF(R49=24,'A.0_Tablas salariales SC'!$P$70,IF(R49=26,'A.0_Tablas salariales SC'!$P$71,IF(R49=28,'A.0_Tablas salariales SC'!$P$72,0)))))))))))</f>
        <v>480.93</v>
      </c>
      <c r="Z49" s="175">
        <f>IF(S49=2,'A.0_Tablas salariales SC'!$P$90,(IF(S49=6,'A.0_Tablas salariales SC'!$P$91,IF(S49=10,'A.0_Tablas salariales SC'!$P$92,IF(S49=14,'A.0_Tablas salariales SC'!$P$93,IF(S49=18,'A.0_Tablas salariales SC'!$P$94,IF(S49=20,'A.0_Tablas salariales SC'!$P$95,IF(S49=22,'A.0_Tablas salariales SC'!$P$96,IF(S49=24,'A.0_Tablas salariales SC'!$P$97,IF(S49=26,'A.0_Tablas salariales SC'!$P$98,IF(S49=28,'A.0_Tablas salariales SC'!$P$99,0)))))))))))</f>
        <v>502.58</v>
      </c>
      <c r="AA49" s="175">
        <f>IF(T49=2,'A.0_Tablas salariales SC'!$P$117,(IF(T49=6,'A.0_Tablas salariales SC'!$P$118,IF(T49=10,'A.0_Tablas salariales SC'!$P$119,IF(T49=14,'A.0_Tablas salariales SC'!$P$120,IF(T49=18,'A.0_Tablas salariales SC'!$P$121,IF(T49=20,'A.0_Tablas salariales SC'!$P$122,IF(T49=22,'A.0_Tablas salariales SC'!$P$123,IF(T49=24,'A.0_Tablas salariales SC'!$P$124,IF(T49=26,'A.0_Tablas salariales SC'!$P$125,IF(T49=28,'A.0_Tablas salariales SC'!$P$126,0)))))))))))</f>
        <v>527.70000000000005</v>
      </c>
      <c r="AB49" s="175">
        <f>IF(U49=2,'A.0_Tablas salariales SC'!$P$145,(IF(U49=6,'A.0_Tablas salariales SC'!$P$146,IF(U49=10,'A.0_Tablas salariales SC'!$P$147,IF(U49=14,'A.0_Tablas salariales SC'!$P$148,IF(U49=18,'A.0_Tablas salariales SC'!$P$149,IF(U49=20,'A.0_Tablas salariales SC'!$P$150,IF(U49=22,'A.0_Tablas salariales SC'!$P$151,IF(U49=24,'A.0_Tablas salariales SC'!$P$152,IF(U49=26,'A.0_Tablas salariales SC'!$P$153,IF(U49=28,'A.0_Tablas salariales SC'!$P$154,0)))))))))))</f>
        <v>543.53100000000006</v>
      </c>
      <c r="AC49" s="175">
        <f>IF(V49=2,'A.0_Tablas salariales SC'!$P$173,(IF(V49=6,'A.0_Tablas salariales SC'!$P$174,IF(V49=10,'A.0_Tablas salariales SC'!$P$175,IF(V49=14,'A.0_Tablas salariales SC'!$P$176,IF(V49=18,'A.0_Tablas salariales SC'!$P$177,IF(V49=20,'A.0_Tablas salariales SC'!$P$178,IF(V49=22,'A.0_Tablas salariales SC'!$P$179,IF(V49=24,'A.0_Tablas salariales SC'!$P$180,IF(V49=26,'A.0_Tablas salariales SC'!$P$181,IF(V49=28,'A.0_Tablas salariales SC'!$P$182,0)))))))))))</f>
        <v>559.83693000000005</v>
      </c>
    </row>
    <row r="50" spans="1:29">
      <c r="A50" s="508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2">
        <f t="shared" si="55"/>
        <v>1900</v>
      </c>
      <c r="G50" s="173">
        <f t="shared" si="56"/>
        <v>2026</v>
      </c>
      <c r="H50" s="173">
        <f t="shared" si="56"/>
        <v>2032</v>
      </c>
      <c r="I50" s="173">
        <f t="shared" si="41"/>
        <v>126</v>
      </c>
      <c r="J50" s="173">
        <f t="shared" si="42"/>
        <v>127</v>
      </c>
      <c r="K50" s="173">
        <f t="shared" si="43"/>
        <v>128</v>
      </c>
      <c r="L50" s="173">
        <f t="shared" si="44"/>
        <v>129</v>
      </c>
      <c r="M50" s="173">
        <f t="shared" si="45"/>
        <v>130</v>
      </c>
      <c r="N50" s="173">
        <f t="shared" si="46"/>
        <v>131</v>
      </c>
      <c r="O50" s="173">
        <f t="shared" si="47"/>
        <v>132</v>
      </c>
      <c r="P50" s="173">
        <f t="shared" si="48"/>
        <v>28</v>
      </c>
      <c r="Q50" s="173">
        <f t="shared" si="49"/>
        <v>28</v>
      </c>
      <c r="R50" s="173">
        <f t="shared" si="50"/>
        <v>28</v>
      </c>
      <c r="S50" s="173">
        <f t="shared" si="51"/>
        <v>28</v>
      </c>
      <c r="T50" s="173">
        <f t="shared" si="52"/>
        <v>28</v>
      </c>
      <c r="U50" s="173">
        <f t="shared" si="53"/>
        <v>28</v>
      </c>
      <c r="V50" s="173">
        <f t="shared" si="54"/>
        <v>28</v>
      </c>
      <c r="W50" s="175">
        <f>IF(P50=2,'A.0_Tablas salariales SC'!$P$9,(IF(P50=6,'A.0_Tablas salariales SC'!$P$10,IF(P50=10,'A.0_Tablas salariales SC'!$P$11,IF(P50=14,'A.0_Tablas salariales SC'!$P$12,IF(P50=18,'A.0_Tablas salariales SC'!$P$13,IF(P50=20,'A.0_Tablas salariales SC'!$P$14,IF(P50=22,'A.0_Tablas salariales SC'!$P$15,IF(P50=24,'A.0_Tablas salariales SC'!$P$16,IF(P50=26,'A.0_Tablas salariales SC'!$P$17,IF(P50=28,'A.0_Tablas salariales SC'!$P$18,0)))))))))))</f>
        <v>446.8</v>
      </c>
      <c r="X50" s="175">
        <f>IF(Q50=2,'A.0_Tablas salariales SC'!$P$36,(IF(Q50=6,'A.0_Tablas salariales SC'!$P$37,IF(Q50=10,'A.0_Tablas salariales SC'!$P$38,IF(Q50=14,'A.0_Tablas salariales SC'!$P$39,IF(Q50=18,'A.0_Tablas salariales SC'!$P$40,IF(Q50=20,'A.0_Tablas salariales SC'!$P$41,IF(Q50=22,'A.0_Tablas salariales SC'!$P$42,IF(Q50=24,'A.0_Tablas salariales SC'!$P$43,IF(Q50=26,'A.0_Tablas salariales SC'!$P$44,IF(Q50=28,'A.0_Tablas salariales SC'!$P$45,0)))))))))))</f>
        <v>462.44</v>
      </c>
      <c r="Y50" s="175">
        <f>IF(R50=2,'A.0_Tablas salariales SC'!$P$63,(IF(R50=6,'A.0_Tablas salariales SC'!$P$64,IF(R50=10,'A.0_Tablas salariales SC'!$P$65,IF(R50=14,'A.0_Tablas salariales SC'!$P$66,IF(R50=18,'A.0_Tablas salariales SC'!$P$67,IF(R50=20,'A.0_Tablas salariales SC'!$P$68,IF(R50=22,'A.0_Tablas salariales SC'!$P$69,IF(R50=24,'A.0_Tablas salariales SC'!$P$70,IF(R50=26,'A.0_Tablas salariales SC'!$P$71,IF(R50=28,'A.0_Tablas salariales SC'!$P$72,0)))))))))))</f>
        <v>480.93</v>
      </c>
      <c r="Z50" s="175">
        <f>IF(S50=2,'A.0_Tablas salariales SC'!$P$90,(IF(S50=6,'A.0_Tablas salariales SC'!$P$91,IF(S50=10,'A.0_Tablas salariales SC'!$P$92,IF(S50=14,'A.0_Tablas salariales SC'!$P$93,IF(S50=18,'A.0_Tablas salariales SC'!$P$94,IF(S50=20,'A.0_Tablas salariales SC'!$P$95,IF(S50=22,'A.0_Tablas salariales SC'!$P$96,IF(S50=24,'A.0_Tablas salariales SC'!$P$97,IF(S50=26,'A.0_Tablas salariales SC'!$P$98,IF(S50=28,'A.0_Tablas salariales SC'!$P$99,0)))))))))))</f>
        <v>502.58</v>
      </c>
      <c r="AA50" s="175">
        <f>IF(T50=2,'A.0_Tablas salariales SC'!$P$117,(IF(T50=6,'A.0_Tablas salariales SC'!$P$118,IF(T50=10,'A.0_Tablas salariales SC'!$P$119,IF(T50=14,'A.0_Tablas salariales SC'!$P$120,IF(T50=18,'A.0_Tablas salariales SC'!$P$121,IF(T50=20,'A.0_Tablas salariales SC'!$P$122,IF(T50=22,'A.0_Tablas salariales SC'!$P$123,IF(T50=24,'A.0_Tablas salariales SC'!$P$124,IF(T50=26,'A.0_Tablas salariales SC'!$P$125,IF(T50=28,'A.0_Tablas salariales SC'!$P$126,0)))))))))))</f>
        <v>527.70000000000005</v>
      </c>
      <c r="AB50" s="175">
        <f>IF(U50=2,'A.0_Tablas salariales SC'!$P$145,(IF(U50=6,'A.0_Tablas salariales SC'!$P$146,IF(U50=10,'A.0_Tablas salariales SC'!$P$147,IF(U50=14,'A.0_Tablas salariales SC'!$P$148,IF(U50=18,'A.0_Tablas salariales SC'!$P$149,IF(U50=20,'A.0_Tablas salariales SC'!$P$150,IF(U50=22,'A.0_Tablas salariales SC'!$P$151,IF(U50=24,'A.0_Tablas salariales SC'!$P$152,IF(U50=26,'A.0_Tablas salariales SC'!$P$153,IF(U50=28,'A.0_Tablas salariales SC'!$P$154,0)))))))))))</f>
        <v>543.53100000000006</v>
      </c>
      <c r="AC50" s="175">
        <f>IF(V50=2,'A.0_Tablas salariales SC'!$P$173,(IF(V50=6,'A.0_Tablas salariales SC'!$P$174,IF(V50=10,'A.0_Tablas salariales SC'!$P$175,IF(V50=14,'A.0_Tablas salariales SC'!$P$176,IF(V50=18,'A.0_Tablas salariales SC'!$P$177,IF(V50=20,'A.0_Tablas salariales SC'!$P$178,IF(V50=22,'A.0_Tablas salariales SC'!$P$179,IF(V50=24,'A.0_Tablas salariales SC'!$P$180,IF(V50=26,'A.0_Tablas salariales SC'!$P$181,IF(V50=28,'A.0_Tablas salariales SC'!$P$182,0)))))))))))</f>
        <v>559.83693000000005</v>
      </c>
    </row>
    <row r="51" spans="1:29">
      <c r="A51" s="508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2">
        <f t="shared" si="55"/>
        <v>1900</v>
      </c>
      <c r="G51" s="173">
        <f t="shared" si="56"/>
        <v>2026</v>
      </c>
      <c r="H51" s="173">
        <f t="shared" si="56"/>
        <v>2032</v>
      </c>
      <c r="I51" s="173">
        <f t="shared" si="41"/>
        <v>126</v>
      </c>
      <c r="J51" s="173">
        <f t="shared" si="42"/>
        <v>127</v>
      </c>
      <c r="K51" s="173">
        <f t="shared" si="43"/>
        <v>128</v>
      </c>
      <c r="L51" s="173">
        <f t="shared" si="44"/>
        <v>129</v>
      </c>
      <c r="M51" s="173">
        <f t="shared" si="45"/>
        <v>130</v>
      </c>
      <c r="N51" s="173">
        <f t="shared" si="46"/>
        <v>131</v>
      </c>
      <c r="O51" s="173">
        <f t="shared" si="47"/>
        <v>132</v>
      </c>
      <c r="P51" s="173">
        <f t="shared" si="48"/>
        <v>28</v>
      </c>
      <c r="Q51" s="173">
        <f t="shared" si="49"/>
        <v>28</v>
      </c>
      <c r="R51" s="173">
        <f t="shared" si="50"/>
        <v>28</v>
      </c>
      <c r="S51" s="173">
        <f t="shared" si="51"/>
        <v>28</v>
      </c>
      <c r="T51" s="173">
        <f t="shared" si="52"/>
        <v>28</v>
      </c>
      <c r="U51" s="173">
        <f t="shared" si="53"/>
        <v>28</v>
      </c>
      <c r="V51" s="173">
        <f t="shared" si="54"/>
        <v>28</v>
      </c>
      <c r="W51" s="175">
        <f>IF(P51=2,'A.0_Tablas salariales SC'!$P$9,(IF(P51=6,'A.0_Tablas salariales SC'!$P$10,IF(P51=10,'A.0_Tablas salariales SC'!$P$11,IF(P51=14,'A.0_Tablas salariales SC'!$P$12,IF(P51=18,'A.0_Tablas salariales SC'!$P$13,IF(P51=20,'A.0_Tablas salariales SC'!$P$14,IF(P51=22,'A.0_Tablas salariales SC'!$P$15,IF(P51=24,'A.0_Tablas salariales SC'!$P$16,IF(P51=26,'A.0_Tablas salariales SC'!$P$17,IF(P51=28,'A.0_Tablas salariales SC'!$P$18,0)))))))))))</f>
        <v>446.8</v>
      </c>
      <c r="X51" s="175">
        <f>IF(Q51=2,'A.0_Tablas salariales SC'!$P$36,(IF(Q51=6,'A.0_Tablas salariales SC'!$P$37,IF(Q51=10,'A.0_Tablas salariales SC'!$P$38,IF(Q51=14,'A.0_Tablas salariales SC'!$P$39,IF(Q51=18,'A.0_Tablas salariales SC'!$P$40,IF(Q51=20,'A.0_Tablas salariales SC'!$P$41,IF(Q51=22,'A.0_Tablas salariales SC'!$P$42,IF(Q51=24,'A.0_Tablas salariales SC'!$P$43,IF(Q51=26,'A.0_Tablas salariales SC'!$P$44,IF(Q51=28,'A.0_Tablas salariales SC'!$P$45,0)))))))))))</f>
        <v>462.44</v>
      </c>
      <c r="Y51" s="175">
        <f>IF(R51=2,'A.0_Tablas salariales SC'!$P$63,(IF(R51=6,'A.0_Tablas salariales SC'!$P$64,IF(R51=10,'A.0_Tablas salariales SC'!$P$65,IF(R51=14,'A.0_Tablas salariales SC'!$P$66,IF(R51=18,'A.0_Tablas salariales SC'!$P$67,IF(R51=20,'A.0_Tablas salariales SC'!$P$68,IF(R51=22,'A.0_Tablas salariales SC'!$P$69,IF(R51=24,'A.0_Tablas salariales SC'!$P$70,IF(R51=26,'A.0_Tablas salariales SC'!$P$71,IF(R51=28,'A.0_Tablas salariales SC'!$P$72,0)))))))))))</f>
        <v>480.93</v>
      </c>
      <c r="Z51" s="175">
        <f>IF(S51=2,'A.0_Tablas salariales SC'!$P$90,(IF(S51=6,'A.0_Tablas salariales SC'!$P$91,IF(S51=10,'A.0_Tablas salariales SC'!$P$92,IF(S51=14,'A.0_Tablas salariales SC'!$P$93,IF(S51=18,'A.0_Tablas salariales SC'!$P$94,IF(S51=20,'A.0_Tablas salariales SC'!$P$95,IF(S51=22,'A.0_Tablas salariales SC'!$P$96,IF(S51=24,'A.0_Tablas salariales SC'!$P$97,IF(S51=26,'A.0_Tablas salariales SC'!$P$98,IF(S51=28,'A.0_Tablas salariales SC'!$P$99,0)))))))))))</f>
        <v>502.58</v>
      </c>
      <c r="AA51" s="175">
        <f>IF(T51=2,'A.0_Tablas salariales SC'!$P$117,(IF(T51=6,'A.0_Tablas salariales SC'!$P$118,IF(T51=10,'A.0_Tablas salariales SC'!$P$119,IF(T51=14,'A.0_Tablas salariales SC'!$P$120,IF(T51=18,'A.0_Tablas salariales SC'!$P$121,IF(T51=20,'A.0_Tablas salariales SC'!$P$122,IF(T51=22,'A.0_Tablas salariales SC'!$P$123,IF(T51=24,'A.0_Tablas salariales SC'!$P$124,IF(T51=26,'A.0_Tablas salariales SC'!$P$125,IF(T51=28,'A.0_Tablas salariales SC'!$P$126,0)))))))))))</f>
        <v>527.70000000000005</v>
      </c>
      <c r="AB51" s="175">
        <f>IF(U51=2,'A.0_Tablas salariales SC'!$P$145,(IF(U51=6,'A.0_Tablas salariales SC'!$P$146,IF(U51=10,'A.0_Tablas salariales SC'!$P$147,IF(U51=14,'A.0_Tablas salariales SC'!$P$148,IF(U51=18,'A.0_Tablas salariales SC'!$P$149,IF(U51=20,'A.0_Tablas salariales SC'!$P$150,IF(U51=22,'A.0_Tablas salariales SC'!$P$151,IF(U51=24,'A.0_Tablas salariales SC'!$P$152,IF(U51=26,'A.0_Tablas salariales SC'!$P$153,IF(U51=28,'A.0_Tablas salariales SC'!$P$154,0)))))))))))</f>
        <v>543.53100000000006</v>
      </c>
      <c r="AC51" s="175">
        <f>IF(V51=2,'A.0_Tablas salariales SC'!$P$173,(IF(V51=6,'A.0_Tablas salariales SC'!$P$174,IF(V51=10,'A.0_Tablas salariales SC'!$P$175,IF(V51=14,'A.0_Tablas salariales SC'!$P$176,IF(V51=18,'A.0_Tablas salariales SC'!$P$177,IF(V51=20,'A.0_Tablas salariales SC'!$P$178,IF(V51=22,'A.0_Tablas salariales SC'!$P$179,IF(V51=24,'A.0_Tablas salariales SC'!$P$180,IF(V51=26,'A.0_Tablas salariales SC'!$P$181,IF(V51=28,'A.0_Tablas salariales SC'!$P$182,0)))))))))))</f>
        <v>559.83693000000005</v>
      </c>
    </row>
    <row r="52" spans="1:29">
      <c r="A52" s="508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2">
        <f t="shared" si="55"/>
        <v>1900</v>
      </c>
      <c r="G52" s="173">
        <f t="shared" si="56"/>
        <v>2026</v>
      </c>
      <c r="H52" s="173">
        <f t="shared" si="56"/>
        <v>2032</v>
      </c>
      <c r="I52" s="173">
        <f t="shared" si="41"/>
        <v>126</v>
      </c>
      <c r="J52" s="173">
        <f t="shared" si="42"/>
        <v>127</v>
      </c>
      <c r="K52" s="173">
        <f t="shared" si="43"/>
        <v>128</v>
      </c>
      <c r="L52" s="173">
        <f t="shared" si="44"/>
        <v>129</v>
      </c>
      <c r="M52" s="173">
        <f t="shared" si="45"/>
        <v>130</v>
      </c>
      <c r="N52" s="173">
        <f t="shared" si="46"/>
        <v>131</v>
      </c>
      <c r="O52" s="173">
        <f t="shared" si="47"/>
        <v>132</v>
      </c>
      <c r="P52" s="173">
        <f t="shared" si="48"/>
        <v>28</v>
      </c>
      <c r="Q52" s="173">
        <f t="shared" si="49"/>
        <v>28</v>
      </c>
      <c r="R52" s="173">
        <f t="shared" si="50"/>
        <v>28</v>
      </c>
      <c r="S52" s="173">
        <f t="shared" si="51"/>
        <v>28</v>
      </c>
      <c r="T52" s="173">
        <f t="shared" si="52"/>
        <v>28</v>
      </c>
      <c r="U52" s="173">
        <f t="shared" si="53"/>
        <v>28</v>
      </c>
      <c r="V52" s="173">
        <f t="shared" si="54"/>
        <v>28</v>
      </c>
      <c r="W52" s="175">
        <f>IF(P52=2,'A.0_Tablas salariales SC'!$P$9,(IF(P52=6,'A.0_Tablas salariales SC'!$P$10,IF(P52=10,'A.0_Tablas salariales SC'!$P$11,IF(P52=14,'A.0_Tablas salariales SC'!$P$12,IF(P52=18,'A.0_Tablas salariales SC'!$P$13,IF(P52=20,'A.0_Tablas salariales SC'!$P$14,IF(P52=22,'A.0_Tablas salariales SC'!$P$15,IF(P52=24,'A.0_Tablas salariales SC'!$P$16,IF(P52=26,'A.0_Tablas salariales SC'!$P$17,IF(P52=28,'A.0_Tablas salariales SC'!$P$18,0)))))))))))</f>
        <v>446.8</v>
      </c>
      <c r="X52" s="175">
        <f>IF(Q52=2,'A.0_Tablas salariales SC'!$P$36,(IF(Q52=6,'A.0_Tablas salariales SC'!$P$37,IF(Q52=10,'A.0_Tablas salariales SC'!$P$38,IF(Q52=14,'A.0_Tablas salariales SC'!$P$39,IF(Q52=18,'A.0_Tablas salariales SC'!$P$40,IF(Q52=20,'A.0_Tablas salariales SC'!$P$41,IF(Q52=22,'A.0_Tablas salariales SC'!$P$42,IF(Q52=24,'A.0_Tablas salariales SC'!$P$43,IF(Q52=26,'A.0_Tablas salariales SC'!$P$44,IF(Q52=28,'A.0_Tablas salariales SC'!$P$45,0)))))))))))</f>
        <v>462.44</v>
      </c>
      <c r="Y52" s="175">
        <f>IF(R52=2,'A.0_Tablas salariales SC'!$P$63,(IF(R52=6,'A.0_Tablas salariales SC'!$P$64,IF(R52=10,'A.0_Tablas salariales SC'!$P$65,IF(R52=14,'A.0_Tablas salariales SC'!$P$66,IF(R52=18,'A.0_Tablas salariales SC'!$P$67,IF(R52=20,'A.0_Tablas salariales SC'!$P$68,IF(R52=22,'A.0_Tablas salariales SC'!$P$69,IF(R52=24,'A.0_Tablas salariales SC'!$P$70,IF(R52=26,'A.0_Tablas salariales SC'!$P$71,IF(R52=28,'A.0_Tablas salariales SC'!$P$72,0)))))))))))</f>
        <v>480.93</v>
      </c>
      <c r="Z52" s="175">
        <f>IF(S52=2,'A.0_Tablas salariales SC'!$P$90,(IF(S52=6,'A.0_Tablas salariales SC'!$P$91,IF(S52=10,'A.0_Tablas salariales SC'!$P$92,IF(S52=14,'A.0_Tablas salariales SC'!$P$93,IF(S52=18,'A.0_Tablas salariales SC'!$P$94,IF(S52=20,'A.0_Tablas salariales SC'!$P$95,IF(S52=22,'A.0_Tablas salariales SC'!$P$96,IF(S52=24,'A.0_Tablas salariales SC'!$P$97,IF(S52=26,'A.0_Tablas salariales SC'!$P$98,IF(S52=28,'A.0_Tablas salariales SC'!$P$99,0)))))))))))</f>
        <v>502.58</v>
      </c>
      <c r="AA52" s="175">
        <f>IF(T52=2,'A.0_Tablas salariales SC'!$P$117,(IF(T52=6,'A.0_Tablas salariales SC'!$P$118,IF(T52=10,'A.0_Tablas salariales SC'!$P$119,IF(T52=14,'A.0_Tablas salariales SC'!$P$120,IF(T52=18,'A.0_Tablas salariales SC'!$P$121,IF(T52=20,'A.0_Tablas salariales SC'!$P$122,IF(T52=22,'A.0_Tablas salariales SC'!$P$123,IF(T52=24,'A.0_Tablas salariales SC'!$P$124,IF(T52=26,'A.0_Tablas salariales SC'!$P$125,IF(T52=28,'A.0_Tablas salariales SC'!$P$126,0)))))))))))</f>
        <v>527.70000000000005</v>
      </c>
      <c r="AB52" s="175">
        <f>IF(U52=2,'A.0_Tablas salariales SC'!$P$145,(IF(U52=6,'A.0_Tablas salariales SC'!$P$146,IF(U52=10,'A.0_Tablas salariales SC'!$P$147,IF(U52=14,'A.0_Tablas salariales SC'!$P$148,IF(U52=18,'A.0_Tablas salariales SC'!$P$149,IF(U52=20,'A.0_Tablas salariales SC'!$P$150,IF(U52=22,'A.0_Tablas salariales SC'!$P$151,IF(U52=24,'A.0_Tablas salariales SC'!$P$152,IF(U52=26,'A.0_Tablas salariales SC'!$P$153,IF(U52=28,'A.0_Tablas salariales SC'!$P$154,0)))))))))))</f>
        <v>543.53100000000006</v>
      </c>
      <c r="AC52" s="175">
        <f>IF(V52=2,'A.0_Tablas salariales SC'!$P$173,(IF(V52=6,'A.0_Tablas salariales SC'!$P$174,IF(V52=10,'A.0_Tablas salariales SC'!$P$175,IF(V52=14,'A.0_Tablas salariales SC'!$P$176,IF(V52=18,'A.0_Tablas salariales SC'!$P$177,IF(V52=20,'A.0_Tablas salariales SC'!$P$178,IF(V52=22,'A.0_Tablas salariales SC'!$P$179,IF(V52=24,'A.0_Tablas salariales SC'!$P$180,IF(V52=26,'A.0_Tablas salariales SC'!$P$181,IF(V52=28,'A.0_Tablas salariales SC'!$P$182,0)))))))))))</f>
        <v>559.83693000000005</v>
      </c>
    </row>
    <row r="53" spans="1:29">
      <c r="A53" s="508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2">
        <f t="shared" si="55"/>
        <v>1900</v>
      </c>
      <c r="G53" s="173">
        <f t="shared" si="56"/>
        <v>2026</v>
      </c>
      <c r="H53" s="173">
        <f t="shared" si="56"/>
        <v>2032</v>
      </c>
      <c r="I53" s="173">
        <f t="shared" si="41"/>
        <v>126</v>
      </c>
      <c r="J53" s="173">
        <f t="shared" si="42"/>
        <v>127</v>
      </c>
      <c r="K53" s="173">
        <f t="shared" si="43"/>
        <v>128</v>
      </c>
      <c r="L53" s="173">
        <f t="shared" si="44"/>
        <v>129</v>
      </c>
      <c r="M53" s="173">
        <f t="shared" si="45"/>
        <v>130</v>
      </c>
      <c r="N53" s="173">
        <f t="shared" si="46"/>
        <v>131</v>
      </c>
      <c r="O53" s="173">
        <f t="shared" si="47"/>
        <v>132</v>
      </c>
      <c r="P53" s="173">
        <f t="shared" si="48"/>
        <v>28</v>
      </c>
      <c r="Q53" s="173">
        <f t="shared" si="49"/>
        <v>28</v>
      </c>
      <c r="R53" s="173">
        <f t="shared" si="50"/>
        <v>28</v>
      </c>
      <c r="S53" s="173">
        <f t="shared" si="51"/>
        <v>28</v>
      </c>
      <c r="T53" s="173">
        <f t="shared" si="52"/>
        <v>28</v>
      </c>
      <c r="U53" s="173">
        <f t="shared" si="53"/>
        <v>28</v>
      </c>
      <c r="V53" s="173">
        <f t="shared" si="54"/>
        <v>28</v>
      </c>
      <c r="W53" s="175">
        <f>IF(P53=2,'A.0_Tablas salariales SC'!$P$9,(IF(P53=6,'A.0_Tablas salariales SC'!$P$10,IF(P53=10,'A.0_Tablas salariales SC'!$P$11,IF(P53=14,'A.0_Tablas salariales SC'!$P$12,IF(P53=18,'A.0_Tablas salariales SC'!$P$13,IF(P53=20,'A.0_Tablas salariales SC'!$P$14,IF(P53=22,'A.0_Tablas salariales SC'!$P$15,IF(P53=24,'A.0_Tablas salariales SC'!$P$16,IF(P53=26,'A.0_Tablas salariales SC'!$P$17,IF(P53=28,'A.0_Tablas salariales SC'!$P$18,0)))))))))))</f>
        <v>446.8</v>
      </c>
      <c r="X53" s="175">
        <f>IF(Q53=2,'A.0_Tablas salariales SC'!$P$36,(IF(Q53=6,'A.0_Tablas salariales SC'!$P$37,IF(Q53=10,'A.0_Tablas salariales SC'!$P$38,IF(Q53=14,'A.0_Tablas salariales SC'!$P$39,IF(Q53=18,'A.0_Tablas salariales SC'!$P$40,IF(Q53=20,'A.0_Tablas salariales SC'!$P$41,IF(Q53=22,'A.0_Tablas salariales SC'!$P$42,IF(Q53=24,'A.0_Tablas salariales SC'!$P$43,IF(Q53=26,'A.0_Tablas salariales SC'!$P$44,IF(Q53=28,'A.0_Tablas salariales SC'!$P$45,0)))))))))))</f>
        <v>462.44</v>
      </c>
      <c r="Y53" s="175">
        <f>IF(R53=2,'A.0_Tablas salariales SC'!$P$63,(IF(R53=6,'A.0_Tablas salariales SC'!$P$64,IF(R53=10,'A.0_Tablas salariales SC'!$P$65,IF(R53=14,'A.0_Tablas salariales SC'!$P$66,IF(R53=18,'A.0_Tablas salariales SC'!$P$67,IF(R53=20,'A.0_Tablas salariales SC'!$P$68,IF(R53=22,'A.0_Tablas salariales SC'!$P$69,IF(R53=24,'A.0_Tablas salariales SC'!$P$70,IF(R53=26,'A.0_Tablas salariales SC'!$P$71,IF(R53=28,'A.0_Tablas salariales SC'!$P$72,0)))))))))))</f>
        <v>480.93</v>
      </c>
      <c r="Z53" s="175">
        <f>IF(S53=2,'A.0_Tablas salariales SC'!$P$90,(IF(S53=6,'A.0_Tablas salariales SC'!$P$91,IF(S53=10,'A.0_Tablas salariales SC'!$P$92,IF(S53=14,'A.0_Tablas salariales SC'!$P$93,IF(S53=18,'A.0_Tablas salariales SC'!$P$94,IF(S53=20,'A.0_Tablas salariales SC'!$P$95,IF(S53=22,'A.0_Tablas salariales SC'!$P$96,IF(S53=24,'A.0_Tablas salariales SC'!$P$97,IF(S53=26,'A.0_Tablas salariales SC'!$P$98,IF(S53=28,'A.0_Tablas salariales SC'!$P$99,0)))))))))))</f>
        <v>502.58</v>
      </c>
      <c r="AA53" s="175">
        <f>IF(T53=2,'A.0_Tablas salariales SC'!$P$117,(IF(T53=6,'A.0_Tablas salariales SC'!$P$118,IF(T53=10,'A.0_Tablas salariales SC'!$P$119,IF(T53=14,'A.0_Tablas salariales SC'!$P$120,IF(T53=18,'A.0_Tablas salariales SC'!$P$121,IF(T53=20,'A.0_Tablas salariales SC'!$P$122,IF(T53=22,'A.0_Tablas salariales SC'!$P$123,IF(T53=24,'A.0_Tablas salariales SC'!$P$124,IF(T53=26,'A.0_Tablas salariales SC'!$P$125,IF(T53=28,'A.0_Tablas salariales SC'!$P$126,0)))))))))))</f>
        <v>527.70000000000005</v>
      </c>
      <c r="AB53" s="175">
        <f>IF(U53=2,'A.0_Tablas salariales SC'!$P$145,(IF(U53=6,'A.0_Tablas salariales SC'!$P$146,IF(U53=10,'A.0_Tablas salariales SC'!$P$147,IF(U53=14,'A.0_Tablas salariales SC'!$P$148,IF(U53=18,'A.0_Tablas salariales SC'!$P$149,IF(U53=20,'A.0_Tablas salariales SC'!$P$150,IF(U53=22,'A.0_Tablas salariales SC'!$P$151,IF(U53=24,'A.0_Tablas salariales SC'!$P$152,IF(U53=26,'A.0_Tablas salariales SC'!$P$153,IF(U53=28,'A.0_Tablas salariales SC'!$P$154,0)))))))))))</f>
        <v>543.53100000000006</v>
      </c>
      <c r="AC53" s="175">
        <f>IF(V53=2,'A.0_Tablas salariales SC'!$P$173,(IF(V53=6,'A.0_Tablas salariales SC'!$P$174,IF(V53=10,'A.0_Tablas salariales SC'!$P$175,IF(V53=14,'A.0_Tablas salariales SC'!$P$176,IF(V53=18,'A.0_Tablas salariales SC'!$P$177,IF(V53=20,'A.0_Tablas salariales SC'!$P$178,IF(V53=22,'A.0_Tablas salariales SC'!$P$179,IF(V53=24,'A.0_Tablas salariales SC'!$P$180,IF(V53=26,'A.0_Tablas salariales SC'!$P$181,IF(V53=28,'A.0_Tablas salariales SC'!$P$182,0)))))))))))</f>
        <v>559.83693000000005</v>
      </c>
    </row>
    <row r="54" spans="1:29">
      <c r="A54" s="508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2">
        <f t="shared" si="55"/>
        <v>1900</v>
      </c>
      <c r="G54" s="173">
        <f t="shared" si="56"/>
        <v>2026</v>
      </c>
      <c r="H54" s="173">
        <f t="shared" si="56"/>
        <v>2032</v>
      </c>
      <c r="I54" s="173">
        <f t="shared" si="41"/>
        <v>126</v>
      </c>
      <c r="J54" s="173">
        <f t="shared" si="42"/>
        <v>127</v>
      </c>
      <c r="K54" s="173">
        <f t="shared" si="43"/>
        <v>128</v>
      </c>
      <c r="L54" s="173">
        <f t="shared" si="44"/>
        <v>129</v>
      </c>
      <c r="M54" s="173">
        <f t="shared" si="45"/>
        <v>130</v>
      </c>
      <c r="N54" s="173">
        <f t="shared" si="46"/>
        <v>131</v>
      </c>
      <c r="O54" s="173">
        <f t="shared" si="47"/>
        <v>132</v>
      </c>
      <c r="P54" s="173">
        <f t="shared" si="48"/>
        <v>28</v>
      </c>
      <c r="Q54" s="173">
        <f t="shared" si="49"/>
        <v>28</v>
      </c>
      <c r="R54" s="173">
        <f t="shared" si="50"/>
        <v>28</v>
      </c>
      <c r="S54" s="173">
        <f t="shared" si="51"/>
        <v>28</v>
      </c>
      <c r="T54" s="173">
        <f t="shared" si="52"/>
        <v>28</v>
      </c>
      <c r="U54" s="173">
        <f t="shared" si="53"/>
        <v>28</v>
      </c>
      <c r="V54" s="173">
        <f t="shared" si="54"/>
        <v>28</v>
      </c>
      <c r="W54" s="175">
        <f>IF(P54=2,'A.0_Tablas salariales SC'!$P$9,(IF(P54=6,'A.0_Tablas salariales SC'!$P$10,IF(P54=10,'A.0_Tablas salariales SC'!$P$11,IF(P54=14,'A.0_Tablas salariales SC'!$P$12,IF(P54=18,'A.0_Tablas salariales SC'!$P$13,IF(P54=20,'A.0_Tablas salariales SC'!$P$14,IF(P54=22,'A.0_Tablas salariales SC'!$P$15,IF(P54=24,'A.0_Tablas salariales SC'!$P$16,IF(P54=26,'A.0_Tablas salariales SC'!$P$17,IF(P54=28,'A.0_Tablas salariales SC'!$P$18,0)))))))))))</f>
        <v>446.8</v>
      </c>
      <c r="X54" s="175">
        <f>IF(Q54=2,'A.0_Tablas salariales SC'!$P$36,(IF(Q54=6,'A.0_Tablas salariales SC'!$P$37,IF(Q54=10,'A.0_Tablas salariales SC'!$P$38,IF(Q54=14,'A.0_Tablas salariales SC'!$P$39,IF(Q54=18,'A.0_Tablas salariales SC'!$P$40,IF(Q54=20,'A.0_Tablas salariales SC'!$P$41,IF(Q54=22,'A.0_Tablas salariales SC'!$P$42,IF(Q54=24,'A.0_Tablas salariales SC'!$P$43,IF(Q54=26,'A.0_Tablas salariales SC'!$P$44,IF(Q54=28,'A.0_Tablas salariales SC'!$P$45,0)))))))))))</f>
        <v>462.44</v>
      </c>
      <c r="Y54" s="175">
        <f>IF(R54=2,'A.0_Tablas salariales SC'!$P$63,(IF(R54=6,'A.0_Tablas salariales SC'!$P$64,IF(R54=10,'A.0_Tablas salariales SC'!$P$65,IF(R54=14,'A.0_Tablas salariales SC'!$P$66,IF(R54=18,'A.0_Tablas salariales SC'!$P$67,IF(R54=20,'A.0_Tablas salariales SC'!$P$68,IF(R54=22,'A.0_Tablas salariales SC'!$P$69,IF(R54=24,'A.0_Tablas salariales SC'!$P$70,IF(R54=26,'A.0_Tablas salariales SC'!$P$71,IF(R54=28,'A.0_Tablas salariales SC'!$P$72,0)))))))))))</f>
        <v>480.93</v>
      </c>
      <c r="Z54" s="175">
        <f>IF(S54=2,'A.0_Tablas salariales SC'!$P$90,(IF(S54=6,'A.0_Tablas salariales SC'!$P$91,IF(S54=10,'A.0_Tablas salariales SC'!$P$92,IF(S54=14,'A.0_Tablas salariales SC'!$P$93,IF(S54=18,'A.0_Tablas salariales SC'!$P$94,IF(S54=20,'A.0_Tablas salariales SC'!$P$95,IF(S54=22,'A.0_Tablas salariales SC'!$P$96,IF(S54=24,'A.0_Tablas salariales SC'!$P$97,IF(S54=26,'A.0_Tablas salariales SC'!$P$98,IF(S54=28,'A.0_Tablas salariales SC'!$P$99,0)))))))))))</f>
        <v>502.58</v>
      </c>
      <c r="AA54" s="175">
        <f>IF(T54=2,'A.0_Tablas salariales SC'!$P$117,(IF(T54=6,'A.0_Tablas salariales SC'!$P$118,IF(T54=10,'A.0_Tablas salariales SC'!$P$119,IF(T54=14,'A.0_Tablas salariales SC'!$P$120,IF(T54=18,'A.0_Tablas salariales SC'!$P$121,IF(T54=20,'A.0_Tablas salariales SC'!$P$122,IF(T54=22,'A.0_Tablas salariales SC'!$P$123,IF(T54=24,'A.0_Tablas salariales SC'!$P$124,IF(T54=26,'A.0_Tablas salariales SC'!$P$125,IF(T54=28,'A.0_Tablas salariales SC'!$P$126,0)))))))))))</f>
        <v>527.70000000000005</v>
      </c>
      <c r="AB54" s="175">
        <f>IF(U54=2,'A.0_Tablas salariales SC'!$P$145,(IF(U54=6,'A.0_Tablas salariales SC'!$P$146,IF(U54=10,'A.0_Tablas salariales SC'!$P$147,IF(U54=14,'A.0_Tablas salariales SC'!$P$148,IF(U54=18,'A.0_Tablas salariales SC'!$P$149,IF(U54=20,'A.0_Tablas salariales SC'!$P$150,IF(U54=22,'A.0_Tablas salariales SC'!$P$151,IF(U54=24,'A.0_Tablas salariales SC'!$P$152,IF(U54=26,'A.0_Tablas salariales SC'!$P$153,IF(U54=28,'A.0_Tablas salariales SC'!$P$154,0)))))))))))</f>
        <v>543.53100000000006</v>
      </c>
      <c r="AC54" s="175">
        <f>IF(V54=2,'A.0_Tablas salariales SC'!$P$173,(IF(V54=6,'A.0_Tablas salariales SC'!$P$174,IF(V54=10,'A.0_Tablas salariales SC'!$P$175,IF(V54=14,'A.0_Tablas salariales SC'!$P$176,IF(V54=18,'A.0_Tablas salariales SC'!$P$177,IF(V54=20,'A.0_Tablas salariales SC'!$P$178,IF(V54=22,'A.0_Tablas salariales SC'!$P$179,IF(V54=24,'A.0_Tablas salariales SC'!$P$180,IF(V54=26,'A.0_Tablas salariales SC'!$P$181,IF(V54=28,'A.0_Tablas salariales SC'!$P$182,0)))))))))))</f>
        <v>559.83693000000005</v>
      </c>
    </row>
    <row r="55" spans="1:29">
      <c r="A55" s="508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2">
        <f t="shared" si="55"/>
        <v>1900</v>
      </c>
      <c r="G55" s="173">
        <f t="shared" si="56"/>
        <v>2026</v>
      </c>
      <c r="H55" s="173">
        <f t="shared" si="56"/>
        <v>2032</v>
      </c>
      <c r="I55" s="173">
        <f t="shared" si="41"/>
        <v>126</v>
      </c>
      <c r="J55" s="173">
        <f t="shared" si="42"/>
        <v>127</v>
      </c>
      <c r="K55" s="173">
        <f t="shared" si="43"/>
        <v>128</v>
      </c>
      <c r="L55" s="173">
        <f t="shared" si="44"/>
        <v>129</v>
      </c>
      <c r="M55" s="173">
        <f t="shared" si="45"/>
        <v>130</v>
      </c>
      <c r="N55" s="173">
        <f t="shared" si="46"/>
        <v>131</v>
      </c>
      <c r="O55" s="173">
        <f t="shared" si="47"/>
        <v>132</v>
      </c>
      <c r="P55" s="173">
        <f t="shared" si="48"/>
        <v>28</v>
      </c>
      <c r="Q55" s="173">
        <f t="shared" si="49"/>
        <v>28</v>
      </c>
      <c r="R55" s="173">
        <f t="shared" si="50"/>
        <v>28</v>
      </c>
      <c r="S55" s="173">
        <f t="shared" si="51"/>
        <v>28</v>
      </c>
      <c r="T55" s="173">
        <f t="shared" si="52"/>
        <v>28</v>
      </c>
      <c r="U55" s="173">
        <f t="shared" si="53"/>
        <v>28</v>
      </c>
      <c r="V55" s="173">
        <f t="shared" si="54"/>
        <v>28</v>
      </c>
      <c r="W55" s="175">
        <f>IF(P55=2,'A.0_Tablas salariales SC'!$P$9,(IF(P55=6,'A.0_Tablas salariales SC'!$P$10,IF(P55=10,'A.0_Tablas salariales SC'!$P$11,IF(P55=14,'A.0_Tablas salariales SC'!$P$12,IF(P55=18,'A.0_Tablas salariales SC'!$P$13,IF(P55=20,'A.0_Tablas salariales SC'!$P$14,IF(P55=22,'A.0_Tablas salariales SC'!$P$15,IF(P55=24,'A.0_Tablas salariales SC'!$P$16,IF(P55=26,'A.0_Tablas salariales SC'!$P$17,IF(P55=28,'A.0_Tablas salariales SC'!$P$18,0)))))))))))</f>
        <v>446.8</v>
      </c>
      <c r="X55" s="175">
        <f>IF(Q55=2,'A.0_Tablas salariales SC'!$P$36,(IF(Q55=6,'A.0_Tablas salariales SC'!$P$37,IF(Q55=10,'A.0_Tablas salariales SC'!$P$38,IF(Q55=14,'A.0_Tablas salariales SC'!$P$39,IF(Q55=18,'A.0_Tablas salariales SC'!$P$40,IF(Q55=20,'A.0_Tablas salariales SC'!$P$41,IF(Q55=22,'A.0_Tablas salariales SC'!$P$42,IF(Q55=24,'A.0_Tablas salariales SC'!$P$43,IF(Q55=26,'A.0_Tablas salariales SC'!$P$44,IF(Q55=28,'A.0_Tablas salariales SC'!$P$45,0)))))))))))</f>
        <v>462.44</v>
      </c>
      <c r="Y55" s="175">
        <f>IF(R55=2,'A.0_Tablas salariales SC'!$P$63,(IF(R55=6,'A.0_Tablas salariales SC'!$P$64,IF(R55=10,'A.0_Tablas salariales SC'!$P$65,IF(R55=14,'A.0_Tablas salariales SC'!$P$66,IF(R55=18,'A.0_Tablas salariales SC'!$P$67,IF(R55=20,'A.0_Tablas salariales SC'!$P$68,IF(R55=22,'A.0_Tablas salariales SC'!$P$69,IF(R55=24,'A.0_Tablas salariales SC'!$P$70,IF(R55=26,'A.0_Tablas salariales SC'!$P$71,IF(R55=28,'A.0_Tablas salariales SC'!$P$72,0)))))))))))</f>
        <v>480.93</v>
      </c>
      <c r="Z55" s="175">
        <f>IF(S55=2,'A.0_Tablas salariales SC'!$P$90,(IF(S55=6,'A.0_Tablas salariales SC'!$P$91,IF(S55=10,'A.0_Tablas salariales SC'!$P$92,IF(S55=14,'A.0_Tablas salariales SC'!$P$93,IF(S55=18,'A.0_Tablas salariales SC'!$P$94,IF(S55=20,'A.0_Tablas salariales SC'!$P$95,IF(S55=22,'A.0_Tablas salariales SC'!$P$96,IF(S55=24,'A.0_Tablas salariales SC'!$P$97,IF(S55=26,'A.0_Tablas salariales SC'!$P$98,IF(S55=28,'A.0_Tablas salariales SC'!$P$99,0)))))))))))</f>
        <v>502.58</v>
      </c>
      <c r="AA55" s="175">
        <f>IF(T55=2,'A.0_Tablas salariales SC'!$P$117,(IF(T55=6,'A.0_Tablas salariales SC'!$P$118,IF(T55=10,'A.0_Tablas salariales SC'!$P$119,IF(T55=14,'A.0_Tablas salariales SC'!$P$120,IF(T55=18,'A.0_Tablas salariales SC'!$P$121,IF(T55=20,'A.0_Tablas salariales SC'!$P$122,IF(T55=22,'A.0_Tablas salariales SC'!$P$123,IF(T55=24,'A.0_Tablas salariales SC'!$P$124,IF(T55=26,'A.0_Tablas salariales SC'!$P$125,IF(T55=28,'A.0_Tablas salariales SC'!$P$126,0)))))))))))</f>
        <v>527.70000000000005</v>
      </c>
      <c r="AB55" s="175">
        <f>IF(U55=2,'A.0_Tablas salariales SC'!$P$145,(IF(U55=6,'A.0_Tablas salariales SC'!$P$146,IF(U55=10,'A.0_Tablas salariales SC'!$P$147,IF(U55=14,'A.0_Tablas salariales SC'!$P$148,IF(U55=18,'A.0_Tablas salariales SC'!$P$149,IF(U55=20,'A.0_Tablas salariales SC'!$P$150,IF(U55=22,'A.0_Tablas salariales SC'!$P$151,IF(U55=24,'A.0_Tablas salariales SC'!$P$152,IF(U55=26,'A.0_Tablas salariales SC'!$P$153,IF(U55=28,'A.0_Tablas salariales SC'!$P$154,0)))))))))))</f>
        <v>543.53100000000006</v>
      </c>
      <c r="AC55" s="175">
        <f>IF(V55=2,'A.0_Tablas salariales SC'!$P$173,(IF(V55=6,'A.0_Tablas salariales SC'!$P$174,IF(V55=10,'A.0_Tablas salariales SC'!$P$175,IF(V55=14,'A.0_Tablas salariales SC'!$P$176,IF(V55=18,'A.0_Tablas salariales SC'!$P$177,IF(V55=20,'A.0_Tablas salariales SC'!$P$178,IF(V55=22,'A.0_Tablas salariales SC'!$P$179,IF(V55=24,'A.0_Tablas salariales SC'!$P$180,IF(V55=26,'A.0_Tablas salariales SC'!$P$181,IF(V55=28,'A.0_Tablas salariales SC'!$P$182,0)))))))))))</f>
        <v>559.83693000000005</v>
      </c>
    </row>
    <row r="56" spans="1:29">
      <c r="A56" s="508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2">
        <f t="shared" si="55"/>
        <v>1900</v>
      </c>
      <c r="G56" s="173">
        <f t="shared" si="56"/>
        <v>2026</v>
      </c>
      <c r="H56" s="173">
        <f t="shared" si="56"/>
        <v>2032</v>
      </c>
      <c r="I56" s="173">
        <f t="shared" si="41"/>
        <v>126</v>
      </c>
      <c r="J56" s="173">
        <f t="shared" si="42"/>
        <v>127</v>
      </c>
      <c r="K56" s="173">
        <f t="shared" si="43"/>
        <v>128</v>
      </c>
      <c r="L56" s="173">
        <f t="shared" si="44"/>
        <v>129</v>
      </c>
      <c r="M56" s="173">
        <f t="shared" si="45"/>
        <v>130</v>
      </c>
      <c r="N56" s="173">
        <f t="shared" si="46"/>
        <v>131</v>
      </c>
      <c r="O56" s="173">
        <f t="shared" si="47"/>
        <v>132</v>
      </c>
      <c r="P56" s="173">
        <f t="shared" si="48"/>
        <v>28</v>
      </c>
      <c r="Q56" s="173">
        <f t="shared" si="49"/>
        <v>28</v>
      </c>
      <c r="R56" s="173">
        <f t="shared" si="50"/>
        <v>28</v>
      </c>
      <c r="S56" s="173">
        <f t="shared" si="51"/>
        <v>28</v>
      </c>
      <c r="T56" s="173">
        <f t="shared" si="52"/>
        <v>28</v>
      </c>
      <c r="U56" s="173">
        <f t="shared" si="53"/>
        <v>28</v>
      </c>
      <c r="V56" s="173">
        <f t="shared" si="54"/>
        <v>28</v>
      </c>
      <c r="W56" s="175">
        <f>IF(P56=2,'A.0_Tablas salariales SC'!$P$9,(IF(P56=6,'A.0_Tablas salariales SC'!$P$10,IF(P56=10,'A.0_Tablas salariales SC'!$P$11,IF(P56=14,'A.0_Tablas salariales SC'!$P$12,IF(P56=18,'A.0_Tablas salariales SC'!$P$13,IF(P56=20,'A.0_Tablas salariales SC'!$P$14,IF(P56=22,'A.0_Tablas salariales SC'!$P$15,IF(P56=24,'A.0_Tablas salariales SC'!$P$16,IF(P56=26,'A.0_Tablas salariales SC'!$P$17,IF(P56=28,'A.0_Tablas salariales SC'!$P$18,0)))))))))))</f>
        <v>446.8</v>
      </c>
      <c r="X56" s="175">
        <f>IF(Q56=2,'A.0_Tablas salariales SC'!$P$36,(IF(Q56=6,'A.0_Tablas salariales SC'!$P$37,IF(Q56=10,'A.0_Tablas salariales SC'!$P$38,IF(Q56=14,'A.0_Tablas salariales SC'!$P$39,IF(Q56=18,'A.0_Tablas salariales SC'!$P$40,IF(Q56=20,'A.0_Tablas salariales SC'!$P$41,IF(Q56=22,'A.0_Tablas salariales SC'!$P$42,IF(Q56=24,'A.0_Tablas salariales SC'!$P$43,IF(Q56=26,'A.0_Tablas salariales SC'!$P$44,IF(Q56=28,'A.0_Tablas salariales SC'!$P$45,0)))))))))))</f>
        <v>462.44</v>
      </c>
      <c r="Y56" s="175">
        <f>IF(R56=2,'A.0_Tablas salariales SC'!$P$63,(IF(R56=6,'A.0_Tablas salariales SC'!$P$64,IF(R56=10,'A.0_Tablas salariales SC'!$P$65,IF(R56=14,'A.0_Tablas salariales SC'!$P$66,IF(R56=18,'A.0_Tablas salariales SC'!$P$67,IF(R56=20,'A.0_Tablas salariales SC'!$P$68,IF(R56=22,'A.0_Tablas salariales SC'!$P$69,IF(R56=24,'A.0_Tablas salariales SC'!$P$70,IF(R56=26,'A.0_Tablas salariales SC'!$P$71,IF(R56=28,'A.0_Tablas salariales SC'!$P$72,0)))))))))))</f>
        <v>480.93</v>
      </c>
      <c r="Z56" s="175">
        <f>IF(S56=2,'A.0_Tablas salariales SC'!$P$90,(IF(S56=6,'A.0_Tablas salariales SC'!$P$91,IF(S56=10,'A.0_Tablas salariales SC'!$P$92,IF(S56=14,'A.0_Tablas salariales SC'!$P$93,IF(S56=18,'A.0_Tablas salariales SC'!$P$94,IF(S56=20,'A.0_Tablas salariales SC'!$P$95,IF(S56=22,'A.0_Tablas salariales SC'!$P$96,IF(S56=24,'A.0_Tablas salariales SC'!$P$97,IF(S56=26,'A.0_Tablas salariales SC'!$P$98,IF(S56=28,'A.0_Tablas salariales SC'!$P$99,0)))))))))))</f>
        <v>502.58</v>
      </c>
      <c r="AA56" s="175">
        <f>IF(T56=2,'A.0_Tablas salariales SC'!$P$117,(IF(T56=6,'A.0_Tablas salariales SC'!$P$118,IF(T56=10,'A.0_Tablas salariales SC'!$P$119,IF(T56=14,'A.0_Tablas salariales SC'!$P$120,IF(T56=18,'A.0_Tablas salariales SC'!$P$121,IF(T56=20,'A.0_Tablas salariales SC'!$P$122,IF(T56=22,'A.0_Tablas salariales SC'!$P$123,IF(T56=24,'A.0_Tablas salariales SC'!$P$124,IF(T56=26,'A.0_Tablas salariales SC'!$P$125,IF(T56=28,'A.0_Tablas salariales SC'!$P$126,0)))))))))))</f>
        <v>527.70000000000005</v>
      </c>
      <c r="AB56" s="175">
        <f>IF(U56=2,'A.0_Tablas salariales SC'!$P$145,(IF(U56=6,'A.0_Tablas salariales SC'!$P$146,IF(U56=10,'A.0_Tablas salariales SC'!$P$147,IF(U56=14,'A.0_Tablas salariales SC'!$P$148,IF(U56=18,'A.0_Tablas salariales SC'!$P$149,IF(U56=20,'A.0_Tablas salariales SC'!$P$150,IF(U56=22,'A.0_Tablas salariales SC'!$P$151,IF(U56=24,'A.0_Tablas salariales SC'!$P$152,IF(U56=26,'A.0_Tablas salariales SC'!$P$153,IF(U56=28,'A.0_Tablas salariales SC'!$P$154,0)))))))))))</f>
        <v>543.53100000000006</v>
      </c>
      <c r="AC56" s="175">
        <f>IF(V56=2,'A.0_Tablas salariales SC'!$P$173,(IF(V56=6,'A.0_Tablas salariales SC'!$P$174,IF(V56=10,'A.0_Tablas salariales SC'!$P$175,IF(V56=14,'A.0_Tablas salariales SC'!$P$176,IF(V56=18,'A.0_Tablas salariales SC'!$P$177,IF(V56=20,'A.0_Tablas salariales SC'!$P$178,IF(V56=22,'A.0_Tablas salariales SC'!$P$179,IF(V56=24,'A.0_Tablas salariales SC'!$P$180,IF(V56=26,'A.0_Tablas salariales SC'!$P$181,IF(V56=28,'A.0_Tablas salariales SC'!$P$182,0)))))))))))</f>
        <v>559.83693000000005</v>
      </c>
    </row>
    <row r="57" spans="1:29">
      <c r="A57" s="508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2">
        <f t="shared" si="55"/>
        <v>1900</v>
      </c>
      <c r="G57" s="173">
        <f t="shared" si="56"/>
        <v>2026</v>
      </c>
      <c r="H57" s="173">
        <f t="shared" si="56"/>
        <v>2032</v>
      </c>
      <c r="I57" s="173">
        <f t="shared" si="41"/>
        <v>126</v>
      </c>
      <c r="J57" s="173">
        <f t="shared" si="42"/>
        <v>127</v>
      </c>
      <c r="K57" s="173">
        <f t="shared" si="43"/>
        <v>128</v>
      </c>
      <c r="L57" s="173">
        <f t="shared" si="44"/>
        <v>129</v>
      </c>
      <c r="M57" s="173">
        <f t="shared" si="45"/>
        <v>130</v>
      </c>
      <c r="N57" s="173">
        <f t="shared" si="46"/>
        <v>131</v>
      </c>
      <c r="O57" s="173">
        <f t="shared" si="47"/>
        <v>132</v>
      </c>
      <c r="P57" s="173">
        <f t="shared" si="48"/>
        <v>28</v>
      </c>
      <c r="Q57" s="173">
        <f t="shared" si="49"/>
        <v>28</v>
      </c>
      <c r="R57" s="173">
        <f t="shared" si="50"/>
        <v>28</v>
      </c>
      <c r="S57" s="173">
        <f t="shared" si="51"/>
        <v>28</v>
      </c>
      <c r="T57" s="173">
        <f t="shared" si="52"/>
        <v>28</v>
      </c>
      <c r="U57" s="173">
        <f t="shared" si="53"/>
        <v>28</v>
      </c>
      <c r="V57" s="173">
        <f t="shared" si="54"/>
        <v>28</v>
      </c>
      <c r="W57" s="175">
        <f>IF(P57=2,'A.0_Tablas salariales SC'!$P$9,(IF(P57=6,'A.0_Tablas salariales SC'!$P$10,IF(P57=10,'A.0_Tablas salariales SC'!$P$11,IF(P57=14,'A.0_Tablas salariales SC'!$P$12,IF(P57=18,'A.0_Tablas salariales SC'!$P$13,IF(P57=20,'A.0_Tablas salariales SC'!$P$14,IF(P57=22,'A.0_Tablas salariales SC'!$P$15,IF(P57=24,'A.0_Tablas salariales SC'!$P$16,IF(P57=26,'A.0_Tablas salariales SC'!$P$17,IF(P57=28,'A.0_Tablas salariales SC'!$P$18,0)))))))))))</f>
        <v>446.8</v>
      </c>
      <c r="X57" s="175">
        <f>IF(Q57=2,'A.0_Tablas salariales SC'!$P$36,(IF(Q57=6,'A.0_Tablas salariales SC'!$P$37,IF(Q57=10,'A.0_Tablas salariales SC'!$P$38,IF(Q57=14,'A.0_Tablas salariales SC'!$P$39,IF(Q57=18,'A.0_Tablas salariales SC'!$P$40,IF(Q57=20,'A.0_Tablas salariales SC'!$P$41,IF(Q57=22,'A.0_Tablas salariales SC'!$P$42,IF(Q57=24,'A.0_Tablas salariales SC'!$P$43,IF(Q57=26,'A.0_Tablas salariales SC'!$P$44,IF(Q57=28,'A.0_Tablas salariales SC'!$P$45,0)))))))))))</f>
        <v>462.44</v>
      </c>
      <c r="Y57" s="175">
        <f>IF(R57=2,'A.0_Tablas salariales SC'!$P$63,(IF(R57=6,'A.0_Tablas salariales SC'!$P$64,IF(R57=10,'A.0_Tablas salariales SC'!$P$65,IF(R57=14,'A.0_Tablas salariales SC'!$P$66,IF(R57=18,'A.0_Tablas salariales SC'!$P$67,IF(R57=20,'A.0_Tablas salariales SC'!$P$68,IF(R57=22,'A.0_Tablas salariales SC'!$P$69,IF(R57=24,'A.0_Tablas salariales SC'!$P$70,IF(R57=26,'A.0_Tablas salariales SC'!$P$71,IF(R57=28,'A.0_Tablas salariales SC'!$P$72,0)))))))))))</f>
        <v>480.93</v>
      </c>
      <c r="Z57" s="175">
        <f>IF(S57=2,'A.0_Tablas salariales SC'!$P$90,(IF(S57=6,'A.0_Tablas salariales SC'!$P$91,IF(S57=10,'A.0_Tablas salariales SC'!$P$92,IF(S57=14,'A.0_Tablas salariales SC'!$P$93,IF(S57=18,'A.0_Tablas salariales SC'!$P$94,IF(S57=20,'A.0_Tablas salariales SC'!$P$95,IF(S57=22,'A.0_Tablas salariales SC'!$P$96,IF(S57=24,'A.0_Tablas salariales SC'!$P$97,IF(S57=26,'A.0_Tablas salariales SC'!$P$98,IF(S57=28,'A.0_Tablas salariales SC'!$P$99,0)))))))))))</f>
        <v>502.58</v>
      </c>
      <c r="AA57" s="175">
        <f>IF(T57=2,'A.0_Tablas salariales SC'!$P$117,(IF(T57=6,'A.0_Tablas salariales SC'!$P$118,IF(T57=10,'A.0_Tablas salariales SC'!$P$119,IF(T57=14,'A.0_Tablas salariales SC'!$P$120,IF(T57=18,'A.0_Tablas salariales SC'!$P$121,IF(T57=20,'A.0_Tablas salariales SC'!$P$122,IF(T57=22,'A.0_Tablas salariales SC'!$P$123,IF(T57=24,'A.0_Tablas salariales SC'!$P$124,IF(T57=26,'A.0_Tablas salariales SC'!$P$125,IF(T57=28,'A.0_Tablas salariales SC'!$P$126,0)))))))))))</f>
        <v>527.70000000000005</v>
      </c>
      <c r="AB57" s="175">
        <f>IF(U57=2,'A.0_Tablas salariales SC'!$P$145,(IF(U57=6,'A.0_Tablas salariales SC'!$P$146,IF(U57=10,'A.0_Tablas salariales SC'!$P$147,IF(U57=14,'A.0_Tablas salariales SC'!$P$148,IF(U57=18,'A.0_Tablas salariales SC'!$P$149,IF(U57=20,'A.0_Tablas salariales SC'!$P$150,IF(U57=22,'A.0_Tablas salariales SC'!$P$151,IF(U57=24,'A.0_Tablas salariales SC'!$P$152,IF(U57=26,'A.0_Tablas salariales SC'!$P$153,IF(U57=28,'A.0_Tablas salariales SC'!$P$154,0)))))))))))</f>
        <v>543.53100000000006</v>
      </c>
      <c r="AC57" s="175">
        <f>IF(V57=2,'A.0_Tablas salariales SC'!$P$173,(IF(V57=6,'A.0_Tablas salariales SC'!$P$174,IF(V57=10,'A.0_Tablas salariales SC'!$P$175,IF(V57=14,'A.0_Tablas salariales SC'!$P$176,IF(V57=18,'A.0_Tablas salariales SC'!$P$177,IF(V57=20,'A.0_Tablas salariales SC'!$P$178,IF(V57=22,'A.0_Tablas salariales SC'!$P$179,IF(V57=24,'A.0_Tablas salariales SC'!$P$180,IF(V57=26,'A.0_Tablas salariales SC'!$P$181,IF(V57=28,'A.0_Tablas salariales SC'!$P$182,0)))))))))))</f>
        <v>559.83693000000005</v>
      </c>
    </row>
    <row r="58" spans="1:29">
      <c r="A58" s="508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2">
        <f t="shared" si="55"/>
        <v>1900</v>
      </c>
      <c r="G58" s="173">
        <f t="shared" si="56"/>
        <v>2026</v>
      </c>
      <c r="H58" s="173">
        <f t="shared" si="56"/>
        <v>2032</v>
      </c>
      <c r="I58" s="173">
        <f t="shared" si="41"/>
        <v>126</v>
      </c>
      <c r="J58" s="173">
        <f t="shared" si="42"/>
        <v>127</v>
      </c>
      <c r="K58" s="173">
        <f t="shared" si="43"/>
        <v>128</v>
      </c>
      <c r="L58" s="173">
        <f t="shared" si="44"/>
        <v>129</v>
      </c>
      <c r="M58" s="173">
        <f t="shared" si="45"/>
        <v>130</v>
      </c>
      <c r="N58" s="173">
        <f t="shared" si="46"/>
        <v>131</v>
      </c>
      <c r="O58" s="173">
        <f t="shared" si="47"/>
        <v>132</v>
      </c>
      <c r="P58" s="173">
        <f t="shared" si="48"/>
        <v>28</v>
      </c>
      <c r="Q58" s="173">
        <f t="shared" si="49"/>
        <v>28</v>
      </c>
      <c r="R58" s="173">
        <f t="shared" si="50"/>
        <v>28</v>
      </c>
      <c r="S58" s="173">
        <f t="shared" si="51"/>
        <v>28</v>
      </c>
      <c r="T58" s="173">
        <f t="shared" si="52"/>
        <v>28</v>
      </c>
      <c r="U58" s="173">
        <f t="shared" si="53"/>
        <v>28</v>
      </c>
      <c r="V58" s="173">
        <f t="shared" si="54"/>
        <v>28</v>
      </c>
      <c r="W58" s="175">
        <f>IF(P58=2,'A.0_Tablas salariales SC'!$P$9,(IF(P58=6,'A.0_Tablas salariales SC'!$P$10,IF(P58=10,'A.0_Tablas salariales SC'!$P$11,IF(P58=14,'A.0_Tablas salariales SC'!$P$12,IF(P58=18,'A.0_Tablas salariales SC'!$P$13,IF(P58=20,'A.0_Tablas salariales SC'!$P$14,IF(P58=22,'A.0_Tablas salariales SC'!$P$15,IF(P58=24,'A.0_Tablas salariales SC'!$P$16,IF(P58=26,'A.0_Tablas salariales SC'!$P$17,IF(P58=28,'A.0_Tablas salariales SC'!$P$18,0)))))))))))</f>
        <v>446.8</v>
      </c>
      <c r="X58" s="175">
        <f>IF(Q58=2,'A.0_Tablas salariales SC'!$P$36,(IF(Q58=6,'A.0_Tablas salariales SC'!$P$37,IF(Q58=10,'A.0_Tablas salariales SC'!$P$38,IF(Q58=14,'A.0_Tablas salariales SC'!$P$39,IF(Q58=18,'A.0_Tablas salariales SC'!$P$40,IF(Q58=20,'A.0_Tablas salariales SC'!$P$41,IF(Q58=22,'A.0_Tablas salariales SC'!$P$42,IF(Q58=24,'A.0_Tablas salariales SC'!$P$43,IF(Q58=26,'A.0_Tablas salariales SC'!$P$44,IF(Q58=28,'A.0_Tablas salariales SC'!$P$45,0)))))))))))</f>
        <v>462.44</v>
      </c>
      <c r="Y58" s="175">
        <f>IF(R58=2,'A.0_Tablas salariales SC'!$P$63,(IF(R58=6,'A.0_Tablas salariales SC'!$P$64,IF(R58=10,'A.0_Tablas salariales SC'!$P$65,IF(R58=14,'A.0_Tablas salariales SC'!$P$66,IF(R58=18,'A.0_Tablas salariales SC'!$P$67,IF(R58=20,'A.0_Tablas salariales SC'!$P$68,IF(R58=22,'A.0_Tablas salariales SC'!$P$69,IF(R58=24,'A.0_Tablas salariales SC'!$P$70,IF(R58=26,'A.0_Tablas salariales SC'!$P$71,IF(R58=28,'A.0_Tablas salariales SC'!$P$72,0)))))))))))</f>
        <v>480.93</v>
      </c>
      <c r="Z58" s="175">
        <f>IF(S58=2,'A.0_Tablas salariales SC'!$P$90,(IF(S58=6,'A.0_Tablas salariales SC'!$P$91,IF(S58=10,'A.0_Tablas salariales SC'!$P$92,IF(S58=14,'A.0_Tablas salariales SC'!$P$93,IF(S58=18,'A.0_Tablas salariales SC'!$P$94,IF(S58=20,'A.0_Tablas salariales SC'!$P$95,IF(S58=22,'A.0_Tablas salariales SC'!$P$96,IF(S58=24,'A.0_Tablas salariales SC'!$P$97,IF(S58=26,'A.0_Tablas salariales SC'!$P$98,IF(S58=28,'A.0_Tablas salariales SC'!$P$99,0)))))))))))</f>
        <v>502.58</v>
      </c>
      <c r="AA58" s="175">
        <f>IF(T58=2,'A.0_Tablas salariales SC'!$P$117,(IF(T58=6,'A.0_Tablas salariales SC'!$P$118,IF(T58=10,'A.0_Tablas salariales SC'!$P$119,IF(T58=14,'A.0_Tablas salariales SC'!$P$120,IF(T58=18,'A.0_Tablas salariales SC'!$P$121,IF(T58=20,'A.0_Tablas salariales SC'!$P$122,IF(T58=22,'A.0_Tablas salariales SC'!$P$123,IF(T58=24,'A.0_Tablas salariales SC'!$P$124,IF(T58=26,'A.0_Tablas salariales SC'!$P$125,IF(T58=28,'A.0_Tablas salariales SC'!$P$126,0)))))))))))</f>
        <v>527.70000000000005</v>
      </c>
      <c r="AB58" s="175">
        <f>IF(U58=2,'A.0_Tablas salariales SC'!$P$145,(IF(U58=6,'A.0_Tablas salariales SC'!$P$146,IF(U58=10,'A.0_Tablas salariales SC'!$P$147,IF(U58=14,'A.0_Tablas salariales SC'!$P$148,IF(U58=18,'A.0_Tablas salariales SC'!$P$149,IF(U58=20,'A.0_Tablas salariales SC'!$P$150,IF(U58=22,'A.0_Tablas salariales SC'!$P$151,IF(U58=24,'A.0_Tablas salariales SC'!$P$152,IF(U58=26,'A.0_Tablas salariales SC'!$P$153,IF(U58=28,'A.0_Tablas salariales SC'!$P$154,0)))))))))))</f>
        <v>543.53100000000006</v>
      </c>
      <c r="AC58" s="175">
        <f>IF(V58=2,'A.0_Tablas salariales SC'!$P$173,(IF(V58=6,'A.0_Tablas salariales SC'!$P$174,IF(V58=10,'A.0_Tablas salariales SC'!$P$175,IF(V58=14,'A.0_Tablas salariales SC'!$P$176,IF(V58=18,'A.0_Tablas salariales SC'!$P$177,IF(V58=20,'A.0_Tablas salariales SC'!$P$178,IF(V58=22,'A.0_Tablas salariales SC'!$P$179,IF(V58=24,'A.0_Tablas salariales SC'!$P$180,IF(V58=26,'A.0_Tablas salariales SC'!$P$181,IF(V58=28,'A.0_Tablas salariales SC'!$P$182,0)))))))))))</f>
        <v>559.83693000000005</v>
      </c>
    </row>
    <row r="59" spans="1:29">
      <c r="A59" s="508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2">
        <f t="shared" si="55"/>
        <v>1900</v>
      </c>
      <c r="G59" s="173">
        <f t="shared" si="56"/>
        <v>2026</v>
      </c>
      <c r="H59" s="173">
        <f t="shared" si="56"/>
        <v>2032</v>
      </c>
      <c r="I59" s="173">
        <f t="shared" si="41"/>
        <v>126</v>
      </c>
      <c r="J59" s="173">
        <f t="shared" si="42"/>
        <v>127</v>
      </c>
      <c r="K59" s="173">
        <f t="shared" si="43"/>
        <v>128</v>
      </c>
      <c r="L59" s="173">
        <f t="shared" si="44"/>
        <v>129</v>
      </c>
      <c r="M59" s="173">
        <f t="shared" si="45"/>
        <v>130</v>
      </c>
      <c r="N59" s="173">
        <f t="shared" si="46"/>
        <v>131</v>
      </c>
      <c r="O59" s="173">
        <f t="shared" si="47"/>
        <v>132</v>
      </c>
      <c r="P59" s="173">
        <f t="shared" si="48"/>
        <v>28</v>
      </c>
      <c r="Q59" s="173">
        <f t="shared" si="49"/>
        <v>28</v>
      </c>
      <c r="R59" s="173">
        <f t="shared" si="50"/>
        <v>28</v>
      </c>
      <c r="S59" s="173">
        <f t="shared" si="51"/>
        <v>28</v>
      </c>
      <c r="T59" s="173">
        <f t="shared" si="52"/>
        <v>28</v>
      </c>
      <c r="U59" s="173">
        <f t="shared" si="53"/>
        <v>28</v>
      </c>
      <c r="V59" s="173">
        <f t="shared" si="54"/>
        <v>28</v>
      </c>
      <c r="W59" s="175">
        <f>IF(P59=2,'A.0_Tablas salariales SC'!$P$9,(IF(P59=6,'A.0_Tablas salariales SC'!$P$10,IF(P59=10,'A.0_Tablas salariales SC'!$P$11,IF(P59=14,'A.0_Tablas salariales SC'!$P$12,IF(P59=18,'A.0_Tablas salariales SC'!$P$13,IF(P59=20,'A.0_Tablas salariales SC'!$P$14,IF(P59=22,'A.0_Tablas salariales SC'!$P$15,IF(P59=24,'A.0_Tablas salariales SC'!$P$16,IF(P59=26,'A.0_Tablas salariales SC'!$P$17,IF(P59=28,'A.0_Tablas salariales SC'!$P$18,0)))))))))))</f>
        <v>446.8</v>
      </c>
      <c r="X59" s="175">
        <f>IF(Q59=2,'A.0_Tablas salariales SC'!$P$36,(IF(Q59=6,'A.0_Tablas salariales SC'!$P$37,IF(Q59=10,'A.0_Tablas salariales SC'!$P$38,IF(Q59=14,'A.0_Tablas salariales SC'!$P$39,IF(Q59=18,'A.0_Tablas salariales SC'!$P$40,IF(Q59=20,'A.0_Tablas salariales SC'!$P$41,IF(Q59=22,'A.0_Tablas salariales SC'!$P$42,IF(Q59=24,'A.0_Tablas salariales SC'!$P$43,IF(Q59=26,'A.0_Tablas salariales SC'!$P$44,IF(Q59=28,'A.0_Tablas salariales SC'!$P$45,0)))))))))))</f>
        <v>462.44</v>
      </c>
      <c r="Y59" s="175">
        <f>IF(R59=2,'A.0_Tablas salariales SC'!$P$63,(IF(R59=6,'A.0_Tablas salariales SC'!$P$64,IF(R59=10,'A.0_Tablas salariales SC'!$P$65,IF(R59=14,'A.0_Tablas salariales SC'!$P$66,IF(R59=18,'A.0_Tablas salariales SC'!$P$67,IF(R59=20,'A.0_Tablas salariales SC'!$P$68,IF(R59=22,'A.0_Tablas salariales SC'!$P$69,IF(R59=24,'A.0_Tablas salariales SC'!$P$70,IF(R59=26,'A.0_Tablas salariales SC'!$P$71,IF(R59=28,'A.0_Tablas salariales SC'!$P$72,0)))))))))))</f>
        <v>480.93</v>
      </c>
      <c r="Z59" s="175">
        <f>IF(S59=2,'A.0_Tablas salariales SC'!$P$90,(IF(S59=6,'A.0_Tablas salariales SC'!$P$91,IF(S59=10,'A.0_Tablas salariales SC'!$P$92,IF(S59=14,'A.0_Tablas salariales SC'!$P$93,IF(S59=18,'A.0_Tablas salariales SC'!$P$94,IF(S59=20,'A.0_Tablas salariales SC'!$P$95,IF(S59=22,'A.0_Tablas salariales SC'!$P$96,IF(S59=24,'A.0_Tablas salariales SC'!$P$97,IF(S59=26,'A.0_Tablas salariales SC'!$P$98,IF(S59=28,'A.0_Tablas salariales SC'!$P$99,0)))))))))))</f>
        <v>502.58</v>
      </c>
      <c r="AA59" s="175">
        <f>IF(T59=2,'A.0_Tablas salariales SC'!$P$117,(IF(T59=6,'A.0_Tablas salariales SC'!$P$118,IF(T59=10,'A.0_Tablas salariales SC'!$P$119,IF(T59=14,'A.0_Tablas salariales SC'!$P$120,IF(T59=18,'A.0_Tablas salariales SC'!$P$121,IF(T59=20,'A.0_Tablas salariales SC'!$P$122,IF(T59=22,'A.0_Tablas salariales SC'!$P$123,IF(T59=24,'A.0_Tablas salariales SC'!$P$124,IF(T59=26,'A.0_Tablas salariales SC'!$P$125,IF(T59=28,'A.0_Tablas salariales SC'!$P$126,0)))))))))))</f>
        <v>527.70000000000005</v>
      </c>
      <c r="AB59" s="175">
        <f>IF(U59=2,'A.0_Tablas salariales SC'!$P$145,(IF(U59=6,'A.0_Tablas salariales SC'!$P$146,IF(U59=10,'A.0_Tablas salariales SC'!$P$147,IF(U59=14,'A.0_Tablas salariales SC'!$P$148,IF(U59=18,'A.0_Tablas salariales SC'!$P$149,IF(U59=20,'A.0_Tablas salariales SC'!$P$150,IF(U59=22,'A.0_Tablas salariales SC'!$P$151,IF(U59=24,'A.0_Tablas salariales SC'!$P$152,IF(U59=26,'A.0_Tablas salariales SC'!$P$153,IF(U59=28,'A.0_Tablas salariales SC'!$P$154,0)))))))))))</f>
        <v>543.53100000000006</v>
      </c>
      <c r="AC59" s="175">
        <f>IF(V59=2,'A.0_Tablas salariales SC'!$P$173,(IF(V59=6,'A.0_Tablas salariales SC'!$P$174,IF(V59=10,'A.0_Tablas salariales SC'!$P$175,IF(V59=14,'A.0_Tablas salariales SC'!$P$176,IF(V59=18,'A.0_Tablas salariales SC'!$P$177,IF(V59=20,'A.0_Tablas salariales SC'!$P$178,IF(V59=22,'A.0_Tablas salariales SC'!$P$179,IF(V59=24,'A.0_Tablas salariales SC'!$P$180,IF(V59=26,'A.0_Tablas salariales SC'!$P$181,IF(V59=28,'A.0_Tablas salariales SC'!$P$182,0)))))))))))</f>
        <v>559.83693000000005</v>
      </c>
    </row>
    <row r="60" spans="1:29">
      <c r="A60" s="508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2">
        <f t="shared" si="55"/>
        <v>1900</v>
      </c>
      <c r="G60" s="173">
        <f t="shared" si="56"/>
        <v>2026</v>
      </c>
      <c r="H60" s="173">
        <f t="shared" si="56"/>
        <v>2032</v>
      </c>
      <c r="I60" s="173">
        <f t="shared" si="41"/>
        <v>126</v>
      </c>
      <c r="J60" s="173">
        <f t="shared" si="42"/>
        <v>127</v>
      </c>
      <c r="K60" s="173">
        <f t="shared" si="43"/>
        <v>128</v>
      </c>
      <c r="L60" s="173">
        <f t="shared" si="44"/>
        <v>129</v>
      </c>
      <c r="M60" s="173">
        <f t="shared" si="45"/>
        <v>130</v>
      </c>
      <c r="N60" s="173">
        <f t="shared" si="46"/>
        <v>131</v>
      </c>
      <c r="O60" s="173">
        <f t="shared" si="47"/>
        <v>132</v>
      </c>
      <c r="P60" s="173">
        <f t="shared" si="48"/>
        <v>28</v>
      </c>
      <c r="Q60" s="173">
        <f t="shared" si="49"/>
        <v>28</v>
      </c>
      <c r="R60" s="173">
        <f t="shared" si="50"/>
        <v>28</v>
      </c>
      <c r="S60" s="173">
        <f t="shared" si="51"/>
        <v>28</v>
      </c>
      <c r="T60" s="173">
        <f t="shared" si="52"/>
        <v>28</v>
      </c>
      <c r="U60" s="173">
        <f t="shared" si="53"/>
        <v>28</v>
      </c>
      <c r="V60" s="173">
        <f t="shared" si="54"/>
        <v>28</v>
      </c>
      <c r="W60" s="175">
        <f>IF(P60=2,'A.0_Tablas salariales SC'!$P$9,(IF(P60=6,'A.0_Tablas salariales SC'!$P$10,IF(P60=10,'A.0_Tablas salariales SC'!$P$11,IF(P60=14,'A.0_Tablas salariales SC'!$P$12,IF(P60=18,'A.0_Tablas salariales SC'!$P$13,IF(P60=20,'A.0_Tablas salariales SC'!$P$14,IF(P60=22,'A.0_Tablas salariales SC'!$P$15,IF(P60=24,'A.0_Tablas salariales SC'!$P$16,IF(P60=26,'A.0_Tablas salariales SC'!$P$17,IF(P60=28,'A.0_Tablas salariales SC'!$P$18,0)))))))))))</f>
        <v>446.8</v>
      </c>
      <c r="X60" s="175">
        <f>IF(Q60=2,'A.0_Tablas salariales SC'!$P$36,(IF(Q60=6,'A.0_Tablas salariales SC'!$P$37,IF(Q60=10,'A.0_Tablas salariales SC'!$P$38,IF(Q60=14,'A.0_Tablas salariales SC'!$P$39,IF(Q60=18,'A.0_Tablas salariales SC'!$P$40,IF(Q60=20,'A.0_Tablas salariales SC'!$P$41,IF(Q60=22,'A.0_Tablas salariales SC'!$P$42,IF(Q60=24,'A.0_Tablas salariales SC'!$P$43,IF(Q60=26,'A.0_Tablas salariales SC'!$P$44,IF(Q60=28,'A.0_Tablas salariales SC'!$P$45,0)))))))))))</f>
        <v>462.44</v>
      </c>
      <c r="Y60" s="175">
        <f>IF(R60=2,'A.0_Tablas salariales SC'!$P$63,(IF(R60=6,'A.0_Tablas salariales SC'!$P$64,IF(R60=10,'A.0_Tablas salariales SC'!$P$65,IF(R60=14,'A.0_Tablas salariales SC'!$P$66,IF(R60=18,'A.0_Tablas salariales SC'!$P$67,IF(R60=20,'A.0_Tablas salariales SC'!$P$68,IF(R60=22,'A.0_Tablas salariales SC'!$P$69,IF(R60=24,'A.0_Tablas salariales SC'!$P$70,IF(R60=26,'A.0_Tablas salariales SC'!$P$71,IF(R60=28,'A.0_Tablas salariales SC'!$P$72,0)))))))))))</f>
        <v>480.93</v>
      </c>
      <c r="Z60" s="175">
        <f>IF(S60=2,'A.0_Tablas salariales SC'!$P$90,(IF(S60=6,'A.0_Tablas salariales SC'!$P$91,IF(S60=10,'A.0_Tablas salariales SC'!$P$92,IF(S60=14,'A.0_Tablas salariales SC'!$P$93,IF(S60=18,'A.0_Tablas salariales SC'!$P$94,IF(S60=20,'A.0_Tablas salariales SC'!$P$95,IF(S60=22,'A.0_Tablas salariales SC'!$P$96,IF(S60=24,'A.0_Tablas salariales SC'!$P$97,IF(S60=26,'A.0_Tablas salariales SC'!$P$98,IF(S60=28,'A.0_Tablas salariales SC'!$P$99,0)))))))))))</f>
        <v>502.58</v>
      </c>
      <c r="AA60" s="175">
        <f>IF(T60=2,'A.0_Tablas salariales SC'!$P$117,(IF(T60=6,'A.0_Tablas salariales SC'!$P$118,IF(T60=10,'A.0_Tablas salariales SC'!$P$119,IF(T60=14,'A.0_Tablas salariales SC'!$P$120,IF(T60=18,'A.0_Tablas salariales SC'!$P$121,IF(T60=20,'A.0_Tablas salariales SC'!$P$122,IF(T60=22,'A.0_Tablas salariales SC'!$P$123,IF(T60=24,'A.0_Tablas salariales SC'!$P$124,IF(T60=26,'A.0_Tablas salariales SC'!$P$125,IF(T60=28,'A.0_Tablas salariales SC'!$P$126,0)))))))))))</f>
        <v>527.70000000000005</v>
      </c>
      <c r="AB60" s="175">
        <f>IF(U60=2,'A.0_Tablas salariales SC'!$P$145,(IF(U60=6,'A.0_Tablas salariales SC'!$P$146,IF(U60=10,'A.0_Tablas salariales SC'!$P$147,IF(U60=14,'A.0_Tablas salariales SC'!$P$148,IF(U60=18,'A.0_Tablas salariales SC'!$P$149,IF(U60=20,'A.0_Tablas salariales SC'!$P$150,IF(U60=22,'A.0_Tablas salariales SC'!$P$151,IF(U60=24,'A.0_Tablas salariales SC'!$P$152,IF(U60=26,'A.0_Tablas salariales SC'!$P$153,IF(U60=28,'A.0_Tablas salariales SC'!$P$154,0)))))))))))</f>
        <v>543.53100000000006</v>
      </c>
      <c r="AC60" s="175">
        <f>IF(V60=2,'A.0_Tablas salariales SC'!$P$173,(IF(V60=6,'A.0_Tablas salariales SC'!$P$174,IF(V60=10,'A.0_Tablas salariales SC'!$P$175,IF(V60=14,'A.0_Tablas salariales SC'!$P$176,IF(V60=18,'A.0_Tablas salariales SC'!$P$177,IF(V60=20,'A.0_Tablas salariales SC'!$P$178,IF(V60=22,'A.0_Tablas salariales SC'!$P$179,IF(V60=24,'A.0_Tablas salariales SC'!$P$180,IF(V60=26,'A.0_Tablas salariales SC'!$P$181,IF(V60=28,'A.0_Tablas salariales SC'!$P$182,0)))))))))))</f>
        <v>559.83693000000005</v>
      </c>
    </row>
    <row r="61" spans="1:29">
      <c r="A61" s="508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2">
        <f t="shared" si="55"/>
        <v>1900</v>
      </c>
      <c r="G61" s="173">
        <f t="shared" si="56"/>
        <v>2026</v>
      </c>
      <c r="H61" s="173">
        <f t="shared" si="56"/>
        <v>2032</v>
      </c>
      <c r="I61" s="173">
        <f t="shared" si="41"/>
        <v>126</v>
      </c>
      <c r="J61" s="173">
        <f t="shared" si="42"/>
        <v>127</v>
      </c>
      <c r="K61" s="173">
        <f t="shared" si="43"/>
        <v>128</v>
      </c>
      <c r="L61" s="173">
        <f t="shared" si="44"/>
        <v>129</v>
      </c>
      <c r="M61" s="173">
        <f t="shared" si="45"/>
        <v>130</v>
      </c>
      <c r="N61" s="173">
        <f t="shared" si="46"/>
        <v>131</v>
      </c>
      <c r="O61" s="173">
        <f t="shared" si="47"/>
        <v>132</v>
      </c>
      <c r="P61" s="173">
        <f t="shared" si="48"/>
        <v>28</v>
      </c>
      <c r="Q61" s="173">
        <f t="shared" si="49"/>
        <v>28</v>
      </c>
      <c r="R61" s="173">
        <f t="shared" si="50"/>
        <v>28</v>
      </c>
      <c r="S61" s="173">
        <f t="shared" si="51"/>
        <v>28</v>
      </c>
      <c r="T61" s="173">
        <f t="shared" si="52"/>
        <v>28</v>
      </c>
      <c r="U61" s="173">
        <f t="shared" si="53"/>
        <v>28</v>
      </c>
      <c r="V61" s="173">
        <f t="shared" si="54"/>
        <v>28</v>
      </c>
      <c r="W61" s="175">
        <f>IF(P61=2,'A.0_Tablas salariales SC'!$P$9,(IF(P61=6,'A.0_Tablas salariales SC'!$P$10,IF(P61=10,'A.0_Tablas salariales SC'!$P$11,IF(P61=14,'A.0_Tablas salariales SC'!$P$12,IF(P61=18,'A.0_Tablas salariales SC'!$P$13,IF(P61=20,'A.0_Tablas salariales SC'!$P$14,IF(P61=22,'A.0_Tablas salariales SC'!$P$15,IF(P61=24,'A.0_Tablas salariales SC'!$P$16,IF(P61=26,'A.0_Tablas salariales SC'!$P$17,IF(P61=28,'A.0_Tablas salariales SC'!$P$18,0)))))))))))</f>
        <v>446.8</v>
      </c>
      <c r="X61" s="175">
        <f>IF(Q61=2,'A.0_Tablas salariales SC'!$P$36,(IF(Q61=6,'A.0_Tablas salariales SC'!$P$37,IF(Q61=10,'A.0_Tablas salariales SC'!$P$38,IF(Q61=14,'A.0_Tablas salariales SC'!$P$39,IF(Q61=18,'A.0_Tablas salariales SC'!$P$40,IF(Q61=20,'A.0_Tablas salariales SC'!$P$41,IF(Q61=22,'A.0_Tablas salariales SC'!$P$42,IF(Q61=24,'A.0_Tablas salariales SC'!$P$43,IF(Q61=26,'A.0_Tablas salariales SC'!$P$44,IF(Q61=28,'A.0_Tablas salariales SC'!$P$45,0)))))))))))</f>
        <v>462.44</v>
      </c>
      <c r="Y61" s="175">
        <f>IF(R61=2,'A.0_Tablas salariales SC'!$P$63,(IF(R61=6,'A.0_Tablas salariales SC'!$P$64,IF(R61=10,'A.0_Tablas salariales SC'!$P$65,IF(R61=14,'A.0_Tablas salariales SC'!$P$66,IF(R61=18,'A.0_Tablas salariales SC'!$P$67,IF(R61=20,'A.0_Tablas salariales SC'!$P$68,IF(R61=22,'A.0_Tablas salariales SC'!$P$69,IF(R61=24,'A.0_Tablas salariales SC'!$P$70,IF(R61=26,'A.0_Tablas salariales SC'!$P$71,IF(R61=28,'A.0_Tablas salariales SC'!$P$72,0)))))))))))</f>
        <v>480.93</v>
      </c>
      <c r="Z61" s="175">
        <f>IF(S61=2,'A.0_Tablas salariales SC'!$P$90,(IF(S61=6,'A.0_Tablas salariales SC'!$P$91,IF(S61=10,'A.0_Tablas salariales SC'!$P$92,IF(S61=14,'A.0_Tablas salariales SC'!$P$93,IF(S61=18,'A.0_Tablas salariales SC'!$P$94,IF(S61=20,'A.0_Tablas salariales SC'!$P$95,IF(S61=22,'A.0_Tablas salariales SC'!$P$96,IF(S61=24,'A.0_Tablas salariales SC'!$P$97,IF(S61=26,'A.0_Tablas salariales SC'!$P$98,IF(S61=28,'A.0_Tablas salariales SC'!$P$99,0)))))))))))</f>
        <v>502.58</v>
      </c>
      <c r="AA61" s="175">
        <f>IF(T61=2,'A.0_Tablas salariales SC'!$P$117,(IF(T61=6,'A.0_Tablas salariales SC'!$P$118,IF(T61=10,'A.0_Tablas salariales SC'!$P$119,IF(T61=14,'A.0_Tablas salariales SC'!$P$120,IF(T61=18,'A.0_Tablas salariales SC'!$P$121,IF(T61=20,'A.0_Tablas salariales SC'!$P$122,IF(T61=22,'A.0_Tablas salariales SC'!$P$123,IF(T61=24,'A.0_Tablas salariales SC'!$P$124,IF(T61=26,'A.0_Tablas salariales SC'!$P$125,IF(T61=28,'A.0_Tablas salariales SC'!$P$126,0)))))))))))</f>
        <v>527.70000000000005</v>
      </c>
      <c r="AB61" s="175">
        <f>IF(U61=2,'A.0_Tablas salariales SC'!$P$145,(IF(U61=6,'A.0_Tablas salariales SC'!$P$146,IF(U61=10,'A.0_Tablas salariales SC'!$P$147,IF(U61=14,'A.0_Tablas salariales SC'!$P$148,IF(U61=18,'A.0_Tablas salariales SC'!$P$149,IF(U61=20,'A.0_Tablas salariales SC'!$P$150,IF(U61=22,'A.0_Tablas salariales SC'!$P$151,IF(U61=24,'A.0_Tablas salariales SC'!$P$152,IF(U61=26,'A.0_Tablas salariales SC'!$P$153,IF(U61=28,'A.0_Tablas salariales SC'!$P$154,0)))))))))))</f>
        <v>543.53100000000006</v>
      </c>
      <c r="AC61" s="175">
        <f>IF(V61=2,'A.0_Tablas salariales SC'!$P$173,(IF(V61=6,'A.0_Tablas salariales SC'!$P$174,IF(V61=10,'A.0_Tablas salariales SC'!$P$175,IF(V61=14,'A.0_Tablas salariales SC'!$P$176,IF(V61=18,'A.0_Tablas salariales SC'!$P$177,IF(V61=20,'A.0_Tablas salariales SC'!$P$178,IF(V61=22,'A.0_Tablas salariales SC'!$P$179,IF(V61=24,'A.0_Tablas salariales SC'!$P$180,IF(V61=26,'A.0_Tablas salariales SC'!$P$181,IF(V61=28,'A.0_Tablas salariales SC'!$P$182,0)))))))))))</f>
        <v>559.83693000000005</v>
      </c>
    </row>
    <row r="62" spans="1:29">
      <c r="A62" s="508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2">
        <f t="shared" si="55"/>
        <v>1900</v>
      </c>
      <c r="G62" s="173">
        <f t="shared" si="56"/>
        <v>2026</v>
      </c>
      <c r="H62" s="173">
        <f t="shared" si="56"/>
        <v>2032</v>
      </c>
      <c r="I62" s="173">
        <f t="shared" si="41"/>
        <v>126</v>
      </c>
      <c r="J62" s="173">
        <f t="shared" si="42"/>
        <v>127</v>
      </c>
      <c r="K62" s="173">
        <f t="shared" si="43"/>
        <v>128</v>
      </c>
      <c r="L62" s="173">
        <f t="shared" si="44"/>
        <v>129</v>
      </c>
      <c r="M62" s="173">
        <f t="shared" si="45"/>
        <v>130</v>
      </c>
      <c r="N62" s="173">
        <f t="shared" si="46"/>
        <v>131</v>
      </c>
      <c r="O62" s="173">
        <f t="shared" si="47"/>
        <v>132</v>
      </c>
      <c r="P62" s="173">
        <f t="shared" si="48"/>
        <v>28</v>
      </c>
      <c r="Q62" s="173">
        <f t="shared" si="49"/>
        <v>28</v>
      </c>
      <c r="R62" s="173">
        <f t="shared" si="50"/>
        <v>28</v>
      </c>
      <c r="S62" s="173">
        <f t="shared" si="51"/>
        <v>28</v>
      </c>
      <c r="T62" s="173">
        <f t="shared" si="52"/>
        <v>28</v>
      </c>
      <c r="U62" s="173">
        <f t="shared" si="53"/>
        <v>28</v>
      </c>
      <c r="V62" s="173">
        <f t="shared" si="54"/>
        <v>28</v>
      </c>
      <c r="W62" s="175">
        <f>IF(P62=2,'A.0_Tablas salariales SC'!$P$9,(IF(P62=6,'A.0_Tablas salariales SC'!$P$10,IF(P62=10,'A.0_Tablas salariales SC'!$P$11,IF(P62=14,'A.0_Tablas salariales SC'!$P$12,IF(P62=18,'A.0_Tablas salariales SC'!$P$13,IF(P62=20,'A.0_Tablas salariales SC'!$P$14,IF(P62=22,'A.0_Tablas salariales SC'!$P$15,IF(P62=24,'A.0_Tablas salariales SC'!$P$16,IF(P62=26,'A.0_Tablas salariales SC'!$P$17,IF(P62=28,'A.0_Tablas salariales SC'!$P$18,0)))))))))))</f>
        <v>446.8</v>
      </c>
      <c r="X62" s="175">
        <f>IF(Q62=2,'A.0_Tablas salariales SC'!$P$36,(IF(Q62=6,'A.0_Tablas salariales SC'!$P$37,IF(Q62=10,'A.0_Tablas salariales SC'!$P$38,IF(Q62=14,'A.0_Tablas salariales SC'!$P$39,IF(Q62=18,'A.0_Tablas salariales SC'!$P$40,IF(Q62=20,'A.0_Tablas salariales SC'!$P$41,IF(Q62=22,'A.0_Tablas salariales SC'!$P$42,IF(Q62=24,'A.0_Tablas salariales SC'!$P$43,IF(Q62=26,'A.0_Tablas salariales SC'!$P$44,IF(Q62=28,'A.0_Tablas salariales SC'!$P$45,0)))))))))))</f>
        <v>462.44</v>
      </c>
      <c r="Y62" s="175">
        <f>IF(R62=2,'A.0_Tablas salariales SC'!$P$63,(IF(R62=6,'A.0_Tablas salariales SC'!$P$64,IF(R62=10,'A.0_Tablas salariales SC'!$P$65,IF(R62=14,'A.0_Tablas salariales SC'!$P$66,IF(R62=18,'A.0_Tablas salariales SC'!$P$67,IF(R62=20,'A.0_Tablas salariales SC'!$P$68,IF(R62=22,'A.0_Tablas salariales SC'!$P$69,IF(R62=24,'A.0_Tablas salariales SC'!$P$70,IF(R62=26,'A.0_Tablas salariales SC'!$P$71,IF(R62=28,'A.0_Tablas salariales SC'!$P$72,0)))))))))))</f>
        <v>480.93</v>
      </c>
      <c r="Z62" s="175">
        <f>IF(S62=2,'A.0_Tablas salariales SC'!$P$90,(IF(S62=6,'A.0_Tablas salariales SC'!$P$91,IF(S62=10,'A.0_Tablas salariales SC'!$P$92,IF(S62=14,'A.0_Tablas salariales SC'!$P$93,IF(S62=18,'A.0_Tablas salariales SC'!$P$94,IF(S62=20,'A.0_Tablas salariales SC'!$P$95,IF(S62=22,'A.0_Tablas salariales SC'!$P$96,IF(S62=24,'A.0_Tablas salariales SC'!$P$97,IF(S62=26,'A.0_Tablas salariales SC'!$P$98,IF(S62=28,'A.0_Tablas salariales SC'!$P$99,0)))))))))))</f>
        <v>502.58</v>
      </c>
      <c r="AA62" s="175">
        <f>IF(T62=2,'A.0_Tablas salariales SC'!$P$117,(IF(T62=6,'A.0_Tablas salariales SC'!$P$118,IF(T62=10,'A.0_Tablas salariales SC'!$P$119,IF(T62=14,'A.0_Tablas salariales SC'!$P$120,IF(T62=18,'A.0_Tablas salariales SC'!$P$121,IF(T62=20,'A.0_Tablas salariales SC'!$P$122,IF(T62=22,'A.0_Tablas salariales SC'!$P$123,IF(T62=24,'A.0_Tablas salariales SC'!$P$124,IF(T62=26,'A.0_Tablas salariales SC'!$P$125,IF(T62=28,'A.0_Tablas salariales SC'!$P$126,0)))))))))))</f>
        <v>527.70000000000005</v>
      </c>
      <c r="AB62" s="175">
        <f>IF(U62=2,'A.0_Tablas salariales SC'!$P$145,(IF(U62=6,'A.0_Tablas salariales SC'!$P$146,IF(U62=10,'A.0_Tablas salariales SC'!$P$147,IF(U62=14,'A.0_Tablas salariales SC'!$P$148,IF(U62=18,'A.0_Tablas salariales SC'!$P$149,IF(U62=20,'A.0_Tablas salariales SC'!$P$150,IF(U62=22,'A.0_Tablas salariales SC'!$P$151,IF(U62=24,'A.0_Tablas salariales SC'!$P$152,IF(U62=26,'A.0_Tablas salariales SC'!$P$153,IF(U62=28,'A.0_Tablas salariales SC'!$P$154,0)))))))))))</f>
        <v>543.53100000000006</v>
      </c>
      <c r="AC62" s="175">
        <f>IF(V62=2,'A.0_Tablas salariales SC'!$P$173,(IF(V62=6,'A.0_Tablas salariales SC'!$P$174,IF(V62=10,'A.0_Tablas salariales SC'!$P$175,IF(V62=14,'A.0_Tablas salariales SC'!$P$176,IF(V62=18,'A.0_Tablas salariales SC'!$P$177,IF(V62=20,'A.0_Tablas salariales SC'!$P$178,IF(V62=22,'A.0_Tablas salariales SC'!$P$179,IF(V62=24,'A.0_Tablas salariales SC'!$P$180,IF(V62=26,'A.0_Tablas salariales SC'!$P$181,IF(V62=28,'A.0_Tablas salariales SC'!$P$182,0)))))))))))</f>
        <v>559.83693000000005</v>
      </c>
    </row>
    <row r="63" spans="1:29">
      <c r="A63" s="508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2">
        <f t="shared" si="55"/>
        <v>1900</v>
      </c>
      <c r="G63" s="173">
        <f t="shared" si="56"/>
        <v>2026</v>
      </c>
      <c r="H63" s="173">
        <f t="shared" si="56"/>
        <v>2032</v>
      </c>
      <c r="I63" s="173">
        <f t="shared" si="41"/>
        <v>126</v>
      </c>
      <c r="J63" s="173">
        <f t="shared" si="42"/>
        <v>127</v>
      </c>
      <c r="K63" s="173">
        <f t="shared" si="43"/>
        <v>128</v>
      </c>
      <c r="L63" s="173">
        <f t="shared" si="44"/>
        <v>129</v>
      </c>
      <c r="M63" s="173">
        <f t="shared" si="45"/>
        <v>130</v>
      </c>
      <c r="N63" s="173">
        <f t="shared" si="46"/>
        <v>131</v>
      </c>
      <c r="O63" s="173">
        <f t="shared" si="47"/>
        <v>132</v>
      </c>
      <c r="P63" s="173">
        <f t="shared" si="48"/>
        <v>28</v>
      </c>
      <c r="Q63" s="173">
        <f t="shared" si="49"/>
        <v>28</v>
      </c>
      <c r="R63" s="173">
        <f t="shared" si="50"/>
        <v>28</v>
      </c>
      <c r="S63" s="173">
        <f t="shared" si="51"/>
        <v>28</v>
      </c>
      <c r="T63" s="173">
        <f t="shared" si="52"/>
        <v>28</v>
      </c>
      <c r="U63" s="173">
        <f t="shared" si="53"/>
        <v>28</v>
      </c>
      <c r="V63" s="173">
        <f t="shared" si="54"/>
        <v>28</v>
      </c>
      <c r="W63" s="175">
        <f>IF(P63=2,'A.0_Tablas salariales SC'!$P$9,(IF(P63=6,'A.0_Tablas salariales SC'!$P$10,IF(P63=10,'A.0_Tablas salariales SC'!$P$11,IF(P63=14,'A.0_Tablas salariales SC'!$P$12,IF(P63=18,'A.0_Tablas salariales SC'!$P$13,IF(P63=20,'A.0_Tablas salariales SC'!$P$14,IF(P63=22,'A.0_Tablas salariales SC'!$P$15,IF(P63=24,'A.0_Tablas salariales SC'!$P$16,IF(P63=26,'A.0_Tablas salariales SC'!$P$17,IF(P63=28,'A.0_Tablas salariales SC'!$P$18,0)))))))))))</f>
        <v>446.8</v>
      </c>
      <c r="X63" s="175">
        <f>IF(Q63=2,'A.0_Tablas salariales SC'!$P$36,(IF(Q63=6,'A.0_Tablas salariales SC'!$P$37,IF(Q63=10,'A.0_Tablas salariales SC'!$P$38,IF(Q63=14,'A.0_Tablas salariales SC'!$P$39,IF(Q63=18,'A.0_Tablas salariales SC'!$P$40,IF(Q63=20,'A.0_Tablas salariales SC'!$P$41,IF(Q63=22,'A.0_Tablas salariales SC'!$P$42,IF(Q63=24,'A.0_Tablas salariales SC'!$P$43,IF(Q63=26,'A.0_Tablas salariales SC'!$P$44,IF(Q63=28,'A.0_Tablas salariales SC'!$P$45,0)))))))))))</f>
        <v>462.44</v>
      </c>
      <c r="Y63" s="175">
        <f>IF(R63=2,'A.0_Tablas salariales SC'!$P$63,(IF(R63=6,'A.0_Tablas salariales SC'!$P$64,IF(R63=10,'A.0_Tablas salariales SC'!$P$65,IF(R63=14,'A.0_Tablas salariales SC'!$P$66,IF(R63=18,'A.0_Tablas salariales SC'!$P$67,IF(R63=20,'A.0_Tablas salariales SC'!$P$68,IF(R63=22,'A.0_Tablas salariales SC'!$P$69,IF(R63=24,'A.0_Tablas salariales SC'!$P$70,IF(R63=26,'A.0_Tablas salariales SC'!$P$71,IF(R63=28,'A.0_Tablas salariales SC'!$P$72,0)))))))))))</f>
        <v>480.93</v>
      </c>
      <c r="Z63" s="175">
        <f>IF(S63=2,'A.0_Tablas salariales SC'!$P$90,(IF(S63=6,'A.0_Tablas salariales SC'!$P$91,IF(S63=10,'A.0_Tablas salariales SC'!$P$92,IF(S63=14,'A.0_Tablas salariales SC'!$P$93,IF(S63=18,'A.0_Tablas salariales SC'!$P$94,IF(S63=20,'A.0_Tablas salariales SC'!$P$95,IF(S63=22,'A.0_Tablas salariales SC'!$P$96,IF(S63=24,'A.0_Tablas salariales SC'!$P$97,IF(S63=26,'A.0_Tablas salariales SC'!$P$98,IF(S63=28,'A.0_Tablas salariales SC'!$P$99,0)))))))))))</f>
        <v>502.58</v>
      </c>
      <c r="AA63" s="175">
        <f>IF(T63=2,'A.0_Tablas salariales SC'!$P$117,(IF(T63=6,'A.0_Tablas salariales SC'!$P$118,IF(T63=10,'A.0_Tablas salariales SC'!$P$119,IF(T63=14,'A.0_Tablas salariales SC'!$P$120,IF(T63=18,'A.0_Tablas salariales SC'!$P$121,IF(T63=20,'A.0_Tablas salariales SC'!$P$122,IF(T63=22,'A.0_Tablas salariales SC'!$P$123,IF(T63=24,'A.0_Tablas salariales SC'!$P$124,IF(T63=26,'A.0_Tablas salariales SC'!$P$125,IF(T63=28,'A.0_Tablas salariales SC'!$P$126,0)))))))))))</f>
        <v>527.70000000000005</v>
      </c>
      <c r="AB63" s="175">
        <f>IF(U63=2,'A.0_Tablas salariales SC'!$P$145,(IF(U63=6,'A.0_Tablas salariales SC'!$P$146,IF(U63=10,'A.0_Tablas salariales SC'!$P$147,IF(U63=14,'A.0_Tablas salariales SC'!$P$148,IF(U63=18,'A.0_Tablas salariales SC'!$P$149,IF(U63=20,'A.0_Tablas salariales SC'!$P$150,IF(U63=22,'A.0_Tablas salariales SC'!$P$151,IF(U63=24,'A.0_Tablas salariales SC'!$P$152,IF(U63=26,'A.0_Tablas salariales SC'!$P$153,IF(U63=28,'A.0_Tablas salariales SC'!$P$154,0)))))))))))</f>
        <v>543.53100000000006</v>
      </c>
      <c r="AC63" s="175">
        <f>IF(V63=2,'A.0_Tablas salariales SC'!$P$173,(IF(V63=6,'A.0_Tablas salariales SC'!$P$174,IF(V63=10,'A.0_Tablas salariales SC'!$P$175,IF(V63=14,'A.0_Tablas salariales SC'!$P$176,IF(V63=18,'A.0_Tablas salariales SC'!$P$177,IF(V63=20,'A.0_Tablas salariales SC'!$P$178,IF(V63=22,'A.0_Tablas salariales SC'!$P$179,IF(V63=24,'A.0_Tablas salariales SC'!$P$180,IF(V63=26,'A.0_Tablas salariales SC'!$P$181,IF(V63=28,'A.0_Tablas salariales SC'!$P$182,0)))))))))))</f>
        <v>559.83693000000005</v>
      </c>
    </row>
    <row r="64" spans="1:29">
      <c r="A64" s="508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2">
        <f t="shared" si="55"/>
        <v>1900</v>
      </c>
      <c r="G64" s="173">
        <f t="shared" si="56"/>
        <v>2026</v>
      </c>
      <c r="H64" s="173">
        <f t="shared" si="56"/>
        <v>2032</v>
      </c>
      <c r="I64" s="173">
        <f t="shared" si="41"/>
        <v>126</v>
      </c>
      <c r="J64" s="173">
        <f t="shared" si="42"/>
        <v>127</v>
      </c>
      <c r="K64" s="173">
        <f t="shared" si="43"/>
        <v>128</v>
      </c>
      <c r="L64" s="173">
        <f t="shared" si="44"/>
        <v>129</v>
      </c>
      <c r="M64" s="173">
        <f t="shared" si="45"/>
        <v>130</v>
      </c>
      <c r="N64" s="173">
        <f t="shared" si="46"/>
        <v>131</v>
      </c>
      <c r="O64" s="173">
        <f t="shared" si="47"/>
        <v>132</v>
      </c>
      <c r="P64" s="173">
        <f t="shared" si="48"/>
        <v>28</v>
      </c>
      <c r="Q64" s="173">
        <f t="shared" si="49"/>
        <v>28</v>
      </c>
      <c r="R64" s="173">
        <f t="shared" si="50"/>
        <v>28</v>
      </c>
      <c r="S64" s="173">
        <f t="shared" si="51"/>
        <v>28</v>
      </c>
      <c r="T64" s="173">
        <f t="shared" si="52"/>
        <v>28</v>
      </c>
      <c r="U64" s="173">
        <f t="shared" si="53"/>
        <v>28</v>
      </c>
      <c r="V64" s="173">
        <f t="shared" si="54"/>
        <v>28</v>
      </c>
      <c r="W64" s="175">
        <f>IF(P64=2,'A.0_Tablas salariales SC'!$P$9,(IF(P64=6,'A.0_Tablas salariales SC'!$P$10,IF(P64=10,'A.0_Tablas salariales SC'!$P$11,IF(P64=14,'A.0_Tablas salariales SC'!$P$12,IF(P64=18,'A.0_Tablas salariales SC'!$P$13,IF(P64=20,'A.0_Tablas salariales SC'!$P$14,IF(P64=22,'A.0_Tablas salariales SC'!$P$15,IF(P64=24,'A.0_Tablas salariales SC'!$P$16,IF(P64=26,'A.0_Tablas salariales SC'!$P$17,IF(P64=28,'A.0_Tablas salariales SC'!$P$18,0)))))))))))</f>
        <v>446.8</v>
      </c>
      <c r="X64" s="175">
        <f>IF(Q64=2,'A.0_Tablas salariales SC'!$P$36,(IF(Q64=6,'A.0_Tablas salariales SC'!$P$37,IF(Q64=10,'A.0_Tablas salariales SC'!$P$38,IF(Q64=14,'A.0_Tablas salariales SC'!$P$39,IF(Q64=18,'A.0_Tablas salariales SC'!$P$40,IF(Q64=20,'A.0_Tablas salariales SC'!$P$41,IF(Q64=22,'A.0_Tablas salariales SC'!$P$42,IF(Q64=24,'A.0_Tablas salariales SC'!$P$43,IF(Q64=26,'A.0_Tablas salariales SC'!$P$44,IF(Q64=28,'A.0_Tablas salariales SC'!$P$45,0)))))))))))</f>
        <v>462.44</v>
      </c>
      <c r="Y64" s="175">
        <f>IF(R64=2,'A.0_Tablas salariales SC'!$P$63,(IF(R64=6,'A.0_Tablas salariales SC'!$P$64,IF(R64=10,'A.0_Tablas salariales SC'!$P$65,IF(R64=14,'A.0_Tablas salariales SC'!$P$66,IF(R64=18,'A.0_Tablas salariales SC'!$P$67,IF(R64=20,'A.0_Tablas salariales SC'!$P$68,IF(R64=22,'A.0_Tablas salariales SC'!$P$69,IF(R64=24,'A.0_Tablas salariales SC'!$P$70,IF(R64=26,'A.0_Tablas salariales SC'!$P$71,IF(R64=28,'A.0_Tablas salariales SC'!$P$72,0)))))))))))</f>
        <v>480.93</v>
      </c>
      <c r="Z64" s="175">
        <f>IF(S64=2,'A.0_Tablas salariales SC'!$P$90,(IF(S64=6,'A.0_Tablas salariales SC'!$P$91,IF(S64=10,'A.0_Tablas salariales SC'!$P$92,IF(S64=14,'A.0_Tablas salariales SC'!$P$93,IF(S64=18,'A.0_Tablas salariales SC'!$P$94,IF(S64=20,'A.0_Tablas salariales SC'!$P$95,IF(S64=22,'A.0_Tablas salariales SC'!$P$96,IF(S64=24,'A.0_Tablas salariales SC'!$P$97,IF(S64=26,'A.0_Tablas salariales SC'!$P$98,IF(S64=28,'A.0_Tablas salariales SC'!$P$99,0)))))))))))</f>
        <v>502.58</v>
      </c>
      <c r="AA64" s="175">
        <f>IF(T64=2,'A.0_Tablas salariales SC'!$P$117,(IF(T64=6,'A.0_Tablas salariales SC'!$P$118,IF(T64=10,'A.0_Tablas salariales SC'!$P$119,IF(T64=14,'A.0_Tablas salariales SC'!$P$120,IF(T64=18,'A.0_Tablas salariales SC'!$P$121,IF(T64=20,'A.0_Tablas salariales SC'!$P$122,IF(T64=22,'A.0_Tablas salariales SC'!$P$123,IF(T64=24,'A.0_Tablas salariales SC'!$P$124,IF(T64=26,'A.0_Tablas salariales SC'!$P$125,IF(T64=28,'A.0_Tablas salariales SC'!$P$126,0)))))))))))</f>
        <v>527.70000000000005</v>
      </c>
      <c r="AB64" s="175">
        <f>IF(U64=2,'A.0_Tablas salariales SC'!$P$145,(IF(U64=6,'A.0_Tablas salariales SC'!$P$146,IF(U64=10,'A.0_Tablas salariales SC'!$P$147,IF(U64=14,'A.0_Tablas salariales SC'!$P$148,IF(U64=18,'A.0_Tablas salariales SC'!$P$149,IF(U64=20,'A.0_Tablas salariales SC'!$P$150,IF(U64=22,'A.0_Tablas salariales SC'!$P$151,IF(U64=24,'A.0_Tablas salariales SC'!$P$152,IF(U64=26,'A.0_Tablas salariales SC'!$P$153,IF(U64=28,'A.0_Tablas salariales SC'!$P$154,0)))))))))))</f>
        <v>543.53100000000006</v>
      </c>
      <c r="AC64" s="175">
        <f>IF(V64=2,'A.0_Tablas salariales SC'!$P$173,(IF(V64=6,'A.0_Tablas salariales SC'!$P$174,IF(V64=10,'A.0_Tablas salariales SC'!$P$175,IF(V64=14,'A.0_Tablas salariales SC'!$P$176,IF(V64=18,'A.0_Tablas salariales SC'!$P$177,IF(V64=20,'A.0_Tablas salariales SC'!$P$178,IF(V64=22,'A.0_Tablas salariales SC'!$P$179,IF(V64=24,'A.0_Tablas salariales SC'!$P$180,IF(V64=26,'A.0_Tablas salariales SC'!$P$181,IF(V64=28,'A.0_Tablas salariales SC'!$P$182,0)))))))))))</f>
        <v>559.83693000000005</v>
      </c>
    </row>
    <row r="65" spans="1:29">
      <c r="A65" s="508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2">
        <f t="shared" si="55"/>
        <v>1900</v>
      </c>
      <c r="G65" s="173">
        <f t="shared" si="56"/>
        <v>2026</v>
      </c>
      <c r="H65" s="173">
        <f t="shared" si="56"/>
        <v>2032</v>
      </c>
      <c r="I65" s="173">
        <f t="shared" si="41"/>
        <v>126</v>
      </c>
      <c r="J65" s="173">
        <f t="shared" si="42"/>
        <v>127</v>
      </c>
      <c r="K65" s="173">
        <f t="shared" si="43"/>
        <v>128</v>
      </c>
      <c r="L65" s="173">
        <f t="shared" si="44"/>
        <v>129</v>
      </c>
      <c r="M65" s="173">
        <f t="shared" si="45"/>
        <v>130</v>
      </c>
      <c r="N65" s="173">
        <f t="shared" si="46"/>
        <v>131</v>
      </c>
      <c r="O65" s="173">
        <f t="shared" si="47"/>
        <v>132</v>
      </c>
      <c r="P65" s="173">
        <f t="shared" si="48"/>
        <v>28</v>
      </c>
      <c r="Q65" s="173">
        <f t="shared" si="49"/>
        <v>28</v>
      </c>
      <c r="R65" s="173">
        <f t="shared" si="50"/>
        <v>28</v>
      </c>
      <c r="S65" s="173">
        <f t="shared" si="51"/>
        <v>28</v>
      </c>
      <c r="T65" s="173">
        <f t="shared" si="52"/>
        <v>28</v>
      </c>
      <c r="U65" s="173">
        <f t="shared" si="53"/>
        <v>28</v>
      </c>
      <c r="V65" s="173">
        <f t="shared" si="54"/>
        <v>28</v>
      </c>
      <c r="W65" s="175">
        <f>IF(P65=2,'A.0_Tablas salariales SC'!$P$9,(IF(P65=6,'A.0_Tablas salariales SC'!$P$10,IF(P65=10,'A.0_Tablas salariales SC'!$P$11,IF(P65=14,'A.0_Tablas salariales SC'!$P$12,IF(P65=18,'A.0_Tablas salariales SC'!$P$13,IF(P65=20,'A.0_Tablas salariales SC'!$P$14,IF(P65=22,'A.0_Tablas salariales SC'!$P$15,IF(P65=24,'A.0_Tablas salariales SC'!$P$16,IF(P65=26,'A.0_Tablas salariales SC'!$P$17,IF(P65=28,'A.0_Tablas salariales SC'!$P$18,0)))))))))))</f>
        <v>446.8</v>
      </c>
      <c r="X65" s="175">
        <f>IF(Q65=2,'A.0_Tablas salariales SC'!$P$36,(IF(Q65=6,'A.0_Tablas salariales SC'!$P$37,IF(Q65=10,'A.0_Tablas salariales SC'!$P$38,IF(Q65=14,'A.0_Tablas salariales SC'!$P$39,IF(Q65=18,'A.0_Tablas salariales SC'!$P$40,IF(Q65=20,'A.0_Tablas salariales SC'!$P$41,IF(Q65=22,'A.0_Tablas salariales SC'!$P$42,IF(Q65=24,'A.0_Tablas salariales SC'!$P$43,IF(Q65=26,'A.0_Tablas salariales SC'!$P$44,IF(Q65=28,'A.0_Tablas salariales SC'!$P$45,0)))))))))))</f>
        <v>462.44</v>
      </c>
      <c r="Y65" s="175">
        <f>IF(R65=2,'A.0_Tablas salariales SC'!$P$63,(IF(R65=6,'A.0_Tablas salariales SC'!$P$64,IF(R65=10,'A.0_Tablas salariales SC'!$P$65,IF(R65=14,'A.0_Tablas salariales SC'!$P$66,IF(R65=18,'A.0_Tablas salariales SC'!$P$67,IF(R65=20,'A.0_Tablas salariales SC'!$P$68,IF(R65=22,'A.0_Tablas salariales SC'!$P$69,IF(R65=24,'A.0_Tablas salariales SC'!$P$70,IF(R65=26,'A.0_Tablas salariales SC'!$P$71,IF(R65=28,'A.0_Tablas salariales SC'!$P$72,0)))))))))))</f>
        <v>480.93</v>
      </c>
      <c r="Z65" s="175">
        <f>IF(S65=2,'A.0_Tablas salariales SC'!$P$90,(IF(S65=6,'A.0_Tablas salariales SC'!$P$91,IF(S65=10,'A.0_Tablas salariales SC'!$P$92,IF(S65=14,'A.0_Tablas salariales SC'!$P$93,IF(S65=18,'A.0_Tablas salariales SC'!$P$94,IF(S65=20,'A.0_Tablas salariales SC'!$P$95,IF(S65=22,'A.0_Tablas salariales SC'!$P$96,IF(S65=24,'A.0_Tablas salariales SC'!$P$97,IF(S65=26,'A.0_Tablas salariales SC'!$P$98,IF(S65=28,'A.0_Tablas salariales SC'!$P$99,0)))))))))))</f>
        <v>502.58</v>
      </c>
      <c r="AA65" s="175">
        <f>IF(T65=2,'A.0_Tablas salariales SC'!$P$117,(IF(T65=6,'A.0_Tablas salariales SC'!$P$118,IF(T65=10,'A.0_Tablas salariales SC'!$P$119,IF(T65=14,'A.0_Tablas salariales SC'!$P$120,IF(T65=18,'A.0_Tablas salariales SC'!$P$121,IF(T65=20,'A.0_Tablas salariales SC'!$P$122,IF(T65=22,'A.0_Tablas salariales SC'!$P$123,IF(T65=24,'A.0_Tablas salariales SC'!$P$124,IF(T65=26,'A.0_Tablas salariales SC'!$P$125,IF(T65=28,'A.0_Tablas salariales SC'!$P$126,0)))))))))))</f>
        <v>527.70000000000005</v>
      </c>
      <c r="AB65" s="175">
        <f>IF(U65=2,'A.0_Tablas salariales SC'!$P$145,(IF(U65=6,'A.0_Tablas salariales SC'!$P$146,IF(U65=10,'A.0_Tablas salariales SC'!$P$147,IF(U65=14,'A.0_Tablas salariales SC'!$P$148,IF(U65=18,'A.0_Tablas salariales SC'!$P$149,IF(U65=20,'A.0_Tablas salariales SC'!$P$150,IF(U65=22,'A.0_Tablas salariales SC'!$P$151,IF(U65=24,'A.0_Tablas salariales SC'!$P$152,IF(U65=26,'A.0_Tablas salariales SC'!$P$153,IF(U65=28,'A.0_Tablas salariales SC'!$P$154,0)))))))))))</f>
        <v>543.53100000000006</v>
      </c>
      <c r="AC65" s="175">
        <f>IF(V65=2,'A.0_Tablas salariales SC'!$P$173,(IF(V65=6,'A.0_Tablas salariales SC'!$P$174,IF(V65=10,'A.0_Tablas salariales SC'!$P$175,IF(V65=14,'A.0_Tablas salariales SC'!$P$176,IF(V65=18,'A.0_Tablas salariales SC'!$P$177,IF(V65=20,'A.0_Tablas salariales SC'!$P$178,IF(V65=22,'A.0_Tablas salariales SC'!$P$179,IF(V65=24,'A.0_Tablas salariales SC'!$P$180,IF(V65=26,'A.0_Tablas salariales SC'!$P$181,IF(V65=28,'A.0_Tablas salariales SC'!$P$182,0)))))))))))</f>
        <v>559.83693000000005</v>
      </c>
    </row>
    <row r="66" spans="1:29">
      <c r="A66" s="508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2">
        <f t="shared" si="55"/>
        <v>1900</v>
      </c>
      <c r="G66" s="173">
        <f t="shared" si="56"/>
        <v>2026</v>
      </c>
      <c r="H66" s="173">
        <f t="shared" si="56"/>
        <v>2032</v>
      </c>
      <c r="I66" s="173">
        <f t="shared" si="41"/>
        <v>126</v>
      </c>
      <c r="J66" s="173">
        <f t="shared" si="42"/>
        <v>127</v>
      </c>
      <c r="K66" s="173">
        <f t="shared" si="43"/>
        <v>128</v>
      </c>
      <c r="L66" s="173">
        <f t="shared" si="44"/>
        <v>129</v>
      </c>
      <c r="M66" s="173">
        <f t="shared" si="45"/>
        <v>130</v>
      </c>
      <c r="N66" s="173">
        <f t="shared" si="46"/>
        <v>131</v>
      </c>
      <c r="O66" s="173">
        <f t="shared" si="47"/>
        <v>132</v>
      </c>
      <c r="P66" s="173">
        <f t="shared" si="48"/>
        <v>28</v>
      </c>
      <c r="Q66" s="173">
        <f t="shared" si="49"/>
        <v>28</v>
      </c>
      <c r="R66" s="173">
        <f t="shared" si="50"/>
        <v>28</v>
      </c>
      <c r="S66" s="173">
        <f t="shared" si="51"/>
        <v>28</v>
      </c>
      <c r="T66" s="173">
        <f t="shared" si="52"/>
        <v>28</v>
      </c>
      <c r="U66" s="173">
        <f t="shared" si="53"/>
        <v>28</v>
      </c>
      <c r="V66" s="173">
        <f t="shared" si="54"/>
        <v>28</v>
      </c>
      <c r="W66" s="175">
        <f>IF(P66=2,'A.0_Tablas salariales SC'!$P$9,(IF(P66=6,'A.0_Tablas salariales SC'!$P$10,IF(P66=10,'A.0_Tablas salariales SC'!$P$11,IF(P66=14,'A.0_Tablas salariales SC'!$P$12,IF(P66=18,'A.0_Tablas salariales SC'!$P$13,IF(P66=20,'A.0_Tablas salariales SC'!$P$14,IF(P66=22,'A.0_Tablas salariales SC'!$P$15,IF(P66=24,'A.0_Tablas salariales SC'!$P$16,IF(P66=26,'A.0_Tablas salariales SC'!$P$17,IF(P66=28,'A.0_Tablas salariales SC'!$P$18,0)))))))))))</f>
        <v>446.8</v>
      </c>
      <c r="X66" s="175">
        <f>IF(Q66=2,'A.0_Tablas salariales SC'!$P$36,(IF(Q66=6,'A.0_Tablas salariales SC'!$P$37,IF(Q66=10,'A.0_Tablas salariales SC'!$P$38,IF(Q66=14,'A.0_Tablas salariales SC'!$P$39,IF(Q66=18,'A.0_Tablas salariales SC'!$P$40,IF(Q66=20,'A.0_Tablas salariales SC'!$P$41,IF(Q66=22,'A.0_Tablas salariales SC'!$P$42,IF(Q66=24,'A.0_Tablas salariales SC'!$P$43,IF(Q66=26,'A.0_Tablas salariales SC'!$P$44,IF(Q66=28,'A.0_Tablas salariales SC'!$P$45,0)))))))))))</f>
        <v>462.44</v>
      </c>
      <c r="Y66" s="175">
        <f>IF(R66=2,'A.0_Tablas salariales SC'!$P$63,(IF(R66=6,'A.0_Tablas salariales SC'!$P$64,IF(R66=10,'A.0_Tablas salariales SC'!$P$65,IF(R66=14,'A.0_Tablas salariales SC'!$P$66,IF(R66=18,'A.0_Tablas salariales SC'!$P$67,IF(R66=20,'A.0_Tablas salariales SC'!$P$68,IF(R66=22,'A.0_Tablas salariales SC'!$P$69,IF(R66=24,'A.0_Tablas salariales SC'!$P$70,IF(R66=26,'A.0_Tablas salariales SC'!$P$71,IF(R66=28,'A.0_Tablas salariales SC'!$P$72,0)))))))))))</f>
        <v>480.93</v>
      </c>
      <c r="Z66" s="175">
        <f>IF(S66=2,'A.0_Tablas salariales SC'!$P$90,(IF(S66=6,'A.0_Tablas salariales SC'!$P$91,IF(S66=10,'A.0_Tablas salariales SC'!$P$92,IF(S66=14,'A.0_Tablas salariales SC'!$P$93,IF(S66=18,'A.0_Tablas salariales SC'!$P$94,IF(S66=20,'A.0_Tablas salariales SC'!$P$95,IF(S66=22,'A.0_Tablas salariales SC'!$P$96,IF(S66=24,'A.0_Tablas salariales SC'!$P$97,IF(S66=26,'A.0_Tablas salariales SC'!$P$98,IF(S66=28,'A.0_Tablas salariales SC'!$P$99,0)))))))))))</f>
        <v>502.58</v>
      </c>
      <c r="AA66" s="175">
        <f>IF(T66=2,'A.0_Tablas salariales SC'!$P$117,(IF(T66=6,'A.0_Tablas salariales SC'!$P$118,IF(T66=10,'A.0_Tablas salariales SC'!$P$119,IF(T66=14,'A.0_Tablas salariales SC'!$P$120,IF(T66=18,'A.0_Tablas salariales SC'!$P$121,IF(T66=20,'A.0_Tablas salariales SC'!$P$122,IF(T66=22,'A.0_Tablas salariales SC'!$P$123,IF(T66=24,'A.0_Tablas salariales SC'!$P$124,IF(T66=26,'A.0_Tablas salariales SC'!$P$125,IF(T66=28,'A.0_Tablas salariales SC'!$P$126,0)))))))))))</f>
        <v>527.70000000000005</v>
      </c>
      <c r="AB66" s="175">
        <f>IF(U66=2,'A.0_Tablas salariales SC'!$P$145,(IF(U66=6,'A.0_Tablas salariales SC'!$P$146,IF(U66=10,'A.0_Tablas salariales SC'!$P$147,IF(U66=14,'A.0_Tablas salariales SC'!$P$148,IF(U66=18,'A.0_Tablas salariales SC'!$P$149,IF(U66=20,'A.0_Tablas salariales SC'!$P$150,IF(U66=22,'A.0_Tablas salariales SC'!$P$151,IF(U66=24,'A.0_Tablas salariales SC'!$P$152,IF(U66=26,'A.0_Tablas salariales SC'!$P$153,IF(U66=28,'A.0_Tablas salariales SC'!$P$154,0)))))))))))</f>
        <v>543.53100000000006</v>
      </c>
      <c r="AC66" s="175">
        <f>IF(V66=2,'A.0_Tablas salariales SC'!$P$173,(IF(V66=6,'A.0_Tablas salariales SC'!$P$174,IF(V66=10,'A.0_Tablas salariales SC'!$P$175,IF(V66=14,'A.0_Tablas salariales SC'!$P$176,IF(V66=18,'A.0_Tablas salariales SC'!$P$177,IF(V66=20,'A.0_Tablas salariales SC'!$P$178,IF(V66=22,'A.0_Tablas salariales SC'!$P$179,IF(V66=24,'A.0_Tablas salariales SC'!$P$180,IF(V66=26,'A.0_Tablas salariales SC'!$P$181,IF(V66=28,'A.0_Tablas salariales SC'!$P$182,0)))))))))))</f>
        <v>559.83693000000005</v>
      </c>
    </row>
    <row r="67" spans="1:29">
      <c r="A67" s="508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2">
        <f t="shared" si="55"/>
        <v>1900</v>
      </c>
      <c r="G67" s="173">
        <f t="shared" si="56"/>
        <v>2026</v>
      </c>
      <c r="H67" s="173">
        <f t="shared" si="56"/>
        <v>2032</v>
      </c>
      <c r="I67" s="173">
        <f t="shared" si="41"/>
        <v>126</v>
      </c>
      <c r="J67" s="173">
        <f t="shared" si="42"/>
        <v>127</v>
      </c>
      <c r="K67" s="173">
        <f t="shared" si="43"/>
        <v>128</v>
      </c>
      <c r="L67" s="173">
        <f t="shared" si="44"/>
        <v>129</v>
      </c>
      <c r="M67" s="173">
        <f t="shared" si="45"/>
        <v>130</v>
      </c>
      <c r="N67" s="173">
        <f t="shared" si="46"/>
        <v>131</v>
      </c>
      <c r="O67" s="173">
        <f t="shared" si="47"/>
        <v>132</v>
      </c>
      <c r="P67" s="173">
        <f t="shared" si="48"/>
        <v>28</v>
      </c>
      <c r="Q67" s="173">
        <f t="shared" si="49"/>
        <v>28</v>
      </c>
      <c r="R67" s="173">
        <f t="shared" si="50"/>
        <v>28</v>
      </c>
      <c r="S67" s="173">
        <f t="shared" si="51"/>
        <v>28</v>
      </c>
      <c r="T67" s="173">
        <f t="shared" si="52"/>
        <v>28</v>
      </c>
      <c r="U67" s="173">
        <f t="shared" si="53"/>
        <v>28</v>
      </c>
      <c r="V67" s="173">
        <f t="shared" si="54"/>
        <v>28</v>
      </c>
      <c r="W67" s="175">
        <f>IF(P67=2,'A.0_Tablas salariales SC'!$P$9,(IF(P67=6,'A.0_Tablas salariales SC'!$P$10,IF(P67=10,'A.0_Tablas salariales SC'!$P$11,IF(P67=14,'A.0_Tablas salariales SC'!$P$12,IF(P67=18,'A.0_Tablas salariales SC'!$P$13,IF(P67=20,'A.0_Tablas salariales SC'!$P$14,IF(P67=22,'A.0_Tablas salariales SC'!$P$15,IF(P67=24,'A.0_Tablas salariales SC'!$P$16,IF(P67=26,'A.0_Tablas salariales SC'!$P$17,IF(P67=28,'A.0_Tablas salariales SC'!$P$18,0)))))))))))</f>
        <v>446.8</v>
      </c>
      <c r="X67" s="175">
        <f>IF(Q67=2,'A.0_Tablas salariales SC'!$P$36,(IF(Q67=6,'A.0_Tablas salariales SC'!$P$37,IF(Q67=10,'A.0_Tablas salariales SC'!$P$38,IF(Q67=14,'A.0_Tablas salariales SC'!$P$39,IF(Q67=18,'A.0_Tablas salariales SC'!$P$40,IF(Q67=20,'A.0_Tablas salariales SC'!$P$41,IF(Q67=22,'A.0_Tablas salariales SC'!$P$42,IF(Q67=24,'A.0_Tablas salariales SC'!$P$43,IF(Q67=26,'A.0_Tablas salariales SC'!$P$44,IF(Q67=28,'A.0_Tablas salariales SC'!$P$45,0)))))))))))</f>
        <v>462.44</v>
      </c>
      <c r="Y67" s="175">
        <f>IF(R67=2,'A.0_Tablas salariales SC'!$P$63,(IF(R67=6,'A.0_Tablas salariales SC'!$P$64,IF(R67=10,'A.0_Tablas salariales SC'!$P$65,IF(R67=14,'A.0_Tablas salariales SC'!$P$66,IF(R67=18,'A.0_Tablas salariales SC'!$P$67,IF(R67=20,'A.0_Tablas salariales SC'!$P$68,IF(R67=22,'A.0_Tablas salariales SC'!$P$69,IF(R67=24,'A.0_Tablas salariales SC'!$P$70,IF(R67=26,'A.0_Tablas salariales SC'!$P$71,IF(R67=28,'A.0_Tablas salariales SC'!$P$72,0)))))))))))</f>
        <v>480.93</v>
      </c>
      <c r="Z67" s="175">
        <f>IF(S67=2,'A.0_Tablas salariales SC'!$P$90,(IF(S67=6,'A.0_Tablas salariales SC'!$P$91,IF(S67=10,'A.0_Tablas salariales SC'!$P$92,IF(S67=14,'A.0_Tablas salariales SC'!$P$93,IF(S67=18,'A.0_Tablas salariales SC'!$P$94,IF(S67=20,'A.0_Tablas salariales SC'!$P$95,IF(S67=22,'A.0_Tablas salariales SC'!$P$96,IF(S67=24,'A.0_Tablas salariales SC'!$P$97,IF(S67=26,'A.0_Tablas salariales SC'!$P$98,IF(S67=28,'A.0_Tablas salariales SC'!$P$99,0)))))))))))</f>
        <v>502.58</v>
      </c>
      <c r="AA67" s="175">
        <f>IF(T67=2,'A.0_Tablas salariales SC'!$P$117,(IF(T67=6,'A.0_Tablas salariales SC'!$P$118,IF(T67=10,'A.0_Tablas salariales SC'!$P$119,IF(T67=14,'A.0_Tablas salariales SC'!$P$120,IF(T67=18,'A.0_Tablas salariales SC'!$P$121,IF(T67=20,'A.0_Tablas salariales SC'!$P$122,IF(T67=22,'A.0_Tablas salariales SC'!$P$123,IF(T67=24,'A.0_Tablas salariales SC'!$P$124,IF(T67=26,'A.0_Tablas salariales SC'!$P$125,IF(T67=28,'A.0_Tablas salariales SC'!$P$126,0)))))))))))</f>
        <v>527.70000000000005</v>
      </c>
      <c r="AB67" s="175">
        <f>IF(U67=2,'A.0_Tablas salariales SC'!$P$145,(IF(U67=6,'A.0_Tablas salariales SC'!$P$146,IF(U67=10,'A.0_Tablas salariales SC'!$P$147,IF(U67=14,'A.0_Tablas salariales SC'!$P$148,IF(U67=18,'A.0_Tablas salariales SC'!$P$149,IF(U67=20,'A.0_Tablas salariales SC'!$P$150,IF(U67=22,'A.0_Tablas salariales SC'!$P$151,IF(U67=24,'A.0_Tablas salariales SC'!$P$152,IF(U67=26,'A.0_Tablas salariales SC'!$P$153,IF(U67=28,'A.0_Tablas salariales SC'!$P$154,0)))))))))))</f>
        <v>543.53100000000006</v>
      </c>
      <c r="AC67" s="175">
        <f>IF(V67=2,'A.0_Tablas salariales SC'!$P$173,(IF(V67=6,'A.0_Tablas salariales SC'!$P$174,IF(V67=10,'A.0_Tablas salariales SC'!$P$175,IF(V67=14,'A.0_Tablas salariales SC'!$P$176,IF(V67=18,'A.0_Tablas salariales SC'!$P$177,IF(V67=20,'A.0_Tablas salariales SC'!$P$178,IF(V67=22,'A.0_Tablas salariales SC'!$P$179,IF(V67=24,'A.0_Tablas salariales SC'!$P$180,IF(V67=26,'A.0_Tablas salariales SC'!$P$181,IF(V67=28,'A.0_Tablas salariales SC'!$P$182,0)))))))))))</f>
        <v>559.83693000000005</v>
      </c>
    </row>
    <row r="68" spans="1:29">
      <c r="A68" s="508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2">
        <f t="shared" ref="F68" si="57">YEAR(E68)</f>
        <v>1900</v>
      </c>
      <c r="G68" s="173">
        <f t="shared" si="56"/>
        <v>2026</v>
      </c>
      <c r="H68" s="173">
        <f t="shared" si="56"/>
        <v>2032</v>
      </c>
      <c r="I68" s="173">
        <f t="shared" si="41"/>
        <v>126</v>
      </c>
      <c r="J68" s="173">
        <f t="shared" si="42"/>
        <v>127</v>
      </c>
      <c r="K68" s="173">
        <f t="shared" si="43"/>
        <v>128</v>
      </c>
      <c r="L68" s="173">
        <f t="shared" si="44"/>
        <v>129</v>
      </c>
      <c r="M68" s="173">
        <f t="shared" si="45"/>
        <v>130</v>
      </c>
      <c r="N68" s="173">
        <f t="shared" si="46"/>
        <v>131</v>
      </c>
      <c r="O68" s="173">
        <f t="shared" si="47"/>
        <v>132</v>
      </c>
      <c r="P68" s="173">
        <f t="shared" si="48"/>
        <v>28</v>
      </c>
      <c r="Q68" s="173">
        <f t="shared" si="49"/>
        <v>28</v>
      </c>
      <c r="R68" s="173">
        <f t="shared" si="50"/>
        <v>28</v>
      </c>
      <c r="S68" s="173">
        <f t="shared" si="51"/>
        <v>28</v>
      </c>
      <c r="T68" s="173">
        <f t="shared" si="52"/>
        <v>28</v>
      </c>
      <c r="U68" s="173">
        <f t="shared" si="53"/>
        <v>28</v>
      </c>
      <c r="V68" s="173">
        <f t="shared" si="54"/>
        <v>28</v>
      </c>
      <c r="W68" s="175">
        <f>IF(P68=2,'A.0_Tablas salariales SC'!$P$9,(IF(P68=6,'A.0_Tablas salariales SC'!$P$10,IF(P68=10,'A.0_Tablas salariales SC'!$P$11,IF(P68=14,'A.0_Tablas salariales SC'!$P$12,IF(P68=18,'A.0_Tablas salariales SC'!$P$13,IF(P68=20,'A.0_Tablas salariales SC'!$P$14,IF(P68=22,'A.0_Tablas salariales SC'!$P$15,IF(P68=24,'A.0_Tablas salariales SC'!$P$16,IF(P68=26,'A.0_Tablas salariales SC'!$P$17,IF(P68=28,'A.0_Tablas salariales SC'!$P$18,0)))))))))))</f>
        <v>446.8</v>
      </c>
      <c r="X68" s="175">
        <f>IF(Q68=2,'A.0_Tablas salariales SC'!$P$36,(IF(Q68=6,'A.0_Tablas salariales SC'!$P$37,IF(Q68=10,'A.0_Tablas salariales SC'!$P$38,IF(Q68=14,'A.0_Tablas salariales SC'!$P$39,IF(Q68=18,'A.0_Tablas salariales SC'!$P$40,IF(Q68=20,'A.0_Tablas salariales SC'!$P$41,IF(Q68=22,'A.0_Tablas salariales SC'!$P$42,IF(Q68=24,'A.0_Tablas salariales SC'!$P$43,IF(Q68=26,'A.0_Tablas salariales SC'!$P$44,IF(Q68=28,'A.0_Tablas salariales SC'!$P$45,0)))))))))))</f>
        <v>462.44</v>
      </c>
      <c r="Y68" s="175">
        <f>IF(R68=2,'A.0_Tablas salariales SC'!$P$63,(IF(R68=6,'A.0_Tablas salariales SC'!$P$64,IF(R68=10,'A.0_Tablas salariales SC'!$P$65,IF(R68=14,'A.0_Tablas salariales SC'!$P$66,IF(R68=18,'A.0_Tablas salariales SC'!$P$67,IF(R68=20,'A.0_Tablas salariales SC'!$P$68,IF(R68=22,'A.0_Tablas salariales SC'!$P$69,IF(R68=24,'A.0_Tablas salariales SC'!$P$70,IF(R68=26,'A.0_Tablas salariales SC'!$P$71,IF(R68=28,'A.0_Tablas salariales SC'!$P$72,0)))))))))))</f>
        <v>480.93</v>
      </c>
      <c r="Z68" s="175">
        <f>IF(S68=2,'A.0_Tablas salariales SC'!$P$90,(IF(S68=6,'A.0_Tablas salariales SC'!$P$91,IF(S68=10,'A.0_Tablas salariales SC'!$P$92,IF(S68=14,'A.0_Tablas salariales SC'!$P$93,IF(S68=18,'A.0_Tablas salariales SC'!$P$94,IF(S68=20,'A.0_Tablas salariales SC'!$P$95,IF(S68=22,'A.0_Tablas salariales SC'!$P$96,IF(S68=24,'A.0_Tablas salariales SC'!$P$97,IF(S68=26,'A.0_Tablas salariales SC'!$P$98,IF(S68=28,'A.0_Tablas salariales SC'!$P$99,0)))))))))))</f>
        <v>502.58</v>
      </c>
      <c r="AA68" s="175">
        <f>IF(T68=2,'A.0_Tablas salariales SC'!$P$117,(IF(T68=6,'A.0_Tablas salariales SC'!$P$118,IF(T68=10,'A.0_Tablas salariales SC'!$P$119,IF(T68=14,'A.0_Tablas salariales SC'!$P$120,IF(T68=18,'A.0_Tablas salariales SC'!$P$121,IF(T68=20,'A.0_Tablas salariales SC'!$P$122,IF(T68=22,'A.0_Tablas salariales SC'!$P$123,IF(T68=24,'A.0_Tablas salariales SC'!$P$124,IF(T68=26,'A.0_Tablas salariales SC'!$P$125,IF(T68=28,'A.0_Tablas salariales SC'!$P$126,0)))))))))))</f>
        <v>527.70000000000005</v>
      </c>
      <c r="AB68" s="175">
        <f>IF(U68=2,'A.0_Tablas salariales SC'!$P$145,(IF(U68=6,'A.0_Tablas salariales SC'!$P$146,IF(U68=10,'A.0_Tablas salariales SC'!$P$147,IF(U68=14,'A.0_Tablas salariales SC'!$P$148,IF(U68=18,'A.0_Tablas salariales SC'!$P$149,IF(U68=20,'A.0_Tablas salariales SC'!$P$150,IF(U68=22,'A.0_Tablas salariales SC'!$P$151,IF(U68=24,'A.0_Tablas salariales SC'!$P$152,IF(U68=26,'A.0_Tablas salariales SC'!$P$153,IF(U68=28,'A.0_Tablas salariales SC'!$P$154,0)))))))))))</f>
        <v>543.53100000000006</v>
      </c>
      <c r="AC68" s="175">
        <f>IF(V68=2,'A.0_Tablas salariales SC'!$P$173,(IF(V68=6,'A.0_Tablas salariales SC'!$P$174,IF(V68=10,'A.0_Tablas salariales SC'!$P$175,IF(V68=14,'A.0_Tablas salariales SC'!$P$176,IF(V68=18,'A.0_Tablas salariales SC'!$P$177,IF(V68=20,'A.0_Tablas salariales SC'!$P$178,IF(V68=22,'A.0_Tablas salariales SC'!$P$179,IF(V68=24,'A.0_Tablas salariales SC'!$P$180,IF(V68=26,'A.0_Tablas salariales SC'!$P$181,IF(V68=28,'A.0_Tablas salariales SC'!$P$182,0)))))))))))</f>
        <v>559.83693000000005</v>
      </c>
    </row>
    <row r="69" spans="1:29">
      <c r="A69" s="508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2">
        <f t="shared" ref="F69:F84" si="58">YEAR(E69)</f>
        <v>1900</v>
      </c>
      <c r="G69" s="173">
        <f t="shared" si="56"/>
        <v>2026</v>
      </c>
      <c r="H69" s="173">
        <f t="shared" si="56"/>
        <v>2032</v>
      </c>
      <c r="I69" s="173">
        <f t="shared" ref="I69:I84" si="59">($I$3-F69)*$I$4</f>
        <v>126</v>
      </c>
      <c r="J69" s="173">
        <f t="shared" ref="J69:J84" si="60">($J$3-F69)*$J$4</f>
        <v>127</v>
      </c>
      <c r="K69" s="173">
        <f t="shared" ref="K69:K84" si="61">($K$3-F69)*$K$4</f>
        <v>128</v>
      </c>
      <c r="L69" s="173">
        <f t="shared" ref="L69:L84" si="62">($L$3-F69)*$L$4</f>
        <v>129</v>
      </c>
      <c r="M69" s="173">
        <f t="shared" ref="M69:M84" si="63">($M$3-F69)*$M$4</f>
        <v>130</v>
      </c>
      <c r="N69" s="173">
        <f t="shared" ref="N69:N84" si="64">($N$3-F69)*$N$4</f>
        <v>131</v>
      </c>
      <c r="O69" s="173">
        <f t="shared" ref="O69:O84" si="65">($O$3-F69)*$O$4</f>
        <v>132</v>
      </c>
      <c r="P69" s="173">
        <f t="shared" ref="P69:P84" si="66">IF(I69&gt;=28,28,IF(I69&gt;=26,26,(IF(I69&gt;=24,24,IF(I69&gt;=22,22,IF(I69&gt;=20,20,IF(I69&gt;=18,18,IF(I69&gt;=14,14,(IF(I69&gt;=10,10,(IF(I69&gt;=6,6,(IF(I69&gt;=2,2,0))))))))))))))</f>
        <v>28</v>
      </c>
      <c r="Q69" s="173">
        <f t="shared" ref="Q69:Q84" si="67">IF(J69&gt;=28,28,IF(J69&gt;=26,26,(IF(J69&gt;=24,24,IF(J69&gt;=22,22,IF(J69&gt;=20,20,IF(J69&gt;=18,18,IF(J69&gt;=14,14,(IF(J69&gt;=10,10,(IF(J69&gt;=6,6,(IF(J69&gt;=2,2,0))))))))))))))</f>
        <v>28</v>
      </c>
      <c r="R69" s="173">
        <f t="shared" ref="R69:R84" si="68">IF(K69&gt;=28,28,IF(K69&gt;=26,26,(IF(K69&gt;=24,24,IF(K69&gt;=22,22,IF(K69&gt;=20,20,IF(K69&gt;=18,18,IF(K69&gt;=14,14,(IF(K69&gt;=10,10,(IF(K69&gt;=6,6,(IF(K69&gt;=2,2,0))))))))))))))</f>
        <v>28</v>
      </c>
      <c r="S69" s="173">
        <f t="shared" ref="S69:S84" si="69">IF(L69&gt;=28,28,IF(L69&gt;=26,26,(IF(L69&gt;=24,24,IF(L69&gt;=22,22,IF(L69&gt;=20,20,IF(L69&gt;=18,18,IF(L69&gt;=14,14,(IF(L69&gt;=10,10,(IF(L69&gt;=6,6,(IF(L69&gt;=2,2,0))))))))))))))</f>
        <v>28</v>
      </c>
      <c r="T69" s="173">
        <f t="shared" ref="T69:T84" si="70">IF(M69&gt;=28,28,IF(M69&gt;=26,26,(IF(M69&gt;=24,24,IF(M69&gt;=22,22,IF(M69&gt;=20,20,IF(M69&gt;=18,18,IF(M69&gt;=14,14,(IF(M69&gt;=10,10,(IF(M69&gt;=6,6,(IF(M69&gt;=2,2,0))))))))))))))</f>
        <v>28</v>
      </c>
      <c r="U69" s="173">
        <f t="shared" ref="U69:U84" si="71">IF(N69&gt;=28,28,IF(N69&gt;=26,26,(IF(N69&gt;=24,24,IF(N69&gt;=22,22,IF(N69&gt;=20,20,IF(N69&gt;=18,18,IF(N69&gt;=14,14,(IF(N69&gt;=10,10,(IF(N69&gt;=6,6,(IF(N69&gt;=2,2,0))))))))))))))</f>
        <v>28</v>
      </c>
      <c r="V69" s="173">
        <f t="shared" ref="V69:V84" si="72">IF(O69&gt;=28,28,IF(O69&gt;=26,26,(IF(O69&gt;=24,24,IF(O69&gt;=22,22,IF(O69&gt;=20,20,IF(O69&gt;=18,18,IF(O69&gt;=14,14,(IF(O69&gt;=10,10,(IF(O69&gt;=6,6,(IF(O69&gt;=2,2,0))))))))))))))</f>
        <v>28</v>
      </c>
      <c r="W69" s="175">
        <f>IF(P69=2,'A.0_Tablas salariales SC'!$P$9,(IF(P69=6,'A.0_Tablas salariales SC'!$P$10,IF(P69=10,'A.0_Tablas salariales SC'!$P$11,IF(P69=14,'A.0_Tablas salariales SC'!$P$12,IF(P69=18,'A.0_Tablas salariales SC'!$P$13,IF(P69=20,'A.0_Tablas salariales SC'!$P$14,IF(P69=22,'A.0_Tablas salariales SC'!$P$15,IF(P69=24,'A.0_Tablas salariales SC'!$P$16,IF(P69=26,'A.0_Tablas salariales SC'!$P$17,IF(P69=28,'A.0_Tablas salariales SC'!$P$18,0)))))))))))</f>
        <v>446.8</v>
      </c>
      <c r="X69" s="175">
        <f>IF(Q69=2,'A.0_Tablas salariales SC'!$P$36,(IF(Q69=6,'A.0_Tablas salariales SC'!$P$37,IF(Q69=10,'A.0_Tablas salariales SC'!$P$38,IF(Q69=14,'A.0_Tablas salariales SC'!$P$39,IF(Q69=18,'A.0_Tablas salariales SC'!$P$40,IF(Q69=20,'A.0_Tablas salariales SC'!$P$41,IF(Q69=22,'A.0_Tablas salariales SC'!$P$42,IF(Q69=24,'A.0_Tablas salariales SC'!$P$43,IF(Q69=26,'A.0_Tablas salariales SC'!$P$44,IF(Q69=28,'A.0_Tablas salariales SC'!$P$45,0)))))))))))</f>
        <v>462.44</v>
      </c>
      <c r="Y69" s="175">
        <f>IF(R69=2,'A.0_Tablas salariales SC'!$P$63,(IF(R69=6,'A.0_Tablas salariales SC'!$P$64,IF(R69=10,'A.0_Tablas salariales SC'!$P$65,IF(R69=14,'A.0_Tablas salariales SC'!$P$66,IF(R69=18,'A.0_Tablas salariales SC'!$P$67,IF(R69=20,'A.0_Tablas salariales SC'!$P$68,IF(R69=22,'A.0_Tablas salariales SC'!$P$69,IF(R69=24,'A.0_Tablas salariales SC'!$P$70,IF(R69=26,'A.0_Tablas salariales SC'!$P$71,IF(R69=28,'A.0_Tablas salariales SC'!$P$72,0)))))))))))</f>
        <v>480.93</v>
      </c>
      <c r="Z69" s="175">
        <f>IF(S69=2,'A.0_Tablas salariales SC'!$P$90,(IF(S69=6,'A.0_Tablas salariales SC'!$P$91,IF(S69=10,'A.0_Tablas salariales SC'!$P$92,IF(S69=14,'A.0_Tablas salariales SC'!$P$93,IF(S69=18,'A.0_Tablas salariales SC'!$P$94,IF(S69=20,'A.0_Tablas salariales SC'!$P$95,IF(S69=22,'A.0_Tablas salariales SC'!$P$96,IF(S69=24,'A.0_Tablas salariales SC'!$P$97,IF(S69=26,'A.0_Tablas salariales SC'!$P$98,IF(S69=28,'A.0_Tablas salariales SC'!$P$99,0)))))))))))</f>
        <v>502.58</v>
      </c>
      <c r="AA69" s="175">
        <f>IF(T69=2,'A.0_Tablas salariales SC'!$P$117,(IF(T69=6,'A.0_Tablas salariales SC'!$P$118,IF(T69=10,'A.0_Tablas salariales SC'!$P$119,IF(T69=14,'A.0_Tablas salariales SC'!$P$120,IF(T69=18,'A.0_Tablas salariales SC'!$P$121,IF(T69=20,'A.0_Tablas salariales SC'!$P$122,IF(T69=22,'A.0_Tablas salariales SC'!$P$123,IF(T69=24,'A.0_Tablas salariales SC'!$P$124,IF(T69=26,'A.0_Tablas salariales SC'!$P$125,IF(T69=28,'A.0_Tablas salariales SC'!$P$126,0)))))))))))</f>
        <v>527.70000000000005</v>
      </c>
      <c r="AB69" s="175">
        <f>IF(U69=2,'A.0_Tablas salariales SC'!$P$145,(IF(U69=6,'A.0_Tablas salariales SC'!$P$146,IF(U69=10,'A.0_Tablas salariales SC'!$P$147,IF(U69=14,'A.0_Tablas salariales SC'!$P$148,IF(U69=18,'A.0_Tablas salariales SC'!$P$149,IF(U69=20,'A.0_Tablas salariales SC'!$P$150,IF(U69=22,'A.0_Tablas salariales SC'!$P$151,IF(U69=24,'A.0_Tablas salariales SC'!$P$152,IF(U69=26,'A.0_Tablas salariales SC'!$P$153,IF(U69=28,'A.0_Tablas salariales SC'!$P$154,0)))))))))))</f>
        <v>543.53100000000006</v>
      </c>
      <c r="AC69" s="175">
        <f>IF(V69=2,'A.0_Tablas salariales SC'!$P$173,(IF(V69=6,'A.0_Tablas salariales SC'!$P$174,IF(V69=10,'A.0_Tablas salariales SC'!$P$175,IF(V69=14,'A.0_Tablas salariales SC'!$P$176,IF(V69=18,'A.0_Tablas salariales SC'!$P$177,IF(V69=20,'A.0_Tablas salariales SC'!$P$178,IF(V69=22,'A.0_Tablas salariales SC'!$P$179,IF(V69=24,'A.0_Tablas salariales SC'!$P$180,IF(V69=26,'A.0_Tablas salariales SC'!$P$181,IF(V69=28,'A.0_Tablas salariales SC'!$P$182,0)))))))))))</f>
        <v>559.83693000000005</v>
      </c>
    </row>
    <row r="70" spans="1:29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2">
        <f t="shared" si="58"/>
        <v>1900</v>
      </c>
      <c r="G70" s="173">
        <f t="shared" si="56"/>
        <v>2026</v>
      </c>
      <c r="H70" s="173">
        <f t="shared" si="56"/>
        <v>2032</v>
      </c>
      <c r="I70" s="173">
        <f t="shared" si="59"/>
        <v>126</v>
      </c>
      <c r="J70" s="173">
        <f t="shared" si="60"/>
        <v>127</v>
      </c>
      <c r="K70" s="173">
        <f t="shared" si="61"/>
        <v>128</v>
      </c>
      <c r="L70" s="173">
        <f t="shared" si="62"/>
        <v>129</v>
      </c>
      <c r="M70" s="173">
        <f t="shared" si="63"/>
        <v>130</v>
      </c>
      <c r="N70" s="173">
        <f t="shared" si="64"/>
        <v>131</v>
      </c>
      <c r="O70" s="173">
        <f t="shared" si="65"/>
        <v>132</v>
      </c>
      <c r="P70" s="173">
        <f t="shared" si="66"/>
        <v>28</v>
      </c>
      <c r="Q70" s="173">
        <f t="shared" si="67"/>
        <v>28</v>
      </c>
      <c r="R70" s="173">
        <f t="shared" si="68"/>
        <v>28</v>
      </c>
      <c r="S70" s="173">
        <f t="shared" si="69"/>
        <v>28</v>
      </c>
      <c r="T70" s="173">
        <f t="shared" si="70"/>
        <v>28</v>
      </c>
      <c r="U70" s="173">
        <f t="shared" si="71"/>
        <v>28</v>
      </c>
      <c r="V70" s="173">
        <f t="shared" si="72"/>
        <v>28</v>
      </c>
      <c r="W70" s="175">
        <f>IF(P70=2,'A.0_Tablas salariales SC'!$P$9,(IF(P70=6,'A.0_Tablas salariales SC'!$P$10,IF(P70=10,'A.0_Tablas salariales SC'!$P$11,IF(P70=14,'A.0_Tablas salariales SC'!$P$12,IF(P70=18,'A.0_Tablas salariales SC'!$P$13,IF(P70=20,'A.0_Tablas salariales SC'!$P$14,IF(P70=22,'A.0_Tablas salariales SC'!$P$15,IF(P70=24,'A.0_Tablas salariales SC'!$P$16,IF(P70=26,'A.0_Tablas salariales SC'!$P$17,IF(P70=28,'A.0_Tablas salariales SC'!$P$18,0)))))))))))</f>
        <v>446.8</v>
      </c>
      <c r="X70" s="175">
        <f>IF(Q70=2,'A.0_Tablas salariales SC'!$P$36,(IF(Q70=6,'A.0_Tablas salariales SC'!$P$37,IF(Q70=10,'A.0_Tablas salariales SC'!$P$38,IF(Q70=14,'A.0_Tablas salariales SC'!$P$39,IF(Q70=18,'A.0_Tablas salariales SC'!$P$40,IF(Q70=20,'A.0_Tablas salariales SC'!$P$41,IF(Q70=22,'A.0_Tablas salariales SC'!$P$42,IF(Q70=24,'A.0_Tablas salariales SC'!$P$43,IF(Q70=26,'A.0_Tablas salariales SC'!$P$44,IF(Q70=28,'A.0_Tablas salariales SC'!$P$45,0)))))))))))</f>
        <v>462.44</v>
      </c>
      <c r="Y70" s="175">
        <f>IF(R70=2,'A.0_Tablas salariales SC'!$P$63,(IF(R70=6,'A.0_Tablas salariales SC'!$P$64,IF(R70=10,'A.0_Tablas salariales SC'!$P$65,IF(R70=14,'A.0_Tablas salariales SC'!$P$66,IF(R70=18,'A.0_Tablas salariales SC'!$P$67,IF(R70=20,'A.0_Tablas salariales SC'!$P$68,IF(R70=22,'A.0_Tablas salariales SC'!$P$69,IF(R70=24,'A.0_Tablas salariales SC'!$P$70,IF(R70=26,'A.0_Tablas salariales SC'!$P$71,IF(R70=28,'A.0_Tablas salariales SC'!$P$72,0)))))))))))</f>
        <v>480.93</v>
      </c>
      <c r="Z70" s="175">
        <f>IF(S70=2,'A.0_Tablas salariales SC'!$P$90,(IF(S70=6,'A.0_Tablas salariales SC'!$P$91,IF(S70=10,'A.0_Tablas salariales SC'!$P$92,IF(S70=14,'A.0_Tablas salariales SC'!$P$93,IF(S70=18,'A.0_Tablas salariales SC'!$P$94,IF(S70=20,'A.0_Tablas salariales SC'!$P$95,IF(S70=22,'A.0_Tablas salariales SC'!$P$96,IF(S70=24,'A.0_Tablas salariales SC'!$P$97,IF(S70=26,'A.0_Tablas salariales SC'!$P$98,IF(S70=28,'A.0_Tablas salariales SC'!$P$99,0)))))))))))</f>
        <v>502.58</v>
      </c>
      <c r="AA70" s="175">
        <f>IF(T70=2,'A.0_Tablas salariales SC'!$P$117,(IF(T70=6,'A.0_Tablas salariales SC'!$P$118,IF(T70=10,'A.0_Tablas salariales SC'!$P$119,IF(T70=14,'A.0_Tablas salariales SC'!$P$120,IF(T70=18,'A.0_Tablas salariales SC'!$P$121,IF(T70=20,'A.0_Tablas salariales SC'!$P$122,IF(T70=22,'A.0_Tablas salariales SC'!$P$123,IF(T70=24,'A.0_Tablas salariales SC'!$P$124,IF(T70=26,'A.0_Tablas salariales SC'!$P$125,IF(T70=28,'A.0_Tablas salariales SC'!$P$126,0)))))))))))</f>
        <v>527.70000000000005</v>
      </c>
      <c r="AB70" s="175">
        <f>IF(U70=2,'A.0_Tablas salariales SC'!$P$145,(IF(U70=6,'A.0_Tablas salariales SC'!$P$146,IF(U70=10,'A.0_Tablas salariales SC'!$P$147,IF(U70=14,'A.0_Tablas salariales SC'!$P$148,IF(U70=18,'A.0_Tablas salariales SC'!$P$149,IF(U70=20,'A.0_Tablas salariales SC'!$P$150,IF(U70=22,'A.0_Tablas salariales SC'!$P$151,IF(U70=24,'A.0_Tablas salariales SC'!$P$152,IF(U70=26,'A.0_Tablas salariales SC'!$P$153,IF(U70=28,'A.0_Tablas salariales SC'!$P$154,0)))))))))))</f>
        <v>543.53100000000006</v>
      </c>
      <c r="AC70" s="175">
        <f>IF(V70=2,'A.0_Tablas salariales SC'!$P$173,(IF(V70=6,'A.0_Tablas salariales SC'!$P$174,IF(V70=10,'A.0_Tablas salariales SC'!$P$175,IF(V70=14,'A.0_Tablas salariales SC'!$P$176,IF(V70=18,'A.0_Tablas salariales SC'!$P$177,IF(V70=20,'A.0_Tablas salariales SC'!$P$178,IF(V70=22,'A.0_Tablas salariales SC'!$P$179,IF(V70=24,'A.0_Tablas salariales SC'!$P$180,IF(V70=26,'A.0_Tablas salariales SC'!$P$181,IF(V70=28,'A.0_Tablas salariales SC'!$P$182,0)))))))))))</f>
        <v>559.83693000000005</v>
      </c>
    </row>
    <row r="71" spans="1:29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2">
        <f t="shared" si="58"/>
        <v>1900</v>
      </c>
      <c r="G71" s="173">
        <f t="shared" si="56"/>
        <v>2026</v>
      </c>
      <c r="H71" s="173">
        <f t="shared" si="56"/>
        <v>2032</v>
      </c>
      <c r="I71" s="173">
        <f t="shared" si="59"/>
        <v>126</v>
      </c>
      <c r="J71" s="173">
        <f t="shared" si="60"/>
        <v>127</v>
      </c>
      <c r="K71" s="173">
        <f t="shared" si="61"/>
        <v>128</v>
      </c>
      <c r="L71" s="173">
        <f t="shared" si="62"/>
        <v>129</v>
      </c>
      <c r="M71" s="173">
        <f t="shared" si="63"/>
        <v>130</v>
      </c>
      <c r="N71" s="173">
        <f t="shared" si="64"/>
        <v>131</v>
      </c>
      <c r="O71" s="173">
        <f t="shared" si="65"/>
        <v>132</v>
      </c>
      <c r="P71" s="173">
        <f t="shared" si="66"/>
        <v>28</v>
      </c>
      <c r="Q71" s="173">
        <f t="shared" si="67"/>
        <v>28</v>
      </c>
      <c r="R71" s="173">
        <f t="shared" si="68"/>
        <v>28</v>
      </c>
      <c r="S71" s="173">
        <f t="shared" si="69"/>
        <v>28</v>
      </c>
      <c r="T71" s="173">
        <f t="shared" si="70"/>
        <v>28</v>
      </c>
      <c r="U71" s="173">
        <f t="shared" si="71"/>
        <v>28</v>
      </c>
      <c r="V71" s="173">
        <f t="shared" si="72"/>
        <v>28</v>
      </c>
      <c r="W71" s="175">
        <f>IF(P71=2,'A.0_Tablas salariales SC'!$P$9,(IF(P71=6,'A.0_Tablas salariales SC'!$P$10,IF(P71=10,'A.0_Tablas salariales SC'!$P$11,IF(P71=14,'A.0_Tablas salariales SC'!$P$12,IF(P71=18,'A.0_Tablas salariales SC'!$P$13,IF(P71=20,'A.0_Tablas salariales SC'!$P$14,IF(P71=22,'A.0_Tablas salariales SC'!$P$15,IF(P71=24,'A.0_Tablas salariales SC'!$P$16,IF(P71=26,'A.0_Tablas salariales SC'!$P$17,IF(P71=28,'A.0_Tablas salariales SC'!$P$18,0)))))))))))</f>
        <v>446.8</v>
      </c>
      <c r="X71" s="175">
        <f>IF(Q71=2,'A.0_Tablas salariales SC'!$P$36,(IF(Q71=6,'A.0_Tablas salariales SC'!$P$37,IF(Q71=10,'A.0_Tablas salariales SC'!$P$38,IF(Q71=14,'A.0_Tablas salariales SC'!$P$39,IF(Q71=18,'A.0_Tablas salariales SC'!$P$40,IF(Q71=20,'A.0_Tablas salariales SC'!$P$41,IF(Q71=22,'A.0_Tablas salariales SC'!$P$42,IF(Q71=24,'A.0_Tablas salariales SC'!$P$43,IF(Q71=26,'A.0_Tablas salariales SC'!$P$44,IF(Q71=28,'A.0_Tablas salariales SC'!$P$45,0)))))))))))</f>
        <v>462.44</v>
      </c>
      <c r="Y71" s="175">
        <f>IF(R71=2,'A.0_Tablas salariales SC'!$P$63,(IF(R71=6,'A.0_Tablas salariales SC'!$P$64,IF(R71=10,'A.0_Tablas salariales SC'!$P$65,IF(R71=14,'A.0_Tablas salariales SC'!$P$66,IF(R71=18,'A.0_Tablas salariales SC'!$P$67,IF(R71=20,'A.0_Tablas salariales SC'!$P$68,IF(R71=22,'A.0_Tablas salariales SC'!$P$69,IF(R71=24,'A.0_Tablas salariales SC'!$P$70,IF(R71=26,'A.0_Tablas salariales SC'!$P$71,IF(R71=28,'A.0_Tablas salariales SC'!$P$72,0)))))))))))</f>
        <v>480.93</v>
      </c>
      <c r="Z71" s="175">
        <f>IF(S71=2,'A.0_Tablas salariales SC'!$P$90,(IF(S71=6,'A.0_Tablas salariales SC'!$P$91,IF(S71=10,'A.0_Tablas salariales SC'!$P$92,IF(S71=14,'A.0_Tablas salariales SC'!$P$93,IF(S71=18,'A.0_Tablas salariales SC'!$P$94,IF(S71=20,'A.0_Tablas salariales SC'!$P$95,IF(S71=22,'A.0_Tablas salariales SC'!$P$96,IF(S71=24,'A.0_Tablas salariales SC'!$P$97,IF(S71=26,'A.0_Tablas salariales SC'!$P$98,IF(S71=28,'A.0_Tablas salariales SC'!$P$99,0)))))))))))</f>
        <v>502.58</v>
      </c>
      <c r="AA71" s="175">
        <f>IF(T71=2,'A.0_Tablas salariales SC'!$P$117,(IF(T71=6,'A.0_Tablas salariales SC'!$P$118,IF(T71=10,'A.0_Tablas salariales SC'!$P$119,IF(T71=14,'A.0_Tablas salariales SC'!$P$120,IF(T71=18,'A.0_Tablas salariales SC'!$P$121,IF(T71=20,'A.0_Tablas salariales SC'!$P$122,IF(T71=22,'A.0_Tablas salariales SC'!$P$123,IF(T71=24,'A.0_Tablas salariales SC'!$P$124,IF(T71=26,'A.0_Tablas salariales SC'!$P$125,IF(T71=28,'A.0_Tablas salariales SC'!$P$126,0)))))))))))</f>
        <v>527.70000000000005</v>
      </c>
      <c r="AB71" s="175">
        <f>IF(U71=2,'A.0_Tablas salariales SC'!$P$145,(IF(U71=6,'A.0_Tablas salariales SC'!$P$146,IF(U71=10,'A.0_Tablas salariales SC'!$P$147,IF(U71=14,'A.0_Tablas salariales SC'!$P$148,IF(U71=18,'A.0_Tablas salariales SC'!$P$149,IF(U71=20,'A.0_Tablas salariales SC'!$P$150,IF(U71=22,'A.0_Tablas salariales SC'!$P$151,IF(U71=24,'A.0_Tablas salariales SC'!$P$152,IF(U71=26,'A.0_Tablas salariales SC'!$P$153,IF(U71=28,'A.0_Tablas salariales SC'!$P$154,0)))))))))))</f>
        <v>543.53100000000006</v>
      </c>
      <c r="AC71" s="175">
        <f>IF(V71=2,'A.0_Tablas salariales SC'!$P$173,(IF(V71=6,'A.0_Tablas salariales SC'!$P$174,IF(V71=10,'A.0_Tablas salariales SC'!$P$175,IF(V71=14,'A.0_Tablas salariales SC'!$P$176,IF(V71=18,'A.0_Tablas salariales SC'!$P$177,IF(V71=20,'A.0_Tablas salariales SC'!$P$178,IF(V71=22,'A.0_Tablas salariales SC'!$P$179,IF(V71=24,'A.0_Tablas salariales SC'!$P$180,IF(V71=26,'A.0_Tablas salariales SC'!$P$181,IF(V71=28,'A.0_Tablas salariales SC'!$P$182,0)))))))))))</f>
        <v>559.83693000000005</v>
      </c>
    </row>
    <row r="72" spans="1:29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2">
        <f t="shared" si="58"/>
        <v>1900</v>
      </c>
      <c r="G72" s="173">
        <f t="shared" si="56"/>
        <v>2026</v>
      </c>
      <c r="H72" s="173">
        <f t="shared" si="56"/>
        <v>2032</v>
      </c>
      <c r="I72" s="173">
        <f t="shared" si="59"/>
        <v>126</v>
      </c>
      <c r="J72" s="173">
        <f t="shared" si="60"/>
        <v>127</v>
      </c>
      <c r="K72" s="173">
        <f t="shared" si="61"/>
        <v>128</v>
      </c>
      <c r="L72" s="173">
        <f t="shared" si="62"/>
        <v>129</v>
      </c>
      <c r="M72" s="173">
        <f t="shared" si="63"/>
        <v>130</v>
      </c>
      <c r="N72" s="173">
        <f t="shared" si="64"/>
        <v>131</v>
      </c>
      <c r="O72" s="173">
        <f t="shared" si="65"/>
        <v>132</v>
      </c>
      <c r="P72" s="173">
        <f t="shared" si="66"/>
        <v>28</v>
      </c>
      <c r="Q72" s="173">
        <f t="shared" si="67"/>
        <v>28</v>
      </c>
      <c r="R72" s="173">
        <f t="shared" si="68"/>
        <v>28</v>
      </c>
      <c r="S72" s="173">
        <f t="shared" si="69"/>
        <v>28</v>
      </c>
      <c r="T72" s="173">
        <f t="shared" si="70"/>
        <v>28</v>
      </c>
      <c r="U72" s="173">
        <f t="shared" si="71"/>
        <v>28</v>
      </c>
      <c r="V72" s="173">
        <f t="shared" si="72"/>
        <v>28</v>
      </c>
      <c r="W72" s="175">
        <f>IF(P72=2,'A.0_Tablas salariales SC'!$P$9,(IF(P72=6,'A.0_Tablas salariales SC'!$P$10,IF(P72=10,'A.0_Tablas salariales SC'!$P$11,IF(P72=14,'A.0_Tablas salariales SC'!$P$12,IF(P72=18,'A.0_Tablas salariales SC'!$P$13,IF(P72=20,'A.0_Tablas salariales SC'!$P$14,IF(P72=22,'A.0_Tablas salariales SC'!$P$15,IF(P72=24,'A.0_Tablas salariales SC'!$P$16,IF(P72=26,'A.0_Tablas salariales SC'!$P$17,IF(P72=28,'A.0_Tablas salariales SC'!$P$18,0)))))))))))</f>
        <v>446.8</v>
      </c>
      <c r="X72" s="175">
        <f>IF(Q72=2,'A.0_Tablas salariales SC'!$P$36,(IF(Q72=6,'A.0_Tablas salariales SC'!$P$37,IF(Q72=10,'A.0_Tablas salariales SC'!$P$38,IF(Q72=14,'A.0_Tablas salariales SC'!$P$39,IF(Q72=18,'A.0_Tablas salariales SC'!$P$40,IF(Q72=20,'A.0_Tablas salariales SC'!$P$41,IF(Q72=22,'A.0_Tablas salariales SC'!$P$42,IF(Q72=24,'A.0_Tablas salariales SC'!$P$43,IF(Q72=26,'A.0_Tablas salariales SC'!$P$44,IF(Q72=28,'A.0_Tablas salariales SC'!$P$45,0)))))))))))</f>
        <v>462.44</v>
      </c>
      <c r="Y72" s="175">
        <f>IF(R72=2,'A.0_Tablas salariales SC'!$P$63,(IF(R72=6,'A.0_Tablas salariales SC'!$P$64,IF(R72=10,'A.0_Tablas salariales SC'!$P$65,IF(R72=14,'A.0_Tablas salariales SC'!$P$66,IF(R72=18,'A.0_Tablas salariales SC'!$P$67,IF(R72=20,'A.0_Tablas salariales SC'!$P$68,IF(R72=22,'A.0_Tablas salariales SC'!$P$69,IF(R72=24,'A.0_Tablas salariales SC'!$P$70,IF(R72=26,'A.0_Tablas salariales SC'!$P$71,IF(R72=28,'A.0_Tablas salariales SC'!$P$72,0)))))))))))</f>
        <v>480.93</v>
      </c>
      <c r="Z72" s="175">
        <f>IF(S72=2,'A.0_Tablas salariales SC'!$P$90,(IF(S72=6,'A.0_Tablas salariales SC'!$P$91,IF(S72=10,'A.0_Tablas salariales SC'!$P$92,IF(S72=14,'A.0_Tablas salariales SC'!$P$93,IF(S72=18,'A.0_Tablas salariales SC'!$P$94,IF(S72=20,'A.0_Tablas salariales SC'!$P$95,IF(S72=22,'A.0_Tablas salariales SC'!$P$96,IF(S72=24,'A.0_Tablas salariales SC'!$P$97,IF(S72=26,'A.0_Tablas salariales SC'!$P$98,IF(S72=28,'A.0_Tablas salariales SC'!$P$99,0)))))))))))</f>
        <v>502.58</v>
      </c>
      <c r="AA72" s="175">
        <f>IF(T72=2,'A.0_Tablas salariales SC'!$P$117,(IF(T72=6,'A.0_Tablas salariales SC'!$P$118,IF(T72=10,'A.0_Tablas salariales SC'!$P$119,IF(T72=14,'A.0_Tablas salariales SC'!$P$120,IF(T72=18,'A.0_Tablas salariales SC'!$P$121,IF(T72=20,'A.0_Tablas salariales SC'!$P$122,IF(T72=22,'A.0_Tablas salariales SC'!$P$123,IF(T72=24,'A.0_Tablas salariales SC'!$P$124,IF(T72=26,'A.0_Tablas salariales SC'!$P$125,IF(T72=28,'A.0_Tablas salariales SC'!$P$126,0)))))))))))</f>
        <v>527.70000000000005</v>
      </c>
      <c r="AB72" s="175">
        <f>IF(U72=2,'A.0_Tablas salariales SC'!$P$145,(IF(U72=6,'A.0_Tablas salariales SC'!$P$146,IF(U72=10,'A.0_Tablas salariales SC'!$P$147,IF(U72=14,'A.0_Tablas salariales SC'!$P$148,IF(U72=18,'A.0_Tablas salariales SC'!$P$149,IF(U72=20,'A.0_Tablas salariales SC'!$P$150,IF(U72=22,'A.0_Tablas salariales SC'!$P$151,IF(U72=24,'A.0_Tablas salariales SC'!$P$152,IF(U72=26,'A.0_Tablas salariales SC'!$P$153,IF(U72=28,'A.0_Tablas salariales SC'!$P$154,0)))))))))))</f>
        <v>543.53100000000006</v>
      </c>
      <c r="AC72" s="175">
        <f>IF(V72=2,'A.0_Tablas salariales SC'!$P$173,(IF(V72=6,'A.0_Tablas salariales SC'!$P$174,IF(V72=10,'A.0_Tablas salariales SC'!$P$175,IF(V72=14,'A.0_Tablas salariales SC'!$P$176,IF(V72=18,'A.0_Tablas salariales SC'!$P$177,IF(V72=20,'A.0_Tablas salariales SC'!$P$178,IF(V72=22,'A.0_Tablas salariales SC'!$P$179,IF(V72=24,'A.0_Tablas salariales SC'!$P$180,IF(V72=26,'A.0_Tablas salariales SC'!$P$181,IF(V72=28,'A.0_Tablas salariales SC'!$P$182,0)))))))))))</f>
        <v>559.83693000000005</v>
      </c>
    </row>
    <row r="73" spans="1:29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2">
        <f t="shared" si="58"/>
        <v>1900</v>
      </c>
      <c r="G73" s="173">
        <f t="shared" si="56"/>
        <v>2026</v>
      </c>
      <c r="H73" s="173">
        <f t="shared" si="56"/>
        <v>2032</v>
      </c>
      <c r="I73" s="173">
        <f t="shared" si="59"/>
        <v>126</v>
      </c>
      <c r="J73" s="173">
        <f t="shared" si="60"/>
        <v>127</v>
      </c>
      <c r="K73" s="173">
        <f t="shared" si="61"/>
        <v>128</v>
      </c>
      <c r="L73" s="173">
        <f t="shared" si="62"/>
        <v>129</v>
      </c>
      <c r="M73" s="173">
        <f t="shared" si="63"/>
        <v>130</v>
      </c>
      <c r="N73" s="173">
        <f t="shared" si="64"/>
        <v>131</v>
      </c>
      <c r="O73" s="173">
        <f t="shared" si="65"/>
        <v>132</v>
      </c>
      <c r="P73" s="173">
        <f t="shared" si="66"/>
        <v>28</v>
      </c>
      <c r="Q73" s="173">
        <f t="shared" si="67"/>
        <v>28</v>
      </c>
      <c r="R73" s="173">
        <f t="shared" si="68"/>
        <v>28</v>
      </c>
      <c r="S73" s="173">
        <f t="shared" si="69"/>
        <v>28</v>
      </c>
      <c r="T73" s="173">
        <f t="shared" si="70"/>
        <v>28</v>
      </c>
      <c r="U73" s="173">
        <f t="shared" si="71"/>
        <v>28</v>
      </c>
      <c r="V73" s="173">
        <f t="shared" si="72"/>
        <v>28</v>
      </c>
      <c r="W73" s="175">
        <f>IF(P73=2,'A.0_Tablas salariales SC'!$P$9,(IF(P73=6,'A.0_Tablas salariales SC'!$P$10,IF(P73=10,'A.0_Tablas salariales SC'!$P$11,IF(P73=14,'A.0_Tablas salariales SC'!$P$12,IF(P73=18,'A.0_Tablas salariales SC'!$P$13,IF(P73=20,'A.0_Tablas salariales SC'!$P$14,IF(P73=22,'A.0_Tablas salariales SC'!$P$15,IF(P73=24,'A.0_Tablas salariales SC'!$P$16,IF(P73=26,'A.0_Tablas salariales SC'!$P$17,IF(P73=28,'A.0_Tablas salariales SC'!$P$18,0)))))))))))</f>
        <v>446.8</v>
      </c>
      <c r="X73" s="175">
        <f>IF(Q73=2,'A.0_Tablas salariales SC'!$P$36,(IF(Q73=6,'A.0_Tablas salariales SC'!$P$37,IF(Q73=10,'A.0_Tablas salariales SC'!$P$38,IF(Q73=14,'A.0_Tablas salariales SC'!$P$39,IF(Q73=18,'A.0_Tablas salariales SC'!$P$40,IF(Q73=20,'A.0_Tablas salariales SC'!$P$41,IF(Q73=22,'A.0_Tablas salariales SC'!$P$42,IF(Q73=24,'A.0_Tablas salariales SC'!$P$43,IF(Q73=26,'A.0_Tablas salariales SC'!$P$44,IF(Q73=28,'A.0_Tablas salariales SC'!$P$45,0)))))))))))</f>
        <v>462.44</v>
      </c>
      <c r="Y73" s="175">
        <f>IF(R73=2,'A.0_Tablas salariales SC'!$P$63,(IF(R73=6,'A.0_Tablas salariales SC'!$P$64,IF(R73=10,'A.0_Tablas salariales SC'!$P$65,IF(R73=14,'A.0_Tablas salariales SC'!$P$66,IF(R73=18,'A.0_Tablas salariales SC'!$P$67,IF(R73=20,'A.0_Tablas salariales SC'!$P$68,IF(R73=22,'A.0_Tablas salariales SC'!$P$69,IF(R73=24,'A.0_Tablas salariales SC'!$P$70,IF(R73=26,'A.0_Tablas salariales SC'!$P$71,IF(R73=28,'A.0_Tablas salariales SC'!$P$72,0)))))))))))</f>
        <v>480.93</v>
      </c>
      <c r="Z73" s="175">
        <f>IF(S73=2,'A.0_Tablas salariales SC'!$P$90,(IF(S73=6,'A.0_Tablas salariales SC'!$P$91,IF(S73=10,'A.0_Tablas salariales SC'!$P$92,IF(S73=14,'A.0_Tablas salariales SC'!$P$93,IF(S73=18,'A.0_Tablas salariales SC'!$P$94,IF(S73=20,'A.0_Tablas salariales SC'!$P$95,IF(S73=22,'A.0_Tablas salariales SC'!$P$96,IF(S73=24,'A.0_Tablas salariales SC'!$P$97,IF(S73=26,'A.0_Tablas salariales SC'!$P$98,IF(S73=28,'A.0_Tablas salariales SC'!$P$99,0)))))))))))</f>
        <v>502.58</v>
      </c>
      <c r="AA73" s="175">
        <f>IF(T73=2,'A.0_Tablas salariales SC'!$P$117,(IF(T73=6,'A.0_Tablas salariales SC'!$P$118,IF(T73=10,'A.0_Tablas salariales SC'!$P$119,IF(T73=14,'A.0_Tablas salariales SC'!$P$120,IF(T73=18,'A.0_Tablas salariales SC'!$P$121,IF(T73=20,'A.0_Tablas salariales SC'!$P$122,IF(T73=22,'A.0_Tablas salariales SC'!$P$123,IF(T73=24,'A.0_Tablas salariales SC'!$P$124,IF(T73=26,'A.0_Tablas salariales SC'!$P$125,IF(T73=28,'A.0_Tablas salariales SC'!$P$126,0)))))))))))</f>
        <v>527.70000000000005</v>
      </c>
      <c r="AB73" s="175">
        <f>IF(U73=2,'A.0_Tablas salariales SC'!$P$145,(IF(U73=6,'A.0_Tablas salariales SC'!$P$146,IF(U73=10,'A.0_Tablas salariales SC'!$P$147,IF(U73=14,'A.0_Tablas salariales SC'!$P$148,IF(U73=18,'A.0_Tablas salariales SC'!$P$149,IF(U73=20,'A.0_Tablas salariales SC'!$P$150,IF(U73=22,'A.0_Tablas salariales SC'!$P$151,IF(U73=24,'A.0_Tablas salariales SC'!$P$152,IF(U73=26,'A.0_Tablas salariales SC'!$P$153,IF(U73=28,'A.0_Tablas salariales SC'!$P$154,0)))))))))))</f>
        <v>543.53100000000006</v>
      </c>
      <c r="AC73" s="175">
        <f>IF(V73=2,'A.0_Tablas salariales SC'!$P$173,(IF(V73=6,'A.0_Tablas salariales SC'!$P$174,IF(V73=10,'A.0_Tablas salariales SC'!$P$175,IF(V73=14,'A.0_Tablas salariales SC'!$P$176,IF(V73=18,'A.0_Tablas salariales SC'!$P$177,IF(V73=20,'A.0_Tablas salariales SC'!$P$178,IF(V73=22,'A.0_Tablas salariales SC'!$P$179,IF(V73=24,'A.0_Tablas salariales SC'!$P$180,IF(V73=26,'A.0_Tablas salariales SC'!$P$181,IF(V73=28,'A.0_Tablas salariales SC'!$P$182,0)))))))))))</f>
        <v>559.83693000000005</v>
      </c>
    </row>
    <row r="74" spans="1:29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2">
        <f t="shared" si="58"/>
        <v>1900</v>
      </c>
      <c r="G74" s="173">
        <f t="shared" si="56"/>
        <v>2026</v>
      </c>
      <c r="H74" s="173">
        <f t="shared" si="56"/>
        <v>2032</v>
      </c>
      <c r="I74" s="173">
        <f t="shared" si="59"/>
        <v>126</v>
      </c>
      <c r="J74" s="173">
        <f t="shared" si="60"/>
        <v>127</v>
      </c>
      <c r="K74" s="173">
        <f t="shared" si="61"/>
        <v>128</v>
      </c>
      <c r="L74" s="173">
        <f t="shared" si="62"/>
        <v>129</v>
      </c>
      <c r="M74" s="173">
        <f t="shared" si="63"/>
        <v>130</v>
      </c>
      <c r="N74" s="173">
        <f t="shared" si="64"/>
        <v>131</v>
      </c>
      <c r="O74" s="173">
        <f t="shared" si="65"/>
        <v>132</v>
      </c>
      <c r="P74" s="173">
        <f t="shared" si="66"/>
        <v>28</v>
      </c>
      <c r="Q74" s="173">
        <f t="shared" si="67"/>
        <v>28</v>
      </c>
      <c r="R74" s="173">
        <f t="shared" si="68"/>
        <v>28</v>
      </c>
      <c r="S74" s="173">
        <f t="shared" si="69"/>
        <v>28</v>
      </c>
      <c r="T74" s="173">
        <f t="shared" si="70"/>
        <v>28</v>
      </c>
      <c r="U74" s="173">
        <f t="shared" si="71"/>
        <v>28</v>
      </c>
      <c r="V74" s="173">
        <f t="shared" si="72"/>
        <v>28</v>
      </c>
      <c r="W74" s="175">
        <f>IF(P74=2,'A.0_Tablas salariales SC'!$P$9,(IF(P74=6,'A.0_Tablas salariales SC'!$P$10,IF(P74=10,'A.0_Tablas salariales SC'!$P$11,IF(P74=14,'A.0_Tablas salariales SC'!$P$12,IF(P74=18,'A.0_Tablas salariales SC'!$P$13,IF(P74=20,'A.0_Tablas salariales SC'!$P$14,IF(P74=22,'A.0_Tablas salariales SC'!$P$15,IF(P74=24,'A.0_Tablas salariales SC'!$P$16,IF(P74=26,'A.0_Tablas salariales SC'!$P$17,IF(P74=28,'A.0_Tablas salariales SC'!$P$18,0)))))))))))</f>
        <v>446.8</v>
      </c>
      <c r="X74" s="175">
        <f>IF(Q74=2,'A.0_Tablas salariales SC'!$P$36,(IF(Q74=6,'A.0_Tablas salariales SC'!$P$37,IF(Q74=10,'A.0_Tablas salariales SC'!$P$38,IF(Q74=14,'A.0_Tablas salariales SC'!$P$39,IF(Q74=18,'A.0_Tablas salariales SC'!$P$40,IF(Q74=20,'A.0_Tablas salariales SC'!$P$41,IF(Q74=22,'A.0_Tablas salariales SC'!$P$42,IF(Q74=24,'A.0_Tablas salariales SC'!$P$43,IF(Q74=26,'A.0_Tablas salariales SC'!$P$44,IF(Q74=28,'A.0_Tablas salariales SC'!$P$45,0)))))))))))</f>
        <v>462.44</v>
      </c>
      <c r="Y74" s="175">
        <f>IF(R74=2,'A.0_Tablas salariales SC'!$P$63,(IF(R74=6,'A.0_Tablas salariales SC'!$P$64,IF(R74=10,'A.0_Tablas salariales SC'!$P$65,IF(R74=14,'A.0_Tablas salariales SC'!$P$66,IF(R74=18,'A.0_Tablas salariales SC'!$P$67,IF(R74=20,'A.0_Tablas salariales SC'!$P$68,IF(R74=22,'A.0_Tablas salariales SC'!$P$69,IF(R74=24,'A.0_Tablas salariales SC'!$P$70,IF(R74=26,'A.0_Tablas salariales SC'!$P$71,IF(R74=28,'A.0_Tablas salariales SC'!$P$72,0)))))))))))</f>
        <v>480.93</v>
      </c>
      <c r="Z74" s="175">
        <f>IF(S74=2,'A.0_Tablas salariales SC'!$P$90,(IF(S74=6,'A.0_Tablas salariales SC'!$P$91,IF(S74=10,'A.0_Tablas salariales SC'!$P$92,IF(S74=14,'A.0_Tablas salariales SC'!$P$93,IF(S74=18,'A.0_Tablas salariales SC'!$P$94,IF(S74=20,'A.0_Tablas salariales SC'!$P$95,IF(S74=22,'A.0_Tablas salariales SC'!$P$96,IF(S74=24,'A.0_Tablas salariales SC'!$P$97,IF(S74=26,'A.0_Tablas salariales SC'!$P$98,IF(S74=28,'A.0_Tablas salariales SC'!$P$99,0)))))))))))</f>
        <v>502.58</v>
      </c>
      <c r="AA74" s="175">
        <f>IF(T74=2,'A.0_Tablas salariales SC'!$P$117,(IF(T74=6,'A.0_Tablas salariales SC'!$P$118,IF(T74=10,'A.0_Tablas salariales SC'!$P$119,IF(T74=14,'A.0_Tablas salariales SC'!$P$120,IF(T74=18,'A.0_Tablas salariales SC'!$P$121,IF(T74=20,'A.0_Tablas salariales SC'!$P$122,IF(T74=22,'A.0_Tablas salariales SC'!$P$123,IF(T74=24,'A.0_Tablas salariales SC'!$P$124,IF(T74=26,'A.0_Tablas salariales SC'!$P$125,IF(T74=28,'A.0_Tablas salariales SC'!$P$126,0)))))))))))</f>
        <v>527.70000000000005</v>
      </c>
      <c r="AB74" s="175">
        <f>IF(U74=2,'A.0_Tablas salariales SC'!$P$145,(IF(U74=6,'A.0_Tablas salariales SC'!$P$146,IF(U74=10,'A.0_Tablas salariales SC'!$P$147,IF(U74=14,'A.0_Tablas salariales SC'!$P$148,IF(U74=18,'A.0_Tablas salariales SC'!$P$149,IF(U74=20,'A.0_Tablas salariales SC'!$P$150,IF(U74=22,'A.0_Tablas salariales SC'!$P$151,IF(U74=24,'A.0_Tablas salariales SC'!$P$152,IF(U74=26,'A.0_Tablas salariales SC'!$P$153,IF(U74=28,'A.0_Tablas salariales SC'!$P$154,0)))))))))))</f>
        <v>543.53100000000006</v>
      </c>
      <c r="AC74" s="175">
        <f>IF(V74=2,'A.0_Tablas salariales SC'!$P$173,(IF(V74=6,'A.0_Tablas salariales SC'!$P$174,IF(V74=10,'A.0_Tablas salariales SC'!$P$175,IF(V74=14,'A.0_Tablas salariales SC'!$P$176,IF(V74=18,'A.0_Tablas salariales SC'!$P$177,IF(V74=20,'A.0_Tablas salariales SC'!$P$178,IF(V74=22,'A.0_Tablas salariales SC'!$P$179,IF(V74=24,'A.0_Tablas salariales SC'!$P$180,IF(V74=26,'A.0_Tablas salariales SC'!$P$181,IF(V74=28,'A.0_Tablas salariales SC'!$P$182,0)))))))))))</f>
        <v>559.83693000000005</v>
      </c>
    </row>
    <row r="75" spans="1:29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2">
        <f t="shared" si="58"/>
        <v>1900</v>
      </c>
      <c r="G75" s="173">
        <f t="shared" si="56"/>
        <v>2026</v>
      </c>
      <c r="H75" s="173">
        <f t="shared" si="56"/>
        <v>2032</v>
      </c>
      <c r="I75" s="173">
        <f t="shared" si="59"/>
        <v>126</v>
      </c>
      <c r="J75" s="173">
        <f t="shared" si="60"/>
        <v>127</v>
      </c>
      <c r="K75" s="173">
        <f t="shared" si="61"/>
        <v>128</v>
      </c>
      <c r="L75" s="173">
        <f t="shared" si="62"/>
        <v>129</v>
      </c>
      <c r="M75" s="173">
        <f t="shared" si="63"/>
        <v>130</v>
      </c>
      <c r="N75" s="173">
        <f t="shared" si="64"/>
        <v>131</v>
      </c>
      <c r="O75" s="173">
        <f t="shared" si="65"/>
        <v>132</v>
      </c>
      <c r="P75" s="173">
        <f t="shared" si="66"/>
        <v>28</v>
      </c>
      <c r="Q75" s="173">
        <f t="shared" si="67"/>
        <v>28</v>
      </c>
      <c r="R75" s="173">
        <f t="shared" si="68"/>
        <v>28</v>
      </c>
      <c r="S75" s="173">
        <f t="shared" si="69"/>
        <v>28</v>
      </c>
      <c r="T75" s="173">
        <f t="shared" si="70"/>
        <v>28</v>
      </c>
      <c r="U75" s="173">
        <f t="shared" si="71"/>
        <v>28</v>
      </c>
      <c r="V75" s="173">
        <f t="shared" si="72"/>
        <v>28</v>
      </c>
      <c r="W75" s="175">
        <f>IF(P75=2,'A.0_Tablas salariales SC'!$P$9,(IF(P75=6,'A.0_Tablas salariales SC'!$P$10,IF(P75=10,'A.0_Tablas salariales SC'!$P$11,IF(P75=14,'A.0_Tablas salariales SC'!$P$12,IF(P75=18,'A.0_Tablas salariales SC'!$P$13,IF(P75=20,'A.0_Tablas salariales SC'!$P$14,IF(P75=22,'A.0_Tablas salariales SC'!$P$15,IF(P75=24,'A.0_Tablas salariales SC'!$P$16,IF(P75=26,'A.0_Tablas salariales SC'!$P$17,IF(P75=28,'A.0_Tablas salariales SC'!$P$18,0)))))))))))</f>
        <v>446.8</v>
      </c>
      <c r="X75" s="175">
        <f>IF(Q75=2,'A.0_Tablas salariales SC'!$P$36,(IF(Q75=6,'A.0_Tablas salariales SC'!$P$37,IF(Q75=10,'A.0_Tablas salariales SC'!$P$38,IF(Q75=14,'A.0_Tablas salariales SC'!$P$39,IF(Q75=18,'A.0_Tablas salariales SC'!$P$40,IF(Q75=20,'A.0_Tablas salariales SC'!$P$41,IF(Q75=22,'A.0_Tablas salariales SC'!$P$42,IF(Q75=24,'A.0_Tablas salariales SC'!$P$43,IF(Q75=26,'A.0_Tablas salariales SC'!$P$44,IF(Q75=28,'A.0_Tablas salariales SC'!$P$45,0)))))))))))</f>
        <v>462.44</v>
      </c>
      <c r="Y75" s="175">
        <f>IF(R75=2,'A.0_Tablas salariales SC'!$P$63,(IF(R75=6,'A.0_Tablas salariales SC'!$P$64,IF(R75=10,'A.0_Tablas salariales SC'!$P$65,IF(R75=14,'A.0_Tablas salariales SC'!$P$66,IF(R75=18,'A.0_Tablas salariales SC'!$P$67,IF(R75=20,'A.0_Tablas salariales SC'!$P$68,IF(R75=22,'A.0_Tablas salariales SC'!$P$69,IF(R75=24,'A.0_Tablas salariales SC'!$P$70,IF(R75=26,'A.0_Tablas salariales SC'!$P$71,IF(R75=28,'A.0_Tablas salariales SC'!$P$72,0)))))))))))</f>
        <v>480.93</v>
      </c>
      <c r="Z75" s="175">
        <f>IF(S75=2,'A.0_Tablas salariales SC'!$P$90,(IF(S75=6,'A.0_Tablas salariales SC'!$P$91,IF(S75=10,'A.0_Tablas salariales SC'!$P$92,IF(S75=14,'A.0_Tablas salariales SC'!$P$93,IF(S75=18,'A.0_Tablas salariales SC'!$P$94,IF(S75=20,'A.0_Tablas salariales SC'!$P$95,IF(S75=22,'A.0_Tablas salariales SC'!$P$96,IF(S75=24,'A.0_Tablas salariales SC'!$P$97,IF(S75=26,'A.0_Tablas salariales SC'!$P$98,IF(S75=28,'A.0_Tablas salariales SC'!$P$99,0)))))))))))</f>
        <v>502.58</v>
      </c>
      <c r="AA75" s="175">
        <f>IF(T75=2,'A.0_Tablas salariales SC'!$P$117,(IF(T75=6,'A.0_Tablas salariales SC'!$P$118,IF(T75=10,'A.0_Tablas salariales SC'!$P$119,IF(T75=14,'A.0_Tablas salariales SC'!$P$120,IF(T75=18,'A.0_Tablas salariales SC'!$P$121,IF(T75=20,'A.0_Tablas salariales SC'!$P$122,IF(T75=22,'A.0_Tablas salariales SC'!$P$123,IF(T75=24,'A.0_Tablas salariales SC'!$P$124,IF(T75=26,'A.0_Tablas salariales SC'!$P$125,IF(T75=28,'A.0_Tablas salariales SC'!$P$126,0)))))))))))</f>
        <v>527.70000000000005</v>
      </c>
      <c r="AB75" s="175">
        <f>IF(U75=2,'A.0_Tablas salariales SC'!$P$145,(IF(U75=6,'A.0_Tablas salariales SC'!$P$146,IF(U75=10,'A.0_Tablas salariales SC'!$P$147,IF(U75=14,'A.0_Tablas salariales SC'!$P$148,IF(U75=18,'A.0_Tablas salariales SC'!$P$149,IF(U75=20,'A.0_Tablas salariales SC'!$P$150,IF(U75=22,'A.0_Tablas salariales SC'!$P$151,IF(U75=24,'A.0_Tablas salariales SC'!$P$152,IF(U75=26,'A.0_Tablas salariales SC'!$P$153,IF(U75=28,'A.0_Tablas salariales SC'!$P$154,0)))))))))))</f>
        <v>543.53100000000006</v>
      </c>
      <c r="AC75" s="175">
        <f>IF(V75=2,'A.0_Tablas salariales SC'!$P$173,(IF(V75=6,'A.0_Tablas salariales SC'!$P$174,IF(V75=10,'A.0_Tablas salariales SC'!$P$175,IF(V75=14,'A.0_Tablas salariales SC'!$P$176,IF(V75=18,'A.0_Tablas salariales SC'!$P$177,IF(V75=20,'A.0_Tablas salariales SC'!$P$178,IF(V75=22,'A.0_Tablas salariales SC'!$P$179,IF(V75=24,'A.0_Tablas salariales SC'!$P$180,IF(V75=26,'A.0_Tablas salariales SC'!$P$181,IF(V75=28,'A.0_Tablas salariales SC'!$P$182,0)))))))))))</f>
        <v>559.83693000000005</v>
      </c>
    </row>
    <row r="76" spans="1:29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2">
        <f t="shared" si="58"/>
        <v>1900</v>
      </c>
      <c r="G76" s="173">
        <f t="shared" si="56"/>
        <v>2026</v>
      </c>
      <c r="H76" s="173">
        <f t="shared" si="56"/>
        <v>2032</v>
      </c>
      <c r="I76" s="173">
        <f t="shared" si="59"/>
        <v>126</v>
      </c>
      <c r="J76" s="173">
        <f t="shared" si="60"/>
        <v>127</v>
      </c>
      <c r="K76" s="173">
        <f t="shared" si="61"/>
        <v>128</v>
      </c>
      <c r="L76" s="173">
        <f t="shared" si="62"/>
        <v>129</v>
      </c>
      <c r="M76" s="173">
        <f t="shared" si="63"/>
        <v>130</v>
      </c>
      <c r="N76" s="173">
        <f t="shared" si="64"/>
        <v>131</v>
      </c>
      <c r="O76" s="173">
        <f t="shared" si="65"/>
        <v>132</v>
      </c>
      <c r="P76" s="173">
        <f t="shared" si="66"/>
        <v>28</v>
      </c>
      <c r="Q76" s="173">
        <f t="shared" si="67"/>
        <v>28</v>
      </c>
      <c r="R76" s="173">
        <f t="shared" si="68"/>
        <v>28</v>
      </c>
      <c r="S76" s="173">
        <f t="shared" si="69"/>
        <v>28</v>
      </c>
      <c r="T76" s="173">
        <f t="shared" si="70"/>
        <v>28</v>
      </c>
      <c r="U76" s="173">
        <f t="shared" si="71"/>
        <v>28</v>
      </c>
      <c r="V76" s="173">
        <f t="shared" si="72"/>
        <v>28</v>
      </c>
      <c r="W76" s="175">
        <f>IF(P76=2,'A.0_Tablas salariales SC'!$P$9,(IF(P76=6,'A.0_Tablas salariales SC'!$P$10,IF(P76=10,'A.0_Tablas salariales SC'!$P$11,IF(P76=14,'A.0_Tablas salariales SC'!$P$12,IF(P76=18,'A.0_Tablas salariales SC'!$P$13,IF(P76=20,'A.0_Tablas salariales SC'!$P$14,IF(P76=22,'A.0_Tablas salariales SC'!$P$15,IF(P76=24,'A.0_Tablas salariales SC'!$P$16,IF(P76=26,'A.0_Tablas salariales SC'!$P$17,IF(P76=28,'A.0_Tablas salariales SC'!$P$18,0)))))))))))</f>
        <v>446.8</v>
      </c>
      <c r="X76" s="175">
        <f>IF(Q76=2,'A.0_Tablas salariales SC'!$P$36,(IF(Q76=6,'A.0_Tablas salariales SC'!$P$37,IF(Q76=10,'A.0_Tablas salariales SC'!$P$38,IF(Q76=14,'A.0_Tablas salariales SC'!$P$39,IF(Q76=18,'A.0_Tablas salariales SC'!$P$40,IF(Q76=20,'A.0_Tablas salariales SC'!$P$41,IF(Q76=22,'A.0_Tablas salariales SC'!$P$42,IF(Q76=24,'A.0_Tablas salariales SC'!$P$43,IF(Q76=26,'A.0_Tablas salariales SC'!$P$44,IF(Q76=28,'A.0_Tablas salariales SC'!$P$45,0)))))))))))</f>
        <v>462.44</v>
      </c>
      <c r="Y76" s="175">
        <f>IF(R76=2,'A.0_Tablas salariales SC'!$P$63,(IF(R76=6,'A.0_Tablas salariales SC'!$P$64,IF(R76=10,'A.0_Tablas salariales SC'!$P$65,IF(R76=14,'A.0_Tablas salariales SC'!$P$66,IF(R76=18,'A.0_Tablas salariales SC'!$P$67,IF(R76=20,'A.0_Tablas salariales SC'!$P$68,IF(R76=22,'A.0_Tablas salariales SC'!$P$69,IF(R76=24,'A.0_Tablas salariales SC'!$P$70,IF(R76=26,'A.0_Tablas salariales SC'!$P$71,IF(R76=28,'A.0_Tablas salariales SC'!$P$72,0)))))))))))</f>
        <v>480.93</v>
      </c>
      <c r="Z76" s="175">
        <f>IF(S76=2,'A.0_Tablas salariales SC'!$P$90,(IF(S76=6,'A.0_Tablas salariales SC'!$P$91,IF(S76=10,'A.0_Tablas salariales SC'!$P$92,IF(S76=14,'A.0_Tablas salariales SC'!$P$93,IF(S76=18,'A.0_Tablas salariales SC'!$P$94,IF(S76=20,'A.0_Tablas salariales SC'!$P$95,IF(S76=22,'A.0_Tablas salariales SC'!$P$96,IF(S76=24,'A.0_Tablas salariales SC'!$P$97,IF(S76=26,'A.0_Tablas salariales SC'!$P$98,IF(S76=28,'A.0_Tablas salariales SC'!$P$99,0)))))))))))</f>
        <v>502.58</v>
      </c>
      <c r="AA76" s="175">
        <f>IF(T76=2,'A.0_Tablas salariales SC'!$P$117,(IF(T76=6,'A.0_Tablas salariales SC'!$P$118,IF(T76=10,'A.0_Tablas salariales SC'!$P$119,IF(T76=14,'A.0_Tablas salariales SC'!$P$120,IF(T76=18,'A.0_Tablas salariales SC'!$P$121,IF(T76=20,'A.0_Tablas salariales SC'!$P$122,IF(T76=22,'A.0_Tablas salariales SC'!$P$123,IF(T76=24,'A.0_Tablas salariales SC'!$P$124,IF(T76=26,'A.0_Tablas salariales SC'!$P$125,IF(T76=28,'A.0_Tablas salariales SC'!$P$126,0)))))))))))</f>
        <v>527.70000000000005</v>
      </c>
      <c r="AB76" s="175">
        <f>IF(U76=2,'A.0_Tablas salariales SC'!$P$145,(IF(U76=6,'A.0_Tablas salariales SC'!$P$146,IF(U76=10,'A.0_Tablas salariales SC'!$P$147,IF(U76=14,'A.0_Tablas salariales SC'!$P$148,IF(U76=18,'A.0_Tablas salariales SC'!$P$149,IF(U76=20,'A.0_Tablas salariales SC'!$P$150,IF(U76=22,'A.0_Tablas salariales SC'!$P$151,IF(U76=24,'A.0_Tablas salariales SC'!$P$152,IF(U76=26,'A.0_Tablas salariales SC'!$P$153,IF(U76=28,'A.0_Tablas salariales SC'!$P$154,0)))))))))))</f>
        <v>543.53100000000006</v>
      </c>
      <c r="AC76" s="175">
        <f>IF(V76=2,'A.0_Tablas salariales SC'!$P$173,(IF(V76=6,'A.0_Tablas salariales SC'!$P$174,IF(V76=10,'A.0_Tablas salariales SC'!$P$175,IF(V76=14,'A.0_Tablas salariales SC'!$P$176,IF(V76=18,'A.0_Tablas salariales SC'!$P$177,IF(V76=20,'A.0_Tablas salariales SC'!$P$178,IF(V76=22,'A.0_Tablas salariales SC'!$P$179,IF(V76=24,'A.0_Tablas salariales SC'!$P$180,IF(V76=26,'A.0_Tablas salariales SC'!$P$181,IF(V76=28,'A.0_Tablas salariales SC'!$P$182,0)))))))))))</f>
        <v>559.83693000000005</v>
      </c>
    </row>
    <row r="77" spans="1:29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2">
        <f t="shared" si="58"/>
        <v>1900</v>
      </c>
      <c r="G77" s="173">
        <f t="shared" si="56"/>
        <v>2026</v>
      </c>
      <c r="H77" s="173">
        <f t="shared" si="56"/>
        <v>2032</v>
      </c>
      <c r="I77" s="173">
        <f t="shared" si="59"/>
        <v>126</v>
      </c>
      <c r="J77" s="173">
        <f t="shared" si="60"/>
        <v>127</v>
      </c>
      <c r="K77" s="173">
        <f t="shared" si="61"/>
        <v>128</v>
      </c>
      <c r="L77" s="173">
        <f t="shared" si="62"/>
        <v>129</v>
      </c>
      <c r="M77" s="173">
        <f t="shared" si="63"/>
        <v>130</v>
      </c>
      <c r="N77" s="173">
        <f t="shared" si="64"/>
        <v>131</v>
      </c>
      <c r="O77" s="173">
        <f t="shared" si="65"/>
        <v>132</v>
      </c>
      <c r="P77" s="173">
        <f t="shared" si="66"/>
        <v>28</v>
      </c>
      <c r="Q77" s="173">
        <f t="shared" si="67"/>
        <v>28</v>
      </c>
      <c r="R77" s="173">
        <f t="shared" si="68"/>
        <v>28</v>
      </c>
      <c r="S77" s="173">
        <f t="shared" si="69"/>
        <v>28</v>
      </c>
      <c r="T77" s="173">
        <f t="shared" si="70"/>
        <v>28</v>
      </c>
      <c r="U77" s="173">
        <f t="shared" si="71"/>
        <v>28</v>
      </c>
      <c r="V77" s="173">
        <f t="shared" si="72"/>
        <v>28</v>
      </c>
      <c r="W77" s="175">
        <f>IF(P77=2,'A.0_Tablas salariales SC'!$P$9,(IF(P77=6,'A.0_Tablas salariales SC'!$P$10,IF(P77=10,'A.0_Tablas salariales SC'!$P$11,IF(P77=14,'A.0_Tablas salariales SC'!$P$12,IF(P77=18,'A.0_Tablas salariales SC'!$P$13,IF(P77=20,'A.0_Tablas salariales SC'!$P$14,IF(P77=22,'A.0_Tablas salariales SC'!$P$15,IF(P77=24,'A.0_Tablas salariales SC'!$P$16,IF(P77=26,'A.0_Tablas salariales SC'!$P$17,IF(P77=28,'A.0_Tablas salariales SC'!$P$18,0)))))))))))</f>
        <v>446.8</v>
      </c>
      <c r="X77" s="175">
        <f>IF(Q77=2,'A.0_Tablas salariales SC'!$P$36,(IF(Q77=6,'A.0_Tablas salariales SC'!$P$37,IF(Q77=10,'A.0_Tablas salariales SC'!$P$38,IF(Q77=14,'A.0_Tablas salariales SC'!$P$39,IF(Q77=18,'A.0_Tablas salariales SC'!$P$40,IF(Q77=20,'A.0_Tablas salariales SC'!$P$41,IF(Q77=22,'A.0_Tablas salariales SC'!$P$42,IF(Q77=24,'A.0_Tablas salariales SC'!$P$43,IF(Q77=26,'A.0_Tablas salariales SC'!$P$44,IF(Q77=28,'A.0_Tablas salariales SC'!$P$45,0)))))))))))</f>
        <v>462.44</v>
      </c>
      <c r="Y77" s="175">
        <f>IF(R77=2,'A.0_Tablas salariales SC'!$P$63,(IF(R77=6,'A.0_Tablas salariales SC'!$P$64,IF(R77=10,'A.0_Tablas salariales SC'!$P$65,IF(R77=14,'A.0_Tablas salariales SC'!$P$66,IF(R77=18,'A.0_Tablas salariales SC'!$P$67,IF(R77=20,'A.0_Tablas salariales SC'!$P$68,IF(R77=22,'A.0_Tablas salariales SC'!$P$69,IF(R77=24,'A.0_Tablas salariales SC'!$P$70,IF(R77=26,'A.0_Tablas salariales SC'!$P$71,IF(R77=28,'A.0_Tablas salariales SC'!$P$72,0)))))))))))</f>
        <v>480.93</v>
      </c>
      <c r="Z77" s="175">
        <f>IF(S77=2,'A.0_Tablas salariales SC'!$P$90,(IF(S77=6,'A.0_Tablas salariales SC'!$P$91,IF(S77=10,'A.0_Tablas salariales SC'!$P$92,IF(S77=14,'A.0_Tablas salariales SC'!$P$93,IF(S77=18,'A.0_Tablas salariales SC'!$P$94,IF(S77=20,'A.0_Tablas salariales SC'!$P$95,IF(S77=22,'A.0_Tablas salariales SC'!$P$96,IF(S77=24,'A.0_Tablas salariales SC'!$P$97,IF(S77=26,'A.0_Tablas salariales SC'!$P$98,IF(S77=28,'A.0_Tablas salariales SC'!$P$99,0)))))))))))</f>
        <v>502.58</v>
      </c>
      <c r="AA77" s="175">
        <f>IF(T77=2,'A.0_Tablas salariales SC'!$P$117,(IF(T77=6,'A.0_Tablas salariales SC'!$P$118,IF(T77=10,'A.0_Tablas salariales SC'!$P$119,IF(T77=14,'A.0_Tablas salariales SC'!$P$120,IF(T77=18,'A.0_Tablas salariales SC'!$P$121,IF(T77=20,'A.0_Tablas salariales SC'!$P$122,IF(T77=22,'A.0_Tablas salariales SC'!$P$123,IF(T77=24,'A.0_Tablas salariales SC'!$P$124,IF(T77=26,'A.0_Tablas salariales SC'!$P$125,IF(T77=28,'A.0_Tablas salariales SC'!$P$126,0)))))))))))</f>
        <v>527.70000000000005</v>
      </c>
      <c r="AB77" s="175">
        <f>IF(U77=2,'A.0_Tablas salariales SC'!$P$145,(IF(U77=6,'A.0_Tablas salariales SC'!$P$146,IF(U77=10,'A.0_Tablas salariales SC'!$P$147,IF(U77=14,'A.0_Tablas salariales SC'!$P$148,IF(U77=18,'A.0_Tablas salariales SC'!$P$149,IF(U77=20,'A.0_Tablas salariales SC'!$P$150,IF(U77=22,'A.0_Tablas salariales SC'!$P$151,IF(U77=24,'A.0_Tablas salariales SC'!$P$152,IF(U77=26,'A.0_Tablas salariales SC'!$P$153,IF(U77=28,'A.0_Tablas salariales SC'!$P$154,0)))))))))))</f>
        <v>543.53100000000006</v>
      </c>
      <c r="AC77" s="175">
        <f>IF(V77=2,'A.0_Tablas salariales SC'!$P$173,(IF(V77=6,'A.0_Tablas salariales SC'!$P$174,IF(V77=10,'A.0_Tablas salariales SC'!$P$175,IF(V77=14,'A.0_Tablas salariales SC'!$P$176,IF(V77=18,'A.0_Tablas salariales SC'!$P$177,IF(V77=20,'A.0_Tablas salariales SC'!$P$178,IF(V77=22,'A.0_Tablas salariales SC'!$P$179,IF(V77=24,'A.0_Tablas salariales SC'!$P$180,IF(V77=26,'A.0_Tablas salariales SC'!$P$181,IF(V77=28,'A.0_Tablas salariales SC'!$P$182,0)))))))))))</f>
        <v>559.83693000000005</v>
      </c>
    </row>
    <row r="78" spans="1:29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2">
        <f t="shared" si="58"/>
        <v>1900</v>
      </c>
      <c r="G78" s="173">
        <f t="shared" si="56"/>
        <v>2026</v>
      </c>
      <c r="H78" s="173">
        <f t="shared" si="56"/>
        <v>2032</v>
      </c>
      <c r="I78" s="173">
        <f t="shared" si="59"/>
        <v>126</v>
      </c>
      <c r="J78" s="173">
        <f t="shared" si="60"/>
        <v>127</v>
      </c>
      <c r="K78" s="173">
        <f t="shared" si="61"/>
        <v>128</v>
      </c>
      <c r="L78" s="173">
        <f t="shared" si="62"/>
        <v>129</v>
      </c>
      <c r="M78" s="173">
        <f t="shared" si="63"/>
        <v>130</v>
      </c>
      <c r="N78" s="173">
        <f t="shared" si="64"/>
        <v>131</v>
      </c>
      <c r="O78" s="173">
        <f t="shared" si="65"/>
        <v>132</v>
      </c>
      <c r="P78" s="173">
        <f t="shared" si="66"/>
        <v>28</v>
      </c>
      <c r="Q78" s="173">
        <f t="shared" si="67"/>
        <v>28</v>
      </c>
      <c r="R78" s="173">
        <f t="shared" si="68"/>
        <v>28</v>
      </c>
      <c r="S78" s="173">
        <f t="shared" si="69"/>
        <v>28</v>
      </c>
      <c r="T78" s="173">
        <f t="shared" si="70"/>
        <v>28</v>
      </c>
      <c r="U78" s="173">
        <f t="shared" si="71"/>
        <v>28</v>
      </c>
      <c r="V78" s="173">
        <f t="shared" si="72"/>
        <v>28</v>
      </c>
      <c r="W78" s="175">
        <f>IF(P78=2,'A.0_Tablas salariales SC'!$P$9,(IF(P78=6,'A.0_Tablas salariales SC'!$P$10,IF(P78=10,'A.0_Tablas salariales SC'!$P$11,IF(P78=14,'A.0_Tablas salariales SC'!$P$12,IF(P78=18,'A.0_Tablas salariales SC'!$P$13,IF(P78=20,'A.0_Tablas salariales SC'!$P$14,IF(P78=22,'A.0_Tablas salariales SC'!$P$15,IF(P78=24,'A.0_Tablas salariales SC'!$P$16,IF(P78=26,'A.0_Tablas salariales SC'!$P$17,IF(P78=28,'A.0_Tablas salariales SC'!$P$18,0)))))))))))</f>
        <v>446.8</v>
      </c>
      <c r="X78" s="175">
        <f>IF(Q78=2,'A.0_Tablas salariales SC'!$P$36,(IF(Q78=6,'A.0_Tablas salariales SC'!$P$37,IF(Q78=10,'A.0_Tablas salariales SC'!$P$38,IF(Q78=14,'A.0_Tablas salariales SC'!$P$39,IF(Q78=18,'A.0_Tablas salariales SC'!$P$40,IF(Q78=20,'A.0_Tablas salariales SC'!$P$41,IF(Q78=22,'A.0_Tablas salariales SC'!$P$42,IF(Q78=24,'A.0_Tablas salariales SC'!$P$43,IF(Q78=26,'A.0_Tablas salariales SC'!$P$44,IF(Q78=28,'A.0_Tablas salariales SC'!$P$45,0)))))))))))</f>
        <v>462.44</v>
      </c>
      <c r="Y78" s="175">
        <f>IF(R78=2,'A.0_Tablas salariales SC'!$P$63,(IF(R78=6,'A.0_Tablas salariales SC'!$P$64,IF(R78=10,'A.0_Tablas salariales SC'!$P$65,IF(R78=14,'A.0_Tablas salariales SC'!$P$66,IF(R78=18,'A.0_Tablas salariales SC'!$P$67,IF(R78=20,'A.0_Tablas salariales SC'!$P$68,IF(R78=22,'A.0_Tablas salariales SC'!$P$69,IF(R78=24,'A.0_Tablas salariales SC'!$P$70,IF(R78=26,'A.0_Tablas salariales SC'!$P$71,IF(R78=28,'A.0_Tablas salariales SC'!$P$72,0)))))))))))</f>
        <v>480.93</v>
      </c>
      <c r="Z78" s="175">
        <f>IF(S78=2,'A.0_Tablas salariales SC'!$P$90,(IF(S78=6,'A.0_Tablas salariales SC'!$P$91,IF(S78=10,'A.0_Tablas salariales SC'!$P$92,IF(S78=14,'A.0_Tablas salariales SC'!$P$93,IF(S78=18,'A.0_Tablas salariales SC'!$P$94,IF(S78=20,'A.0_Tablas salariales SC'!$P$95,IF(S78=22,'A.0_Tablas salariales SC'!$P$96,IF(S78=24,'A.0_Tablas salariales SC'!$P$97,IF(S78=26,'A.0_Tablas salariales SC'!$P$98,IF(S78=28,'A.0_Tablas salariales SC'!$P$99,0)))))))))))</f>
        <v>502.58</v>
      </c>
      <c r="AA78" s="175">
        <f>IF(T78=2,'A.0_Tablas salariales SC'!$P$117,(IF(T78=6,'A.0_Tablas salariales SC'!$P$118,IF(T78=10,'A.0_Tablas salariales SC'!$P$119,IF(T78=14,'A.0_Tablas salariales SC'!$P$120,IF(T78=18,'A.0_Tablas salariales SC'!$P$121,IF(T78=20,'A.0_Tablas salariales SC'!$P$122,IF(T78=22,'A.0_Tablas salariales SC'!$P$123,IF(T78=24,'A.0_Tablas salariales SC'!$P$124,IF(T78=26,'A.0_Tablas salariales SC'!$P$125,IF(T78=28,'A.0_Tablas salariales SC'!$P$126,0)))))))))))</f>
        <v>527.70000000000005</v>
      </c>
      <c r="AB78" s="175">
        <f>IF(U78=2,'A.0_Tablas salariales SC'!$P$145,(IF(U78=6,'A.0_Tablas salariales SC'!$P$146,IF(U78=10,'A.0_Tablas salariales SC'!$P$147,IF(U78=14,'A.0_Tablas salariales SC'!$P$148,IF(U78=18,'A.0_Tablas salariales SC'!$P$149,IF(U78=20,'A.0_Tablas salariales SC'!$P$150,IF(U78=22,'A.0_Tablas salariales SC'!$P$151,IF(U78=24,'A.0_Tablas salariales SC'!$P$152,IF(U78=26,'A.0_Tablas salariales SC'!$P$153,IF(U78=28,'A.0_Tablas salariales SC'!$P$154,0)))))))))))</f>
        <v>543.53100000000006</v>
      </c>
      <c r="AC78" s="175">
        <f>IF(V78=2,'A.0_Tablas salariales SC'!$P$173,(IF(V78=6,'A.0_Tablas salariales SC'!$P$174,IF(V78=10,'A.0_Tablas salariales SC'!$P$175,IF(V78=14,'A.0_Tablas salariales SC'!$P$176,IF(V78=18,'A.0_Tablas salariales SC'!$P$177,IF(V78=20,'A.0_Tablas salariales SC'!$P$178,IF(V78=22,'A.0_Tablas salariales SC'!$P$179,IF(V78=24,'A.0_Tablas salariales SC'!$P$180,IF(V78=26,'A.0_Tablas salariales SC'!$P$181,IF(V78=28,'A.0_Tablas salariales SC'!$P$182,0)))))))))))</f>
        <v>559.83693000000005</v>
      </c>
    </row>
    <row r="79" spans="1:29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2">
        <f t="shared" si="58"/>
        <v>1900</v>
      </c>
      <c r="G79" s="173">
        <f t="shared" si="56"/>
        <v>2026</v>
      </c>
      <c r="H79" s="173">
        <f t="shared" si="56"/>
        <v>2032</v>
      </c>
      <c r="I79" s="173">
        <f t="shared" si="59"/>
        <v>126</v>
      </c>
      <c r="J79" s="173">
        <f t="shared" si="60"/>
        <v>127</v>
      </c>
      <c r="K79" s="173">
        <f t="shared" si="61"/>
        <v>128</v>
      </c>
      <c r="L79" s="173">
        <f t="shared" si="62"/>
        <v>129</v>
      </c>
      <c r="M79" s="173">
        <f t="shared" si="63"/>
        <v>130</v>
      </c>
      <c r="N79" s="173">
        <f t="shared" si="64"/>
        <v>131</v>
      </c>
      <c r="O79" s="173">
        <f t="shared" si="65"/>
        <v>132</v>
      </c>
      <c r="P79" s="173">
        <f t="shared" si="66"/>
        <v>28</v>
      </c>
      <c r="Q79" s="173">
        <f t="shared" si="67"/>
        <v>28</v>
      </c>
      <c r="R79" s="173">
        <f t="shared" si="68"/>
        <v>28</v>
      </c>
      <c r="S79" s="173">
        <f t="shared" si="69"/>
        <v>28</v>
      </c>
      <c r="T79" s="173">
        <f t="shared" si="70"/>
        <v>28</v>
      </c>
      <c r="U79" s="173">
        <f t="shared" si="71"/>
        <v>28</v>
      </c>
      <c r="V79" s="173">
        <f t="shared" si="72"/>
        <v>28</v>
      </c>
      <c r="W79" s="175">
        <f>IF(P79=2,'A.0_Tablas salariales SC'!$P$9,(IF(P79=6,'A.0_Tablas salariales SC'!$P$10,IF(P79=10,'A.0_Tablas salariales SC'!$P$11,IF(P79=14,'A.0_Tablas salariales SC'!$P$12,IF(P79=18,'A.0_Tablas salariales SC'!$P$13,IF(P79=20,'A.0_Tablas salariales SC'!$P$14,IF(P79=22,'A.0_Tablas salariales SC'!$P$15,IF(P79=24,'A.0_Tablas salariales SC'!$P$16,IF(P79=26,'A.0_Tablas salariales SC'!$P$17,IF(P79=28,'A.0_Tablas salariales SC'!$P$18,0)))))))))))</f>
        <v>446.8</v>
      </c>
      <c r="X79" s="175">
        <f>IF(Q79=2,'A.0_Tablas salariales SC'!$P$36,(IF(Q79=6,'A.0_Tablas salariales SC'!$P$37,IF(Q79=10,'A.0_Tablas salariales SC'!$P$38,IF(Q79=14,'A.0_Tablas salariales SC'!$P$39,IF(Q79=18,'A.0_Tablas salariales SC'!$P$40,IF(Q79=20,'A.0_Tablas salariales SC'!$P$41,IF(Q79=22,'A.0_Tablas salariales SC'!$P$42,IF(Q79=24,'A.0_Tablas salariales SC'!$P$43,IF(Q79=26,'A.0_Tablas salariales SC'!$P$44,IF(Q79=28,'A.0_Tablas salariales SC'!$P$45,0)))))))))))</f>
        <v>462.44</v>
      </c>
      <c r="Y79" s="175">
        <f>IF(R79=2,'A.0_Tablas salariales SC'!$P$63,(IF(R79=6,'A.0_Tablas salariales SC'!$P$64,IF(R79=10,'A.0_Tablas salariales SC'!$P$65,IF(R79=14,'A.0_Tablas salariales SC'!$P$66,IF(R79=18,'A.0_Tablas salariales SC'!$P$67,IF(R79=20,'A.0_Tablas salariales SC'!$P$68,IF(R79=22,'A.0_Tablas salariales SC'!$P$69,IF(R79=24,'A.0_Tablas salariales SC'!$P$70,IF(R79=26,'A.0_Tablas salariales SC'!$P$71,IF(R79=28,'A.0_Tablas salariales SC'!$P$72,0)))))))))))</f>
        <v>480.93</v>
      </c>
      <c r="Z79" s="175">
        <f>IF(S79=2,'A.0_Tablas salariales SC'!$P$90,(IF(S79=6,'A.0_Tablas salariales SC'!$P$91,IF(S79=10,'A.0_Tablas salariales SC'!$P$92,IF(S79=14,'A.0_Tablas salariales SC'!$P$93,IF(S79=18,'A.0_Tablas salariales SC'!$P$94,IF(S79=20,'A.0_Tablas salariales SC'!$P$95,IF(S79=22,'A.0_Tablas salariales SC'!$P$96,IF(S79=24,'A.0_Tablas salariales SC'!$P$97,IF(S79=26,'A.0_Tablas salariales SC'!$P$98,IF(S79=28,'A.0_Tablas salariales SC'!$P$99,0)))))))))))</f>
        <v>502.58</v>
      </c>
      <c r="AA79" s="175">
        <f>IF(T79=2,'A.0_Tablas salariales SC'!$P$117,(IF(T79=6,'A.0_Tablas salariales SC'!$P$118,IF(T79=10,'A.0_Tablas salariales SC'!$P$119,IF(T79=14,'A.0_Tablas salariales SC'!$P$120,IF(T79=18,'A.0_Tablas salariales SC'!$P$121,IF(T79=20,'A.0_Tablas salariales SC'!$P$122,IF(T79=22,'A.0_Tablas salariales SC'!$P$123,IF(T79=24,'A.0_Tablas salariales SC'!$P$124,IF(T79=26,'A.0_Tablas salariales SC'!$P$125,IF(T79=28,'A.0_Tablas salariales SC'!$P$126,0)))))))))))</f>
        <v>527.70000000000005</v>
      </c>
      <c r="AB79" s="175">
        <f>IF(U79=2,'A.0_Tablas salariales SC'!$P$145,(IF(U79=6,'A.0_Tablas salariales SC'!$P$146,IF(U79=10,'A.0_Tablas salariales SC'!$P$147,IF(U79=14,'A.0_Tablas salariales SC'!$P$148,IF(U79=18,'A.0_Tablas salariales SC'!$P$149,IF(U79=20,'A.0_Tablas salariales SC'!$P$150,IF(U79=22,'A.0_Tablas salariales SC'!$P$151,IF(U79=24,'A.0_Tablas salariales SC'!$P$152,IF(U79=26,'A.0_Tablas salariales SC'!$P$153,IF(U79=28,'A.0_Tablas salariales SC'!$P$154,0)))))))))))</f>
        <v>543.53100000000006</v>
      </c>
      <c r="AC79" s="175">
        <f>IF(V79=2,'A.0_Tablas salariales SC'!$P$173,(IF(V79=6,'A.0_Tablas salariales SC'!$P$174,IF(V79=10,'A.0_Tablas salariales SC'!$P$175,IF(V79=14,'A.0_Tablas salariales SC'!$P$176,IF(V79=18,'A.0_Tablas salariales SC'!$P$177,IF(V79=20,'A.0_Tablas salariales SC'!$P$178,IF(V79=22,'A.0_Tablas salariales SC'!$P$179,IF(V79=24,'A.0_Tablas salariales SC'!$P$180,IF(V79=26,'A.0_Tablas salariales SC'!$P$181,IF(V79=28,'A.0_Tablas salariales SC'!$P$182,0)))))))))))</f>
        <v>559.83693000000005</v>
      </c>
    </row>
    <row r="80" spans="1:29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2">
        <f t="shared" si="58"/>
        <v>1900</v>
      </c>
      <c r="G80" s="173">
        <f t="shared" si="56"/>
        <v>2026</v>
      </c>
      <c r="H80" s="173">
        <f t="shared" si="56"/>
        <v>2032</v>
      </c>
      <c r="I80" s="173">
        <f t="shared" si="59"/>
        <v>126</v>
      </c>
      <c r="J80" s="173">
        <f t="shared" si="60"/>
        <v>127</v>
      </c>
      <c r="K80" s="173">
        <f t="shared" si="61"/>
        <v>128</v>
      </c>
      <c r="L80" s="173">
        <f t="shared" si="62"/>
        <v>129</v>
      </c>
      <c r="M80" s="173">
        <f t="shared" si="63"/>
        <v>130</v>
      </c>
      <c r="N80" s="173">
        <f t="shared" si="64"/>
        <v>131</v>
      </c>
      <c r="O80" s="173">
        <f t="shared" si="65"/>
        <v>132</v>
      </c>
      <c r="P80" s="173">
        <f t="shared" si="66"/>
        <v>28</v>
      </c>
      <c r="Q80" s="173">
        <f t="shared" si="67"/>
        <v>28</v>
      </c>
      <c r="R80" s="173">
        <f t="shared" si="68"/>
        <v>28</v>
      </c>
      <c r="S80" s="173">
        <f t="shared" si="69"/>
        <v>28</v>
      </c>
      <c r="T80" s="173">
        <f t="shared" si="70"/>
        <v>28</v>
      </c>
      <c r="U80" s="173">
        <f t="shared" si="71"/>
        <v>28</v>
      </c>
      <c r="V80" s="173">
        <f t="shared" si="72"/>
        <v>28</v>
      </c>
      <c r="W80" s="175">
        <f>IF(P80=2,'A.0_Tablas salariales SC'!$P$9,(IF(P80=6,'A.0_Tablas salariales SC'!$P$10,IF(P80=10,'A.0_Tablas salariales SC'!$P$11,IF(P80=14,'A.0_Tablas salariales SC'!$P$12,IF(P80=18,'A.0_Tablas salariales SC'!$P$13,IF(P80=20,'A.0_Tablas salariales SC'!$P$14,IF(P80=22,'A.0_Tablas salariales SC'!$P$15,IF(P80=24,'A.0_Tablas salariales SC'!$P$16,IF(P80=26,'A.0_Tablas salariales SC'!$P$17,IF(P80=28,'A.0_Tablas salariales SC'!$P$18,0)))))))))))</f>
        <v>446.8</v>
      </c>
      <c r="X80" s="175">
        <f>IF(Q80=2,'A.0_Tablas salariales SC'!$P$36,(IF(Q80=6,'A.0_Tablas salariales SC'!$P$37,IF(Q80=10,'A.0_Tablas salariales SC'!$P$38,IF(Q80=14,'A.0_Tablas salariales SC'!$P$39,IF(Q80=18,'A.0_Tablas salariales SC'!$P$40,IF(Q80=20,'A.0_Tablas salariales SC'!$P$41,IF(Q80=22,'A.0_Tablas salariales SC'!$P$42,IF(Q80=24,'A.0_Tablas salariales SC'!$P$43,IF(Q80=26,'A.0_Tablas salariales SC'!$P$44,IF(Q80=28,'A.0_Tablas salariales SC'!$P$45,0)))))))))))</f>
        <v>462.44</v>
      </c>
      <c r="Y80" s="175">
        <f>IF(R80=2,'A.0_Tablas salariales SC'!$P$63,(IF(R80=6,'A.0_Tablas salariales SC'!$P$64,IF(R80=10,'A.0_Tablas salariales SC'!$P$65,IF(R80=14,'A.0_Tablas salariales SC'!$P$66,IF(R80=18,'A.0_Tablas salariales SC'!$P$67,IF(R80=20,'A.0_Tablas salariales SC'!$P$68,IF(R80=22,'A.0_Tablas salariales SC'!$P$69,IF(R80=24,'A.0_Tablas salariales SC'!$P$70,IF(R80=26,'A.0_Tablas salariales SC'!$P$71,IF(R80=28,'A.0_Tablas salariales SC'!$P$72,0)))))))))))</f>
        <v>480.93</v>
      </c>
      <c r="Z80" s="175">
        <f>IF(S80=2,'A.0_Tablas salariales SC'!$P$90,(IF(S80=6,'A.0_Tablas salariales SC'!$P$91,IF(S80=10,'A.0_Tablas salariales SC'!$P$92,IF(S80=14,'A.0_Tablas salariales SC'!$P$93,IF(S80=18,'A.0_Tablas salariales SC'!$P$94,IF(S80=20,'A.0_Tablas salariales SC'!$P$95,IF(S80=22,'A.0_Tablas salariales SC'!$P$96,IF(S80=24,'A.0_Tablas salariales SC'!$P$97,IF(S80=26,'A.0_Tablas salariales SC'!$P$98,IF(S80=28,'A.0_Tablas salariales SC'!$P$99,0)))))))))))</f>
        <v>502.58</v>
      </c>
      <c r="AA80" s="175">
        <f>IF(T80=2,'A.0_Tablas salariales SC'!$P$117,(IF(T80=6,'A.0_Tablas salariales SC'!$P$118,IF(T80=10,'A.0_Tablas salariales SC'!$P$119,IF(T80=14,'A.0_Tablas salariales SC'!$P$120,IF(T80=18,'A.0_Tablas salariales SC'!$P$121,IF(T80=20,'A.0_Tablas salariales SC'!$P$122,IF(T80=22,'A.0_Tablas salariales SC'!$P$123,IF(T80=24,'A.0_Tablas salariales SC'!$P$124,IF(T80=26,'A.0_Tablas salariales SC'!$P$125,IF(T80=28,'A.0_Tablas salariales SC'!$P$126,0)))))))))))</f>
        <v>527.70000000000005</v>
      </c>
      <c r="AB80" s="175">
        <f>IF(U80=2,'A.0_Tablas salariales SC'!$P$145,(IF(U80=6,'A.0_Tablas salariales SC'!$P$146,IF(U80=10,'A.0_Tablas salariales SC'!$P$147,IF(U80=14,'A.0_Tablas salariales SC'!$P$148,IF(U80=18,'A.0_Tablas salariales SC'!$P$149,IF(U80=20,'A.0_Tablas salariales SC'!$P$150,IF(U80=22,'A.0_Tablas salariales SC'!$P$151,IF(U80=24,'A.0_Tablas salariales SC'!$P$152,IF(U80=26,'A.0_Tablas salariales SC'!$P$153,IF(U80=28,'A.0_Tablas salariales SC'!$P$154,0)))))))))))</f>
        <v>543.53100000000006</v>
      </c>
      <c r="AC80" s="175">
        <f>IF(V80=2,'A.0_Tablas salariales SC'!$P$173,(IF(V80=6,'A.0_Tablas salariales SC'!$P$174,IF(V80=10,'A.0_Tablas salariales SC'!$P$175,IF(V80=14,'A.0_Tablas salariales SC'!$P$176,IF(V80=18,'A.0_Tablas salariales SC'!$P$177,IF(V80=20,'A.0_Tablas salariales SC'!$P$178,IF(V80=22,'A.0_Tablas salariales SC'!$P$179,IF(V80=24,'A.0_Tablas salariales SC'!$P$180,IF(V80=26,'A.0_Tablas salariales SC'!$P$181,IF(V80=28,'A.0_Tablas salariales SC'!$P$182,0)))))))))))</f>
        <v>559.83693000000005</v>
      </c>
    </row>
    <row r="81" spans="1:29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2">
        <f t="shared" si="58"/>
        <v>1900</v>
      </c>
      <c r="G81" s="173">
        <f t="shared" si="56"/>
        <v>2026</v>
      </c>
      <c r="H81" s="173">
        <f t="shared" si="56"/>
        <v>2032</v>
      </c>
      <c r="I81" s="173">
        <f t="shared" si="59"/>
        <v>126</v>
      </c>
      <c r="J81" s="173">
        <f t="shared" si="60"/>
        <v>127</v>
      </c>
      <c r="K81" s="173">
        <f t="shared" si="61"/>
        <v>128</v>
      </c>
      <c r="L81" s="173">
        <f t="shared" si="62"/>
        <v>129</v>
      </c>
      <c r="M81" s="173">
        <f t="shared" si="63"/>
        <v>130</v>
      </c>
      <c r="N81" s="173">
        <f t="shared" si="64"/>
        <v>131</v>
      </c>
      <c r="O81" s="173">
        <f t="shared" si="65"/>
        <v>132</v>
      </c>
      <c r="P81" s="173">
        <f t="shared" si="66"/>
        <v>28</v>
      </c>
      <c r="Q81" s="173">
        <f t="shared" si="67"/>
        <v>28</v>
      </c>
      <c r="R81" s="173">
        <f t="shared" si="68"/>
        <v>28</v>
      </c>
      <c r="S81" s="173">
        <f t="shared" si="69"/>
        <v>28</v>
      </c>
      <c r="T81" s="173">
        <f t="shared" si="70"/>
        <v>28</v>
      </c>
      <c r="U81" s="173">
        <f t="shared" si="71"/>
        <v>28</v>
      </c>
      <c r="V81" s="173">
        <f t="shared" si="72"/>
        <v>28</v>
      </c>
      <c r="W81" s="175">
        <f>IF(P81=2,'A.0_Tablas salariales SC'!$P$9,(IF(P81=6,'A.0_Tablas salariales SC'!$P$10,IF(P81=10,'A.0_Tablas salariales SC'!$P$11,IF(P81=14,'A.0_Tablas salariales SC'!$P$12,IF(P81=18,'A.0_Tablas salariales SC'!$P$13,IF(P81=20,'A.0_Tablas salariales SC'!$P$14,IF(P81=22,'A.0_Tablas salariales SC'!$P$15,IF(P81=24,'A.0_Tablas salariales SC'!$P$16,IF(P81=26,'A.0_Tablas salariales SC'!$P$17,IF(P81=28,'A.0_Tablas salariales SC'!$P$18,0)))))))))))</f>
        <v>446.8</v>
      </c>
      <c r="X81" s="175">
        <f>IF(Q81=2,'A.0_Tablas salariales SC'!$P$36,(IF(Q81=6,'A.0_Tablas salariales SC'!$P$37,IF(Q81=10,'A.0_Tablas salariales SC'!$P$38,IF(Q81=14,'A.0_Tablas salariales SC'!$P$39,IF(Q81=18,'A.0_Tablas salariales SC'!$P$40,IF(Q81=20,'A.0_Tablas salariales SC'!$P$41,IF(Q81=22,'A.0_Tablas salariales SC'!$P$42,IF(Q81=24,'A.0_Tablas salariales SC'!$P$43,IF(Q81=26,'A.0_Tablas salariales SC'!$P$44,IF(Q81=28,'A.0_Tablas salariales SC'!$P$45,0)))))))))))</f>
        <v>462.44</v>
      </c>
      <c r="Y81" s="175">
        <f>IF(R81=2,'A.0_Tablas salariales SC'!$P$63,(IF(R81=6,'A.0_Tablas salariales SC'!$P$64,IF(R81=10,'A.0_Tablas salariales SC'!$P$65,IF(R81=14,'A.0_Tablas salariales SC'!$P$66,IF(R81=18,'A.0_Tablas salariales SC'!$P$67,IF(R81=20,'A.0_Tablas salariales SC'!$P$68,IF(R81=22,'A.0_Tablas salariales SC'!$P$69,IF(R81=24,'A.0_Tablas salariales SC'!$P$70,IF(R81=26,'A.0_Tablas salariales SC'!$P$71,IF(R81=28,'A.0_Tablas salariales SC'!$P$72,0)))))))))))</f>
        <v>480.93</v>
      </c>
      <c r="Z81" s="175">
        <f>IF(S81=2,'A.0_Tablas salariales SC'!$P$90,(IF(S81=6,'A.0_Tablas salariales SC'!$P$91,IF(S81=10,'A.0_Tablas salariales SC'!$P$92,IF(S81=14,'A.0_Tablas salariales SC'!$P$93,IF(S81=18,'A.0_Tablas salariales SC'!$P$94,IF(S81=20,'A.0_Tablas salariales SC'!$P$95,IF(S81=22,'A.0_Tablas salariales SC'!$P$96,IF(S81=24,'A.0_Tablas salariales SC'!$P$97,IF(S81=26,'A.0_Tablas salariales SC'!$P$98,IF(S81=28,'A.0_Tablas salariales SC'!$P$99,0)))))))))))</f>
        <v>502.58</v>
      </c>
      <c r="AA81" s="175">
        <f>IF(T81=2,'A.0_Tablas salariales SC'!$P$117,(IF(T81=6,'A.0_Tablas salariales SC'!$P$118,IF(T81=10,'A.0_Tablas salariales SC'!$P$119,IF(T81=14,'A.0_Tablas salariales SC'!$P$120,IF(T81=18,'A.0_Tablas salariales SC'!$P$121,IF(T81=20,'A.0_Tablas salariales SC'!$P$122,IF(T81=22,'A.0_Tablas salariales SC'!$P$123,IF(T81=24,'A.0_Tablas salariales SC'!$P$124,IF(T81=26,'A.0_Tablas salariales SC'!$P$125,IF(T81=28,'A.0_Tablas salariales SC'!$P$126,0)))))))))))</f>
        <v>527.70000000000005</v>
      </c>
      <c r="AB81" s="175">
        <f>IF(U81=2,'A.0_Tablas salariales SC'!$P$145,(IF(U81=6,'A.0_Tablas salariales SC'!$P$146,IF(U81=10,'A.0_Tablas salariales SC'!$P$147,IF(U81=14,'A.0_Tablas salariales SC'!$P$148,IF(U81=18,'A.0_Tablas salariales SC'!$P$149,IF(U81=20,'A.0_Tablas salariales SC'!$P$150,IF(U81=22,'A.0_Tablas salariales SC'!$P$151,IF(U81=24,'A.0_Tablas salariales SC'!$P$152,IF(U81=26,'A.0_Tablas salariales SC'!$P$153,IF(U81=28,'A.0_Tablas salariales SC'!$P$154,0)))))))))))</f>
        <v>543.53100000000006</v>
      </c>
      <c r="AC81" s="175">
        <f>IF(V81=2,'A.0_Tablas salariales SC'!$P$173,(IF(V81=6,'A.0_Tablas salariales SC'!$P$174,IF(V81=10,'A.0_Tablas salariales SC'!$P$175,IF(V81=14,'A.0_Tablas salariales SC'!$P$176,IF(V81=18,'A.0_Tablas salariales SC'!$P$177,IF(V81=20,'A.0_Tablas salariales SC'!$P$178,IF(V81=22,'A.0_Tablas salariales SC'!$P$179,IF(V81=24,'A.0_Tablas salariales SC'!$P$180,IF(V81=26,'A.0_Tablas salariales SC'!$P$181,IF(V81=28,'A.0_Tablas salariales SC'!$P$182,0)))))))))))</f>
        <v>559.83693000000005</v>
      </c>
    </row>
    <row r="82" spans="1:29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2">
        <f t="shared" si="58"/>
        <v>1900</v>
      </c>
      <c r="G82" s="173">
        <f t="shared" si="56"/>
        <v>2026</v>
      </c>
      <c r="H82" s="173">
        <f t="shared" si="56"/>
        <v>2032</v>
      </c>
      <c r="I82" s="173">
        <f t="shared" si="59"/>
        <v>126</v>
      </c>
      <c r="J82" s="173">
        <f t="shared" si="60"/>
        <v>127</v>
      </c>
      <c r="K82" s="173">
        <f t="shared" si="61"/>
        <v>128</v>
      </c>
      <c r="L82" s="173">
        <f t="shared" si="62"/>
        <v>129</v>
      </c>
      <c r="M82" s="173">
        <f t="shared" si="63"/>
        <v>130</v>
      </c>
      <c r="N82" s="173">
        <f t="shared" si="64"/>
        <v>131</v>
      </c>
      <c r="O82" s="173">
        <f t="shared" si="65"/>
        <v>132</v>
      </c>
      <c r="P82" s="173">
        <f t="shared" si="66"/>
        <v>28</v>
      </c>
      <c r="Q82" s="173">
        <f t="shared" si="67"/>
        <v>28</v>
      </c>
      <c r="R82" s="173">
        <f t="shared" si="68"/>
        <v>28</v>
      </c>
      <c r="S82" s="173">
        <f t="shared" si="69"/>
        <v>28</v>
      </c>
      <c r="T82" s="173">
        <f t="shared" si="70"/>
        <v>28</v>
      </c>
      <c r="U82" s="173">
        <f t="shared" si="71"/>
        <v>28</v>
      </c>
      <c r="V82" s="173">
        <f t="shared" si="72"/>
        <v>28</v>
      </c>
      <c r="W82" s="175">
        <f>IF(P82=2,'A.0_Tablas salariales SC'!$P$9,(IF(P82=6,'A.0_Tablas salariales SC'!$P$10,IF(P82=10,'A.0_Tablas salariales SC'!$P$11,IF(P82=14,'A.0_Tablas salariales SC'!$P$12,IF(P82=18,'A.0_Tablas salariales SC'!$P$13,IF(P82=20,'A.0_Tablas salariales SC'!$P$14,IF(P82=22,'A.0_Tablas salariales SC'!$P$15,IF(P82=24,'A.0_Tablas salariales SC'!$P$16,IF(P82=26,'A.0_Tablas salariales SC'!$P$17,IF(P82=28,'A.0_Tablas salariales SC'!$P$18,0)))))))))))</f>
        <v>446.8</v>
      </c>
      <c r="X82" s="175">
        <f>IF(Q82=2,'A.0_Tablas salariales SC'!$P$36,(IF(Q82=6,'A.0_Tablas salariales SC'!$P$37,IF(Q82=10,'A.0_Tablas salariales SC'!$P$38,IF(Q82=14,'A.0_Tablas salariales SC'!$P$39,IF(Q82=18,'A.0_Tablas salariales SC'!$P$40,IF(Q82=20,'A.0_Tablas salariales SC'!$P$41,IF(Q82=22,'A.0_Tablas salariales SC'!$P$42,IF(Q82=24,'A.0_Tablas salariales SC'!$P$43,IF(Q82=26,'A.0_Tablas salariales SC'!$P$44,IF(Q82=28,'A.0_Tablas salariales SC'!$P$45,0)))))))))))</f>
        <v>462.44</v>
      </c>
      <c r="Y82" s="175">
        <f>IF(R82=2,'A.0_Tablas salariales SC'!$P$63,(IF(R82=6,'A.0_Tablas salariales SC'!$P$64,IF(R82=10,'A.0_Tablas salariales SC'!$P$65,IF(R82=14,'A.0_Tablas salariales SC'!$P$66,IF(R82=18,'A.0_Tablas salariales SC'!$P$67,IF(R82=20,'A.0_Tablas salariales SC'!$P$68,IF(R82=22,'A.0_Tablas salariales SC'!$P$69,IF(R82=24,'A.0_Tablas salariales SC'!$P$70,IF(R82=26,'A.0_Tablas salariales SC'!$P$71,IF(R82=28,'A.0_Tablas salariales SC'!$P$72,0)))))))))))</f>
        <v>480.93</v>
      </c>
      <c r="Z82" s="175">
        <f>IF(S82=2,'A.0_Tablas salariales SC'!$P$90,(IF(S82=6,'A.0_Tablas salariales SC'!$P$91,IF(S82=10,'A.0_Tablas salariales SC'!$P$92,IF(S82=14,'A.0_Tablas salariales SC'!$P$93,IF(S82=18,'A.0_Tablas salariales SC'!$P$94,IF(S82=20,'A.0_Tablas salariales SC'!$P$95,IF(S82=22,'A.0_Tablas salariales SC'!$P$96,IF(S82=24,'A.0_Tablas salariales SC'!$P$97,IF(S82=26,'A.0_Tablas salariales SC'!$P$98,IF(S82=28,'A.0_Tablas salariales SC'!$P$99,0)))))))))))</f>
        <v>502.58</v>
      </c>
      <c r="AA82" s="175">
        <f>IF(T82=2,'A.0_Tablas salariales SC'!$P$117,(IF(T82=6,'A.0_Tablas salariales SC'!$P$118,IF(T82=10,'A.0_Tablas salariales SC'!$P$119,IF(T82=14,'A.0_Tablas salariales SC'!$P$120,IF(T82=18,'A.0_Tablas salariales SC'!$P$121,IF(T82=20,'A.0_Tablas salariales SC'!$P$122,IF(T82=22,'A.0_Tablas salariales SC'!$P$123,IF(T82=24,'A.0_Tablas salariales SC'!$P$124,IF(T82=26,'A.0_Tablas salariales SC'!$P$125,IF(T82=28,'A.0_Tablas salariales SC'!$P$126,0)))))))))))</f>
        <v>527.70000000000005</v>
      </c>
      <c r="AB82" s="175">
        <f>IF(U82=2,'A.0_Tablas salariales SC'!$P$145,(IF(U82=6,'A.0_Tablas salariales SC'!$P$146,IF(U82=10,'A.0_Tablas salariales SC'!$P$147,IF(U82=14,'A.0_Tablas salariales SC'!$P$148,IF(U82=18,'A.0_Tablas salariales SC'!$P$149,IF(U82=20,'A.0_Tablas salariales SC'!$P$150,IF(U82=22,'A.0_Tablas salariales SC'!$P$151,IF(U82=24,'A.0_Tablas salariales SC'!$P$152,IF(U82=26,'A.0_Tablas salariales SC'!$P$153,IF(U82=28,'A.0_Tablas salariales SC'!$P$154,0)))))))))))</f>
        <v>543.53100000000006</v>
      </c>
      <c r="AC82" s="175">
        <f>IF(V82=2,'A.0_Tablas salariales SC'!$P$173,(IF(V82=6,'A.0_Tablas salariales SC'!$P$174,IF(V82=10,'A.0_Tablas salariales SC'!$P$175,IF(V82=14,'A.0_Tablas salariales SC'!$P$176,IF(V82=18,'A.0_Tablas salariales SC'!$P$177,IF(V82=20,'A.0_Tablas salariales SC'!$P$178,IF(V82=22,'A.0_Tablas salariales SC'!$P$179,IF(V82=24,'A.0_Tablas salariales SC'!$P$180,IF(V82=26,'A.0_Tablas salariales SC'!$P$181,IF(V82=28,'A.0_Tablas salariales SC'!$P$182,0)))))))))))</f>
        <v>559.83693000000005</v>
      </c>
    </row>
    <row r="83" spans="1:29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2">
        <f t="shared" si="58"/>
        <v>1900</v>
      </c>
      <c r="G83" s="173">
        <f t="shared" si="56"/>
        <v>2026</v>
      </c>
      <c r="H83" s="173">
        <f t="shared" si="56"/>
        <v>2032</v>
      </c>
      <c r="I83" s="173">
        <f t="shared" si="59"/>
        <v>126</v>
      </c>
      <c r="J83" s="173">
        <f t="shared" si="60"/>
        <v>127</v>
      </c>
      <c r="K83" s="173">
        <f t="shared" si="61"/>
        <v>128</v>
      </c>
      <c r="L83" s="173">
        <f t="shared" si="62"/>
        <v>129</v>
      </c>
      <c r="M83" s="173">
        <f t="shared" si="63"/>
        <v>130</v>
      </c>
      <c r="N83" s="173">
        <f t="shared" si="64"/>
        <v>131</v>
      </c>
      <c r="O83" s="173">
        <f t="shared" si="65"/>
        <v>132</v>
      </c>
      <c r="P83" s="173">
        <f t="shared" si="66"/>
        <v>28</v>
      </c>
      <c r="Q83" s="173">
        <f t="shared" si="67"/>
        <v>28</v>
      </c>
      <c r="R83" s="173">
        <f t="shared" si="68"/>
        <v>28</v>
      </c>
      <c r="S83" s="173">
        <f t="shared" si="69"/>
        <v>28</v>
      </c>
      <c r="T83" s="173">
        <f t="shared" si="70"/>
        <v>28</v>
      </c>
      <c r="U83" s="173">
        <f t="shared" si="71"/>
        <v>28</v>
      </c>
      <c r="V83" s="173">
        <f t="shared" si="72"/>
        <v>28</v>
      </c>
      <c r="W83" s="175">
        <f>IF(P83=2,'A.0_Tablas salariales SC'!$P$9,(IF(P83=6,'A.0_Tablas salariales SC'!$P$10,IF(P83=10,'A.0_Tablas salariales SC'!$P$11,IF(P83=14,'A.0_Tablas salariales SC'!$P$12,IF(P83=18,'A.0_Tablas salariales SC'!$P$13,IF(P83=20,'A.0_Tablas salariales SC'!$P$14,IF(P83=22,'A.0_Tablas salariales SC'!$P$15,IF(P83=24,'A.0_Tablas salariales SC'!$P$16,IF(P83=26,'A.0_Tablas salariales SC'!$P$17,IF(P83=28,'A.0_Tablas salariales SC'!$P$18,0)))))))))))</f>
        <v>446.8</v>
      </c>
      <c r="X83" s="175">
        <f>IF(Q83=2,'A.0_Tablas salariales SC'!$P$36,(IF(Q83=6,'A.0_Tablas salariales SC'!$P$37,IF(Q83=10,'A.0_Tablas salariales SC'!$P$38,IF(Q83=14,'A.0_Tablas salariales SC'!$P$39,IF(Q83=18,'A.0_Tablas salariales SC'!$P$40,IF(Q83=20,'A.0_Tablas salariales SC'!$P$41,IF(Q83=22,'A.0_Tablas salariales SC'!$P$42,IF(Q83=24,'A.0_Tablas salariales SC'!$P$43,IF(Q83=26,'A.0_Tablas salariales SC'!$P$44,IF(Q83=28,'A.0_Tablas salariales SC'!$P$45,0)))))))))))</f>
        <v>462.44</v>
      </c>
      <c r="Y83" s="175">
        <f>IF(R83=2,'A.0_Tablas salariales SC'!$P$63,(IF(R83=6,'A.0_Tablas salariales SC'!$P$64,IF(R83=10,'A.0_Tablas salariales SC'!$P$65,IF(R83=14,'A.0_Tablas salariales SC'!$P$66,IF(R83=18,'A.0_Tablas salariales SC'!$P$67,IF(R83=20,'A.0_Tablas salariales SC'!$P$68,IF(R83=22,'A.0_Tablas salariales SC'!$P$69,IF(R83=24,'A.0_Tablas salariales SC'!$P$70,IF(R83=26,'A.0_Tablas salariales SC'!$P$71,IF(R83=28,'A.0_Tablas salariales SC'!$P$72,0)))))))))))</f>
        <v>480.93</v>
      </c>
      <c r="Z83" s="175">
        <f>IF(S83=2,'A.0_Tablas salariales SC'!$P$90,(IF(S83=6,'A.0_Tablas salariales SC'!$P$91,IF(S83=10,'A.0_Tablas salariales SC'!$P$92,IF(S83=14,'A.0_Tablas salariales SC'!$P$93,IF(S83=18,'A.0_Tablas salariales SC'!$P$94,IF(S83=20,'A.0_Tablas salariales SC'!$P$95,IF(S83=22,'A.0_Tablas salariales SC'!$P$96,IF(S83=24,'A.0_Tablas salariales SC'!$P$97,IF(S83=26,'A.0_Tablas salariales SC'!$P$98,IF(S83=28,'A.0_Tablas salariales SC'!$P$99,0)))))))))))</f>
        <v>502.58</v>
      </c>
      <c r="AA83" s="175">
        <f>IF(T83=2,'A.0_Tablas salariales SC'!$P$117,(IF(T83=6,'A.0_Tablas salariales SC'!$P$118,IF(T83=10,'A.0_Tablas salariales SC'!$P$119,IF(T83=14,'A.0_Tablas salariales SC'!$P$120,IF(T83=18,'A.0_Tablas salariales SC'!$P$121,IF(T83=20,'A.0_Tablas salariales SC'!$P$122,IF(T83=22,'A.0_Tablas salariales SC'!$P$123,IF(T83=24,'A.0_Tablas salariales SC'!$P$124,IF(T83=26,'A.0_Tablas salariales SC'!$P$125,IF(T83=28,'A.0_Tablas salariales SC'!$P$126,0)))))))))))</f>
        <v>527.70000000000005</v>
      </c>
      <c r="AB83" s="175">
        <f>IF(U83=2,'A.0_Tablas salariales SC'!$P$145,(IF(U83=6,'A.0_Tablas salariales SC'!$P$146,IF(U83=10,'A.0_Tablas salariales SC'!$P$147,IF(U83=14,'A.0_Tablas salariales SC'!$P$148,IF(U83=18,'A.0_Tablas salariales SC'!$P$149,IF(U83=20,'A.0_Tablas salariales SC'!$P$150,IF(U83=22,'A.0_Tablas salariales SC'!$P$151,IF(U83=24,'A.0_Tablas salariales SC'!$P$152,IF(U83=26,'A.0_Tablas salariales SC'!$P$153,IF(U83=28,'A.0_Tablas salariales SC'!$P$154,0)))))))))))</f>
        <v>543.53100000000006</v>
      </c>
      <c r="AC83" s="175">
        <f>IF(V83=2,'A.0_Tablas salariales SC'!$P$173,(IF(V83=6,'A.0_Tablas salariales SC'!$P$174,IF(V83=10,'A.0_Tablas salariales SC'!$P$175,IF(V83=14,'A.0_Tablas salariales SC'!$P$176,IF(V83=18,'A.0_Tablas salariales SC'!$P$177,IF(V83=20,'A.0_Tablas salariales SC'!$P$178,IF(V83=22,'A.0_Tablas salariales SC'!$P$179,IF(V83=24,'A.0_Tablas salariales SC'!$P$180,IF(V83=26,'A.0_Tablas salariales SC'!$P$181,IF(V83=28,'A.0_Tablas salariales SC'!$P$182,0)))))))))))</f>
        <v>559.83693000000005</v>
      </c>
    </row>
    <row r="84" spans="1:29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2">
        <f t="shared" si="58"/>
        <v>1900</v>
      </c>
      <c r="G84" s="173">
        <f t="shared" si="56"/>
        <v>2026</v>
      </c>
      <c r="H84" s="173">
        <f t="shared" si="56"/>
        <v>2032</v>
      </c>
      <c r="I84" s="173">
        <f t="shared" si="59"/>
        <v>126</v>
      </c>
      <c r="J84" s="173">
        <f t="shared" si="60"/>
        <v>127</v>
      </c>
      <c r="K84" s="173">
        <f t="shared" si="61"/>
        <v>128</v>
      </c>
      <c r="L84" s="173">
        <f t="shared" si="62"/>
        <v>129</v>
      </c>
      <c r="M84" s="173">
        <f t="shared" si="63"/>
        <v>130</v>
      </c>
      <c r="N84" s="173">
        <f t="shared" si="64"/>
        <v>131</v>
      </c>
      <c r="O84" s="173">
        <f t="shared" si="65"/>
        <v>132</v>
      </c>
      <c r="P84" s="173">
        <f t="shared" si="66"/>
        <v>28</v>
      </c>
      <c r="Q84" s="173">
        <f t="shared" si="67"/>
        <v>28</v>
      </c>
      <c r="R84" s="173">
        <f t="shared" si="68"/>
        <v>28</v>
      </c>
      <c r="S84" s="173">
        <f t="shared" si="69"/>
        <v>28</v>
      </c>
      <c r="T84" s="173">
        <f t="shared" si="70"/>
        <v>28</v>
      </c>
      <c r="U84" s="173">
        <f t="shared" si="71"/>
        <v>28</v>
      </c>
      <c r="V84" s="173">
        <f t="shared" si="72"/>
        <v>28</v>
      </c>
      <c r="W84" s="175">
        <f>IF(P84=2,'A.0_Tablas salariales SC'!$P$9,(IF(P84=6,'A.0_Tablas salariales SC'!$P$10,IF(P84=10,'A.0_Tablas salariales SC'!$P$11,IF(P84=14,'A.0_Tablas salariales SC'!$P$12,IF(P84=18,'A.0_Tablas salariales SC'!$P$13,IF(P84=20,'A.0_Tablas salariales SC'!$P$14,IF(P84=22,'A.0_Tablas salariales SC'!$P$15,IF(P84=24,'A.0_Tablas salariales SC'!$P$16,IF(P84=26,'A.0_Tablas salariales SC'!$P$17,IF(P84=28,'A.0_Tablas salariales SC'!$P$18,0)))))))))))</f>
        <v>446.8</v>
      </c>
      <c r="X84" s="175">
        <f>IF(Q84=2,'A.0_Tablas salariales SC'!$P$36,(IF(Q84=6,'A.0_Tablas salariales SC'!$P$37,IF(Q84=10,'A.0_Tablas salariales SC'!$P$38,IF(Q84=14,'A.0_Tablas salariales SC'!$P$39,IF(Q84=18,'A.0_Tablas salariales SC'!$P$40,IF(Q84=20,'A.0_Tablas salariales SC'!$P$41,IF(Q84=22,'A.0_Tablas salariales SC'!$P$42,IF(Q84=24,'A.0_Tablas salariales SC'!$P$43,IF(Q84=26,'A.0_Tablas salariales SC'!$P$44,IF(Q84=28,'A.0_Tablas salariales SC'!$P$45,0)))))))))))</f>
        <v>462.44</v>
      </c>
      <c r="Y84" s="175">
        <f>IF(R84=2,'A.0_Tablas salariales SC'!$P$63,(IF(R84=6,'A.0_Tablas salariales SC'!$P$64,IF(R84=10,'A.0_Tablas salariales SC'!$P$65,IF(R84=14,'A.0_Tablas salariales SC'!$P$66,IF(R84=18,'A.0_Tablas salariales SC'!$P$67,IF(R84=20,'A.0_Tablas salariales SC'!$P$68,IF(R84=22,'A.0_Tablas salariales SC'!$P$69,IF(R84=24,'A.0_Tablas salariales SC'!$P$70,IF(R84=26,'A.0_Tablas salariales SC'!$P$71,IF(R84=28,'A.0_Tablas salariales SC'!$P$72,0)))))))))))</f>
        <v>480.93</v>
      </c>
      <c r="Z84" s="175">
        <f>IF(S84=2,'A.0_Tablas salariales SC'!$P$90,(IF(S84=6,'A.0_Tablas salariales SC'!$P$91,IF(S84=10,'A.0_Tablas salariales SC'!$P$92,IF(S84=14,'A.0_Tablas salariales SC'!$P$93,IF(S84=18,'A.0_Tablas salariales SC'!$P$94,IF(S84=20,'A.0_Tablas salariales SC'!$P$95,IF(S84=22,'A.0_Tablas salariales SC'!$P$96,IF(S84=24,'A.0_Tablas salariales SC'!$P$97,IF(S84=26,'A.0_Tablas salariales SC'!$P$98,IF(S84=28,'A.0_Tablas salariales SC'!$P$99,0)))))))))))</f>
        <v>502.58</v>
      </c>
      <c r="AA84" s="175">
        <f>IF(T84=2,'A.0_Tablas salariales SC'!$P$117,(IF(T84=6,'A.0_Tablas salariales SC'!$P$118,IF(T84=10,'A.0_Tablas salariales SC'!$P$119,IF(T84=14,'A.0_Tablas salariales SC'!$P$120,IF(T84=18,'A.0_Tablas salariales SC'!$P$121,IF(T84=20,'A.0_Tablas salariales SC'!$P$122,IF(T84=22,'A.0_Tablas salariales SC'!$P$123,IF(T84=24,'A.0_Tablas salariales SC'!$P$124,IF(T84=26,'A.0_Tablas salariales SC'!$P$125,IF(T84=28,'A.0_Tablas salariales SC'!$P$126,0)))))))))))</f>
        <v>527.70000000000005</v>
      </c>
      <c r="AB84" s="175">
        <f>IF(U84=2,'A.0_Tablas salariales SC'!$P$145,(IF(U84=6,'A.0_Tablas salariales SC'!$P$146,IF(U84=10,'A.0_Tablas salariales SC'!$P$147,IF(U84=14,'A.0_Tablas salariales SC'!$P$148,IF(U84=18,'A.0_Tablas salariales SC'!$P$149,IF(U84=20,'A.0_Tablas salariales SC'!$P$150,IF(U84=22,'A.0_Tablas salariales SC'!$P$151,IF(U84=24,'A.0_Tablas salariales SC'!$P$152,IF(U84=26,'A.0_Tablas salariales SC'!$P$153,IF(U84=28,'A.0_Tablas salariales SC'!$P$154,0)))))))))))</f>
        <v>543.53100000000006</v>
      </c>
      <c r="AC84" s="175">
        <f>IF(V84=2,'A.0_Tablas salariales SC'!$P$173,(IF(V84=6,'A.0_Tablas salariales SC'!$P$174,IF(V84=10,'A.0_Tablas salariales SC'!$P$175,IF(V84=14,'A.0_Tablas salariales SC'!$P$176,IF(V84=18,'A.0_Tablas salariales SC'!$P$177,IF(V84=20,'A.0_Tablas salariales SC'!$P$178,IF(V84=22,'A.0_Tablas salariales SC'!$P$179,IF(V84=24,'A.0_Tablas salariales SC'!$P$180,IF(V84=26,'A.0_Tablas salariales SC'!$P$181,IF(V84=28,'A.0_Tablas salariales SC'!$P$182,0)))))))))))</f>
        <v>559.83693000000005</v>
      </c>
    </row>
    <row r="85" spans="1:29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2">
        <f t="shared" ref="F85" si="73">YEAR(E85)</f>
        <v>1900</v>
      </c>
      <c r="G85" s="173">
        <f t="shared" si="56"/>
        <v>2026</v>
      </c>
      <c r="H85" s="173">
        <f t="shared" si="56"/>
        <v>2032</v>
      </c>
      <c r="I85" s="173">
        <f t="shared" si="41"/>
        <v>126</v>
      </c>
      <c r="J85" s="173">
        <f t="shared" si="42"/>
        <v>127</v>
      </c>
      <c r="K85" s="173">
        <f t="shared" si="43"/>
        <v>128</v>
      </c>
      <c r="L85" s="173">
        <f t="shared" si="44"/>
        <v>129</v>
      </c>
      <c r="M85" s="173">
        <f t="shared" si="45"/>
        <v>130</v>
      </c>
      <c r="N85" s="173">
        <f t="shared" si="46"/>
        <v>131</v>
      </c>
      <c r="O85" s="173">
        <f t="shared" si="47"/>
        <v>132</v>
      </c>
      <c r="P85" s="173">
        <f t="shared" si="48"/>
        <v>28</v>
      </c>
      <c r="Q85" s="173">
        <f t="shared" si="49"/>
        <v>28</v>
      </c>
      <c r="R85" s="173">
        <f t="shared" si="50"/>
        <v>28</v>
      </c>
      <c r="S85" s="173">
        <f t="shared" si="51"/>
        <v>28</v>
      </c>
      <c r="T85" s="173">
        <f t="shared" si="52"/>
        <v>28</v>
      </c>
      <c r="U85" s="173">
        <f t="shared" si="53"/>
        <v>28</v>
      </c>
      <c r="V85" s="173">
        <f t="shared" si="54"/>
        <v>28</v>
      </c>
      <c r="W85" s="175">
        <f>IF(P85=2,'A.0_Tablas salariales SC'!$P$9,(IF(P85=6,'A.0_Tablas salariales SC'!$P$10,IF(P85=10,'A.0_Tablas salariales SC'!$P$11,IF(P85=14,'A.0_Tablas salariales SC'!$P$12,IF(P85=18,'A.0_Tablas salariales SC'!$P$13,IF(P85=20,'A.0_Tablas salariales SC'!$P$14,IF(P85=22,'A.0_Tablas salariales SC'!$P$15,IF(P85=24,'A.0_Tablas salariales SC'!$P$16,IF(P85=26,'A.0_Tablas salariales SC'!$P$17,IF(P85=28,'A.0_Tablas salariales SC'!$P$18,0)))))))))))</f>
        <v>446.8</v>
      </c>
      <c r="X85" s="175">
        <f>IF(Q85=2,'A.0_Tablas salariales SC'!$P$36,(IF(Q85=6,'A.0_Tablas salariales SC'!$P$37,IF(Q85=10,'A.0_Tablas salariales SC'!$P$38,IF(Q85=14,'A.0_Tablas salariales SC'!$P$39,IF(Q85=18,'A.0_Tablas salariales SC'!$P$40,IF(Q85=20,'A.0_Tablas salariales SC'!$P$41,IF(Q85=22,'A.0_Tablas salariales SC'!$P$42,IF(Q85=24,'A.0_Tablas salariales SC'!$P$43,IF(Q85=26,'A.0_Tablas salariales SC'!$P$44,IF(Q85=28,'A.0_Tablas salariales SC'!$P$45,0)))))))))))</f>
        <v>462.44</v>
      </c>
      <c r="Y85" s="175">
        <f>IF(R85=2,'A.0_Tablas salariales SC'!$P$63,(IF(R85=6,'A.0_Tablas salariales SC'!$P$64,IF(R85=10,'A.0_Tablas salariales SC'!$P$65,IF(R85=14,'A.0_Tablas salariales SC'!$P$66,IF(R85=18,'A.0_Tablas salariales SC'!$P$67,IF(R85=20,'A.0_Tablas salariales SC'!$P$68,IF(R85=22,'A.0_Tablas salariales SC'!$P$69,IF(R85=24,'A.0_Tablas salariales SC'!$P$70,IF(R85=26,'A.0_Tablas salariales SC'!$P$71,IF(R85=28,'A.0_Tablas salariales SC'!$P$72,0)))))))))))</f>
        <v>480.93</v>
      </c>
      <c r="Z85" s="175">
        <f>IF(S85=2,'A.0_Tablas salariales SC'!$P$90,(IF(S85=6,'A.0_Tablas salariales SC'!$P$91,IF(S85=10,'A.0_Tablas salariales SC'!$P$92,IF(S85=14,'A.0_Tablas salariales SC'!$P$93,IF(S85=18,'A.0_Tablas salariales SC'!$P$94,IF(S85=20,'A.0_Tablas salariales SC'!$P$95,IF(S85=22,'A.0_Tablas salariales SC'!$P$96,IF(S85=24,'A.0_Tablas salariales SC'!$P$97,IF(S85=26,'A.0_Tablas salariales SC'!$P$98,IF(S85=28,'A.0_Tablas salariales SC'!$P$99,0)))))))))))</f>
        <v>502.58</v>
      </c>
      <c r="AA85" s="175">
        <f>IF(T85=2,'A.0_Tablas salariales SC'!$P$117,(IF(T85=6,'A.0_Tablas salariales SC'!$P$118,IF(T85=10,'A.0_Tablas salariales SC'!$P$119,IF(T85=14,'A.0_Tablas salariales SC'!$P$120,IF(T85=18,'A.0_Tablas salariales SC'!$P$121,IF(T85=20,'A.0_Tablas salariales SC'!$P$122,IF(T85=22,'A.0_Tablas salariales SC'!$P$123,IF(T85=24,'A.0_Tablas salariales SC'!$P$124,IF(T85=26,'A.0_Tablas salariales SC'!$P$125,IF(T85=28,'A.0_Tablas salariales SC'!$P$126,0)))))))))))</f>
        <v>527.70000000000005</v>
      </c>
      <c r="AB85" s="175">
        <f>IF(U85=2,'A.0_Tablas salariales SC'!$P$145,(IF(U85=6,'A.0_Tablas salariales SC'!$P$146,IF(U85=10,'A.0_Tablas salariales SC'!$P$147,IF(U85=14,'A.0_Tablas salariales SC'!$P$148,IF(U85=18,'A.0_Tablas salariales SC'!$P$149,IF(U85=20,'A.0_Tablas salariales SC'!$P$150,IF(U85=22,'A.0_Tablas salariales SC'!$P$151,IF(U85=24,'A.0_Tablas salariales SC'!$P$152,IF(U85=26,'A.0_Tablas salariales SC'!$P$153,IF(U85=28,'A.0_Tablas salariales SC'!$P$154,0)))))))))))</f>
        <v>543.53100000000006</v>
      </c>
      <c r="AC85" s="175">
        <f>IF(V85=2,'A.0_Tablas salariales SC'!$P$173,(IF(V85=6,'A.0_Tablas salariales SC'!$P$174,IF(V85=10,'A.0_Tablas salariales SC'!$P$175,IF(V85=14,'A.0_Tablas salariales SC'!$P$176,IF(V85=18,'A.0_Tablas salariales SC'!$P$177,IF(V85=20,'A.0_Tablas salariales SC'!$P$178,IF(V85=22,'A.0_Tablas salariales SC'!$P$179,IF(V85=24,'A.0_Tablas salariales SC'!$P$180,IF(V85=26,'A.0_Tablas salariales SC'!$P$181,IF(V85=28,'A.0_Tablas salariales SC'!$P$182,0)))))))))))</f>
        <v>559.83693000000005</v>
      </c>
    </row>
    <row r="86" spans="1:2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416"/>
      <c r="X86" s="416"/>
      <c r="Y86" s="416"/>
      <c r="Z86" s="416"/>
      <c r="AA86" s="416"/>
      <c r="AB86" s="416"/>
      <c r="AC86" s="416"/>
    </row>
    <row r="87" spans="1:29">
      <c r="A87" s="508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2">
        <f t="shared" ref="F87:F88" si="74">YEAR(E87)</f>
        <v>1900</v>
      </c>
      <c r="G87" s="173">
        <f t="shared" ref="G87:H113" si="75">G$3</f>
        <v>2026</v>
      </c>
      <c r="H87" s="173">
        <f t="shared" si="75"/>
        <v>2032</v>
      </c>
      <c r="I87" s="173">
        <f t="shared" ref="I87:I113" si="76">($I$3-F87)*$I$4</f>
        <v>126</v>
      </c>
      <c r="J87" s="173">
        <f t="shared" ref="J87:J113" si="77">($J$3-F87)*$J$4</f>
        <v>127</v>
      </c>
      <c r="K87" s="173">
        <f t="shared" ref="K87:K113" si="78">($K$3-F87)*$K$4</f>
        <v>128</v>
      </c>
      <c r="L87" s="173">
        <f t="shared" ref="L87:L113" si="79">($L$3-F87)*$L$4</f>
        <v>129</v>
      </c>
      <c r="M87" s="173">
        <f t="shared" ref="M87:M113" si="80">($M$3-F87)*$M$4</f>
        <v>130</v>
      </c>
      <c r="N87" s="173">
        <f t="shared" ref="N87:N113" si="81">($N$3-F87)*$N$4</f>
        <v>131</v>
      </c>
      <c r="O87" s="173">
        <f t="shared" ref="O87:O113" si="82">($O$3-F87)*$O$4</f>
        <v>132</v>
      </c>
      <c r="P87" s="173">
        <f t="shared" ref="P87:P113" si="83">IF(I87&gt;=28,28,IF(I87&gt;=26,26,(IF(I87&gt;=24,24,IF(I87&gt;=22,22,IF(I87&gt;=20,20,IF(I87&gt;=18,18,IF(I87&gt;=14,14,(IF(I87&gt;=10,10,(IF(I87&gt;=6,6,(IF(I87&gt;=2,2,0))))))))))))))</f>
        <v>28</v>
      </c>
      <c r="Q87" s="173">
        <f t="shared" ref="Q87:Q113" si="84">IF(J87&gt;=28,28,IF(J87&gt;=26,26,(IF(J87&gt;=24,24,IF(J87&gt;=22,22,IF(J87&gt;=20,20,IF(J87&gt;=18,18,IF(J87&gt;=14,14,(IF(J87&gt;=10,10,(IF(J87&gt;=6,6,(IF(J87&gt;=2,2,0))))))))))))))</f>
        <v>28</v>
      </c>
      <c r="R87" s="173">
        <f t="shared" ref="R87:R113" si="85">IF(K87&gt;=28,28,IF(K87&gt;=26,26,(IF(K87&gt;=24,24,IF(K87&gt;=22,22,IF(K87&gt;=20,20,IF(K87&gt;=18,18,IF(K87&gt;=14,14,(IF(K87&gt;=10,10,(IF(K87&gt;=6,6,(IF(K87&gt;=2,2,0))))))))))))))</f>
        <v>28</v>
      </c>
      <c r="S87" s="173">
        <f t="shared" ref="S87:S113" si="86">IF(L87&gt;=28,28,IF(L87&gt;=26,26,(IF(L87&gt;=24,24,IF(L87&gt;=22,22,IF(L87&gt;=20,20,IF(L87&gt;=18,18,IF(L87&gt;=14,14,(IF(L87&gt;=10,10,(IF(L87&gt;=6,6,(IF(L87&gt;=2,2,0))))))))))))))</f>
        <v>28</v>
      </c>
      <c r="T87" s="173">
        <f t="shared" ref="T87:T113" si="87">IF(M87&gt;=28,28,IF(M87&gt;=26,26,(IF(M87&gt;=24,24,IF(M87&gt;=22,22,IF(M87&gt;=20,20,IF(M87&gt;=18,18,IF(M87&gt;=14,14,(IF(M87&gt;=10,10,(IF(M87&gt;=6,6,(IF(M87&gt;=2,2,0))))))))))))))</f>
        <v>28</v>
      </c>
      <c r="U87" s="173">
        <f t="shared" ref="U87:U113" si="88">IF(N87&gt;=28,28,IF(N87&gt;=26,26,(IF(N87&gt;=24,24,IF(N87&gt;=22,22,IF(N87&gt;=20,20,IF(N87&gt;=18,18,IF(N87&gt;=14,14,(IF(N87&gt;=10,10,(IF(N87&gt;=6,6,(IF(N87&gt;=2,2,0))))))))))))))</f>
        <v>28</v>
      </c>
      <c r="V87" s="173">
        <f t="shared" ref="V87:V113" si="89">IF(O87&gt;=28,28,IF(O87&gt;=26,26,(IF(O87&gt;=24,24,IF(O87&gt;=22,22,IF(O87&gt;=20,20,IF(O87&gt;=18,18,IF(O87&gt;=14,14,(IF(O87&gt;=10,10,(IF(O87&gt;=6,6,(IF(O87&gt;=2,2,0))))))))))))))</f>
        <v>28</v>
      </c>
      <c r="W87" s="175">
        <f>IF(P87=2,'A.0_Tablas salariales SC'!$P$9,(IF(P87=6,'A.0_Tablas salariales SC'!$P$10,IF(P87=10,'A.0_Tablas salariales SC'!$P$11,IF(P87=14,'A.0_Tablas salariales SC'!$P$12,IF(P87=18,'A.0_Tablas salariales SC'!$P$13,IF(P87=20,'A.0_Tablas salariales SC'!$P$14,IF(P87=22,'A.0_Tablas salariales SC'!$P$15,IF(P87=24,'A.0_Tablas salariales SC'!$P$16,IF(P87=26,'A.0_Tablas salariales SC'!$P$17,IF(P87=28,'A.0_Tablas salariales SC'!$P$18,0)))))))))))</f>
        <v>446.8</v>
      </c>
      <c r="X87" s="175">
        <f>IF(Q87=2,'A.0_Tablas salariales SC'!$P$36,(IF(Q87=6,'A.0_Tablas salariales SC'!$P$37,IF(Q87=10,'A.0_Tablas salariales SC'!$P$38,IF(Q87=14,'A.0_Tablas salariales SC'!$P$39,IF(Q87=18,'A.0_Tablas salariales SC'!$P$40,IF(Q87=20,'A.0_Tablas salariales SC'!$P$41,IF(Q87=22,'A.0_Tablas salariales SC'!$P$42,IF(Q87=24,'A.0_Tablas salariales SC'!$P$43,IF(Q87=26,'A.0_Tablas salariales SC'!$P$44,IF(Q87=28,'A.0_Tablas salariales SC'!$P$45,0)))))))))))</f>
        <v>462.44</v>
      </c>
      <c r="Y87" s="175">
        <f>IF(R87=2,'A.0_Tablas salariales SC'!$P$63,(IF(R87=6,'A.0_Tablas salariales SC'!$P$64,IF(R87=10,'A.0_Tablas salariales SC'!$P$65,IF(R87=14,'A.0_Tablas salariales SC'!$P$66,IF(R87=18,'A.0_Tablas salariales SC'!$P$67,IF(R87=20,'A.0_Tablas salariales SC'!$P$68,IF(R87=22,'A.0_Tablas salariales SC'!$P$69,IF(R87=24,'A.0_Tablas salariales SC'!$P$70,IF(R87=26,'A.0_Tablas salariales SC'!$P$71,IF(R87=28,'A.0_Tablas salariales SC'!$P$72,0)))))))))))</f>
        <v>480.93</v>
      </c>
      <c r="Z87" s="175">
        <f>IF(S87=2,'A.0_Tablas salariales SC'!$P$90,(IF(S87=6,'A.0_Tablas salariales SC'!$P$91,IF(S87=10,'A.0_Tablas salariales SC'!$P$92,IF(S87=14,'A.0_Tablas salariales SC'!$P$93,IF(S87=18,'A.0_Tablas salariales SC'!$P$94,IF(S87=20,'A.0_Tablas salariales SC'!$P$95,IF(S87=22,'A.0_Tablas salariales SC'!$P$96,IF(S87=24,'A.0_Tablas salariales SC'!$P$97,IF(S87=26,'A.0_Tablas salariales SC'!$P$98,IF(S87=28,'A.0_Tablas salariales SC'!$P$99,0)))))))))))</f>
        <v>502.58</v>
      </c>
      <c r="AA87" s="175">
        <f>IF(T87=2,'A.0_Tablas salariales SC'!$P$117,(IF(T87=6,'A.0_Tablas salariales SC'!$P$118,IF(T87=10,'A.0_Tablas salariales SC'!$P$119,IF(T87=14,'A.0_Tablas salariales SC'!$P$120,IF(T87=18,'A.0_Tablas salariales SC'!$P$121,IF(T87=20,'A.0_Tablas salariales SC'!$P$122,IF(T87=22,'A.0_Tablas salariales SC'!$P$123,IF(T87=24,'A.0_Tablas salariales SC'!$P$124,IF(T87=26,'A.0_Tablas salariales SC'!$P$125,IF(T87=28,'A.0_Tablas salariales SC'!$P$126,0)))))))))))</f>
        <v>527.70000000000005</v>
      </c>
      <c r="AB87" s="175">
        <f>IF(U87=2,'A.0_Tablas salariales SC'!$P$145,(IF(U87=6,'A.0_Tablas salariales SC'!$P$146,IF(U87=10,'A.0_Tablas salariales SC'!$P$147,IF(U87=14,'A.0_Tablas salariales SC'!$P$148,IF(U87=18,'A.0_Tablas salariales SC'!$P$149,IF(U87=20,'A.0_Tablas salariales SC'!$P$150,IF(U87=22,'A.0_Tablas salariales SC'!$P$151,IF(U87=24,'A.0_Tablas salariales SC'!$P$152,IF(U87=26,'A.0_Tablas salariales SC'!$P$153,IF(U87=28,'A.0_Tablas salariales SC'!$P$154,0)))))))))))</f>
        <v>543.53100000000006</v>
      </c>
      <c r="AC87" s="175">
        <f>IF(V87=2,'A.0_Tablas salariales SC'!$P$173,(IF(V87=6,'A.0_Tablas salariales SC'!$P$174,IF(V87=10,'A.0_Tablas salariales SC'!$P$175,IF(V87=14,'A.0_Tablas salariales SC'!$P$176,IF(V87=18,'A.0_Tablas salariales SC'!$P$177,IF(V87=20,'A.0_Tablas salariales SC'!$P$178,IF(V87=22,'A.0_Tablas salariales SC'!$P$179,IF(V87=24,'A.0_Tablas salariales SC'!$P$180,IF(V87=26,'A.0_Tablas salariales SC'!$P$181,IF(V87=28,'A.0_Tablas salariales SC'!$P$182,0)))))))))))</f>
        <v>559.83693000000005</v>
      </c>
    </row>
    <row r="88" spans="1:29">
      <c r="A88" s="508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2">
        <f t="shared" si="74"/>
        <v>1900</v>
      </c>
      <c r="G88" s="173">
        <f t="shared" si="75"/>
        <v>2026</v>
      </c>
      <c r="H88" s="173">
        <f t="shared" si="75"/>
        <v>2032</v>
      </c>
      <c r="I88" s="173">
        <f t="shared" si="76"/>
        <v>126</v>
      </c>
      <c r="J88" s="173">
        <f t="shared" si="77"/>
        <v>127</v>
      </c>
      <c r="K88" s="173">
        <f t="shared" si="78"/>
        <v>128</v>
      </c>
      <c r="L88" s="173">
        <f t="shared" si="79"/>
        <v>129</v>
      </c>
      <c r="M88" s="173">
        <f t="shared" si="80"/>
        <v>130</v>
      </c>
      <c r="N88" s="173">
        <f t="shared" si="81"/>
        <v>131</v>
      </c>
      <c r="O88" s="173">
        <f t="shared" si="82"/>
        <v>132</v>
      </c>
      <c r="P88" s="173">
        <f t="shared" si="83"/>
        <v>28</v>
      </c>
      <c r="Q88" s="173">
        <f t="shared" si="84"/>
        <v>28</v>
      </c>
      <c r="R88" s="173">
        <f t="shared" si="85"/>
        <v>28</v>
      </c>
      <c r="S88" s="173">
        <f t="shared" si="86"/>
        <v>28</v>
      </c>
      <c r="T88" s="173">
        <f t="shared" si="87"/>
        <v>28</v>
      </c>
      <c r="U88" s="173">
        <f t="shared" si="88"/>
        <v>28</v>
      </c>
      <c r="V88" s="173">
        <f t="shared" si="89"/>
        <v>28</v>
      </c>
      <c r="W88" s="175">
        <f>IF(P88=2,'A.0_Tablas salariales SC'!$P$9,(IF(P88=6,'A.0_Tablas salariales SC'!$P$10,IF(P88=10,'A.0_Tablas salariales SC'!$P$11,IF(P88=14,'A.0_Tablas salariales SC'!$P$12,IF(P88=18,'A.0_Tablas salariales SC'!$P$13,IF(P88=20,'A.0_Tablas salariales SC'!$P$14,IF(P88=22,'A.0_Tablas salariales SC'!$P$15,IF(P88=24,'A.0_Tablas salariales SC'!$P$16,IF(P88=26,'A.0_Tablas salariales SC'!$P$17,IF(P88=28,'A.0_Tablas salariales SC'!$P$18,0)))))))))))</f>
        <v>446.8</v>
      </c>
      <c r="X88" s="175">
        <f>IF(Q88=2,'A.0_Tablas salariales SC'!$P$36,(IF(Q88=6,'A.0_Tablas salariales SC'!$P$37,IF(Q88=10,'A.0_Tablas salariales SC'!$P$38,IF(Q88=14,'A.0_Tablas salariales SC'!$P$39,IF(Q88=18,'A.0_Tablas salariales SC'!$P$40,IF(Q88=20,'A.0_Tablas salariales SC'!$P$41,IF(Q88=22,'A.0_Tablas salariales SC'!$P$42,IF(Q88=24,'A.0_Tablas salariales SC'!$P$43,IF(Q88=26,'A.0_Tablas salariales SC'!$P$44,IF(Q88=28,'A.0_Tablas salariales SC'!$P$45,0)))))))))))</f>
        <v>462.44</v>
      </c>
      <c r="Y88" s="175">
        <f>IF(R88=2,'A.0_Tablas salariales SC'!$P$63,(IF(R88=6,'A.0_Tablas salariales SC'!$P$64,IF(R88=10,'A.0_Tablas salariales SC'!$P$65,IF(R88=14,'A.0_Tablas salariales SC'!$P$66,IF(R88=18,'A.0_Tablas salariales SC'!$P$67,IF(R88=20,'A.0_Tablas salariales SC'!$P$68,IF(R88=22,'A.0_Tablas salariales SC'!$P$69,IF(R88=24,'A.0_Tablas salariales SC'!$P$70,IF(R88=26,'A.0_Tablas salariales SC'!$P$71,IF(R88=28,'A.0_Tablas salariales SC'!$P$72,0)))))))))))</f>
        <v>480.93</v>
      </c>
      <c r="Z88" s="175">
        <f>IF(S88=2,'A.0_Tablas salariales SC'!$P$90,(IF(S88=6,'A.0_Tablas salariales SC'!$P$91,IF(S88=10,'A.0_Tablas salariales SC'!$P$92,IF(S88=14,'A.0_Tablas salariales SC'!$P$93,IF(S88=18,'A.0_Tablas salariales SC'!$P$94,IF(S88=20,'A.0_Tablas salariales SC'!$P$95,IF(S88=22,'A.0_Tablas salariales SC'!$P$96,IF(S88=24,'A.0_Tablas salariales SC'!$P$97,IF(S88=26,'A.0_Tablas salariales SC'!$P$98,IF(S88=28,'A.0_Tablas salariales SC'!$P$99,0)))))))))))</f>
        <v>502.58</v>
      </c>
      <c r="AA88" s="175">
        <f>IF(T88=2,'A.0_Tablas salariales SC'!$P$117,(IF(T88=6,'A.0_Tablas salariales SC'!$P$118,IF(T88=10,'A.0_Tablas salariales SC'!$P$119,IF(T88=14,'A.0_Tablas salariales SC'!$P$120,IF(T88=18,'A.0_Tablas salariales SC'!$P$121,IF(T88=20,'A.0_Tablas salariales SC'!$P$122,IF(T88=22,'A.0_Tablas salariales SC'!$P$123,IF(T88=24,'A.0_Tablas salariales SC'!$P$124,IF(T88=26,'A.0_Tablas salariales SC'!$P$125,IF(T88=28,'A.0_Tablas salariales SC'!$P$126,0)))))))))))</f>
        <v>527.70000000000005</v>
      </c>
      <c r="AB88" s="175">
        <f>IF(U88=2,'A.0_Tablas salariales SC'!$P$145,(IF(U88=6,'A.0_Tablas salariales SC'!$P$146,IF(U88=10,'A.0_Tablas salariales SC'!$P$147,IF(U88=14,'A.0_Tablas salariales SC'!$P$148,IF(U88=18,'A.0_Tablas salariales SC'!$P$149,IF(U88=20,'A.0_Tablas salariales SC'!$P$150,IF(U88=22,'A.0_Tablas salariales SC'!$P$151,IF(U88=24,'A.0_Tablas salariales SC'!$P$152,IF(U88=26,'A.0_Tablas salariales SC'!$P$153,IF(U88=28,'A.0_Tablas salariales SC'!$P$154,0)))))))))))</f>
        <v>543.53100000000006</v>
      </c>
      <c r="AC88" s="175">
        <f>IF(V88=2,'A.0_Tablas salariales SC'!$P$173,(IF(V88=6,'A.0_Tablas salariales SC'!$P$174,IF(V88=10,'A.0_Tablas salariales SC'!$P$175,IF(V88=14,'A.0_Tablas salariales SC'!$P$176,IF(V88=18,'A.0_Tablas salariales SC'!$P$177,IF(V88=20,'A.0_Tablas salariales SC'!$P$178,IF(V88=22,'A.0_Tablas salariales SC'!$P$179,IF(V88=24,'A.0_Tablas salariales SC'!$P$180,IF(V88=26,'A.0_Tablas salariales SC'!$P$181,IF(V88=28,'A.0_Tablas salariales SC'!$P$182,0)))))))))))</f>
        <v>559.83693000000005</v>
      </c>
    </row>
    <row r="89" spans="1:29">
      <c r="A89" s="508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2">
        <f t="shared" ref="F89:F113" si="90">YEAR(E89)</f>
        <v>1900</v>
      </c>
      <c r="G89" s="173">
        <f t="shared" si="75"/>
        <v>2026</v>
      </c>
      <c r="H89" s="173">
        <f t="shared" si="75"/>
        <v>2032</v>
      </c>
      <c r="I89" s="173">
        <f t="shared" si="76"/>
        <v>126</v>
      </c>
      <c r="J89" s="173">
        <f t="shared" si="77"/>
        <v>127</v>
      </c>
      <c r="K89" s="173">
        <f t="shared" si="78"/>
        <v>128</v>
      </c>
      <c r="L89" s="173">
        <f t="shared" si="79"/>
        <v>129</v>
      </c>
      <c r="M89" s="173">
        <f t="shared" si="80"/>
        <v>130</v>
      </c>
      <c r="N89" s="173">
        <f t="shared" si="81"/>
        <v>131</v>
      </c>
      <c r="O89" s="173">
        <f t="shared" si="82"/>
        <v>132</v>
      </c>
      <c r="P89" s="173">
        <f t="shared" si="83"/>
        <v>28</v>
      </c>
      <c r="Q89" s="173">
        <f t="shared" si="84"/>
        <v>28</v>
      </c>
      <c r="R89" s="173">
        <f t="shared" si="85"/>
        <v>28</v>
      </c>
      <c r="S89" s="173">
        <f t="shared" si="86"/>
        <v>28</v>
      </c>
      <c r="T89" s="173">
        <f t="shared" si="87"/>
        <v>28</v>
      </c>
      <c r="U89" s="173">
        <f t="shared" si="88"/>
        <v>28</v>
      </c>
      <c r="V89" s="173">
        <f t="shared" si="89"/>
        <v>28</v>
      </c>
      <c r="W89" s="175">
        <f>IF(P89=2,'A.0_Tablas salariales SC'!$P$9,(IF(P89=6,'A.0_Tablas salariales SC'!$P$10,IF(P89=10,'A.0_Tablas salariales SC'!$P$11,IF(P89=14,'A.0_Tablas salariales SC'!$P$12,IF(P89=18,'A.0_Tablas salariales SC'!$P$13,IF(P89=20,'A.0_Tablas salariales SC'!$P$14,IF(P89=22,'A.0_Tablas salariales SC'!$P$15,IF(P89=24,'A.0_Tablas salariales SC'!$P$16,IF(P89=26,'A.0_Tablas salariales SC'!$P$17,IF(P89=28,'A.0_Tablas salariales SC'!$P$18,0)))))))))))</f>
        <v>446.8</v>
      </c>
      <c r="X89" s="175">
        <f>IF(Q89=2,'A.0_Tablas salariales SC'!$P$36,(IF(Q89=6,'A.0_Tablas salariales SC'!$P$37,IF(Q89=10,'A.0_Tablas salariales SC'!$P$38,IF(Q89=14,'A.0_Tablas salariales SC'!$P$39,IF(Q89=18,'A.0_Tablas salariales SC'!$P$40,IF(Q89=20,'A.0_Tablas salariales SC'!$P$41,IF(Q89=22,'A.0_Tablas salariales SC'!$P$42,IF(Q89=24,'A.0_Tablas salariales SC'!$P$43,IF(Q89=26,'A.0_Tablas salariales SC'!$P$44,IF(Q89=28,'A.0_Tablas salariales SC'!$P$45,0)))))))))))</f>
        <v>462.44</v>
      </c>
      <c r="Y89" s="175">
        <f>IF(R89=2,'A.0_Tablas salariales SC'!$P$63,(IF(R89=6,'A.0_Tablas salariales SC'!$P$64,IF(R89=10,'A.0_Tablas salariales SC'!$P$65,IF(R89=14,'A.0_Tablas salariales SC'!$P$66,IF(R89=18,'A.0_Tablas salariales SC'!$P$67,IF(R89=20,'A.0_Tablas salariales SC'!$P$68,IF(R89=22,'A.0_Tablas salariales SC'!$P$69,IF(R89=24,'A.0_Tablas salariales SC'!$P$70,IF(R89=26,'A.0_Tablas salariales SC'!$P$71,IF(R89=28,'A.0_Tablas salariales SC'!$P$72,0)))))))))))</f>
        <v>480.93</v>
      </c>
      <c r="Z89" s="175">
        <f>IF(S89=2,'A.0_Tablas salariales SC'!$P$90,(IF(S89=6,'A.0_Tablas salariales SC'!$P$91,IF(S89=10,'A.0_Tablas salariales SC'!$P$92,IF(S89=14,'A.0_Tablas salariales SC'!$P$93,IF(S89=18,'A.0_Tablas salariales SC'!$P$94,IF(S89=20,'A.0_Tablas salariales SC'!$P$95,IF(S89=22,'A.0_Tablas salariales SC'!$P$96,IF(S89=24,'A.0_Tablas salariales SC'!$P$97,IF(S89=26,'A.0_Tablas salariales SC'!$P$98,IF(S89=28,'A.0_Tablas salariales SC'!$P$99,0)))))))))))</f>
        <v>502.58</v>
      </c>
      <c r="AA89" s="175">
        <f>IF(T89=2,'A.0_Tablas salariales SC'!$P$117,(IF(T89=6,'A.0_Tablas salariales SC'!$P$118,IF(T89=10,'A.0_Tablas salariales SC'!$P$119,IF(T89=14,'A.0_Tablas salariales SC'!$P$120,IF(T89=18,'A.0_Tablas salariales SC'!$P$121,IF(T89=20,'A.0_Tablas salariales SC'!$P$122,IF(T89=22,'A.0_Tablas salariales SC'!$P$123,IF(T89=24,'A.0_Tablas salariales SC'!$P$124,IF(T89=26,'A.0_Tablas salariales SC'!$P$125,IF(T89=28,'A.0_Tablas salariales SC'!$P$126,0)))))))))))</f>
        <v>527.70000000000005</v>
      </c>
      <c r="AB89" s="175">
        <f>IF(U89=2,'A.0_Tablas salariales SC'!$P$145,(IF(U89=6,'A.0_Tablas salariales SC'!$P$146,IF(U89=10,'A.0_Tablas salariales SC'!$P$147,IF(U89=14,'A.0_Tablas salariales SC'!$P$148,IF(U89=18,'A.0_Tablas salariales SC'!$P$149,IF(U89=20,'A.0_Tablas salariales SC'!$P$150,IF(U89=22,'A.0_Tablas salariales SC'!$P$151,IF(U89=24,'A.0_Tablas salariales SC'!$P$152,IF(U89=26,'A.0_Tablas salariales SC'!$P$153,IF(U89=28,'A.0_Tablas salariales SC'!$P$154,0)))))))))))</f>
        <v>543.53100000000006</v>
      </c>
      <c r="AC89" s="175">
        <f>IF(V89=2,'A.0_Tablas salariales SC'!$P$173,(IF(V89=6,'A.0_Tablas salariales SC'!$P$174,IF(V89=10,'A.0_Tablas salariales SC'!$P$175,IF(V89=14,'A.0_Tablas salariales SC'!$P$176,IF(V89=18,'A.0_Tablas salariales SC'!$P$177,IF(V89=20,'A.0_Tablas salariales SC'!$P$178,IF(V89=22,'A.0_Tablas salariales SC'!$P$179,IF(V89=24,'A.0_Tablas salariales SC'!$P$180,IF(V89=26,'A.0_Tablas salariales SC'!$P$181,IF(V89=28,'A.0_Tablas salariales SC'!$P$182,0)))))))))))</f>
        <v>559.83693000000005</v>
      </c>
    </row>
    <row r="90" spans="1:29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2">
        <f t="shared" ref="F90:F112" si="91">YEAR(E90)</f>
        <v>1900</v>
      </c>
      <c r="G90" s="173">
        <f t="shared" si="75"/>
        <v>2026</v>
      </c>
      <c r="H90" s="173">
        <f t="shared" si="75"/>
        <v>2032</v>
      </c>
      <c r="I90" s="173">
        <f t="shared" ref="I90:I112" si="92">($I$3-F90)*$I$4</f>
        <v>126</v>
      </c>
      <c r="J90" s="173">
        <f t="shared" ref="J90:J112" si="93">($J$3-F90)*$J$4</f>
        <v>127</v>
      </c>
      <c r="K90" s="173">
        <f t="shared" ref="K90:K112" si="94">($K$3-F90)*$K$4</f>
        <v>128</v>
      </c>
      <c r="L90" s="173">
        <f t="shared" ref="L90:L112" si="95">($L$3-F90)*$L$4</f>
        <v>129</v>
      </c>
      <c r="M90" s="173">
        <f t="shared" ref="M90:M112" si="96">($M$3-F90)*$M$4</f>
        <v>130</v>
      </c>
      <c r="N90" s="173">
        <f t="shared" ref="N90:N112" si="97">($N$3-F90)*$N$4</f>
        <v>131</v>
      </c>
      <c r="O90" s="173">
        <f t="shared" ref="O90:O112" si="98">($O$3-F90)*$O$4</f>
        <v>132</v>
      </c>
      <c r="P90" s="173">
        <f t="shared" ref="P90:P112" si="99">IF(I90&gt;=28,28,IF(I90&gt;=26,26,(IF(I90&gt;=24,24,IF(I90&gt;=22,22,IF(I90&gt;=20,20,IF(I90&gt;=18,18,IF(I90&gt;=14,14,(IF(I90&gt;=10,10,(IF(I90&gt;=6,6,(IF(I90&gt;=2,2,0))))))))))))))</f>
        <v>28</v>
      </c>
      <c r="Q90" s="173">
        <f t="shared" ref="Q90:Q112" si="100">IF(J90&gt;=28,28,IF(J90&gt;=26,26,(IF(J90&gt;=24,24,IF(J90&gt;=22,22,IF(J90&gt;=20,20,IF(J90&gt;=18,18,IF(J90&gt;=14,14,(IF(J90&gt;=10,10,(IF(J90&gt;=6,6,(IF(J90&gt;=2,2,0))))))))))))))</f>
        <v>28</v>
      </c>
      <c r="R90" s="173">
        <f t="shared" ref="R90:R112" si="101">IF(K90&gt;=28,28,IF(K90&gt;=26,26,(IF(K90&gt;=24,24,IF(K90&gt;=22,22,IF(K90&gt;=20,20,IF(K90&gt;=18,18,IF(K90&gt;=14,14,(IF(K90&gt;=10,10,(IF(K90&gt;=6,6,(IF(K90&gt;=2,2,0))))))))))))))</f>
        <v>28</v>
      </c>
      <c r="S90" s="173">
        <f t="shared" ref="S90:S112" si="102">IF(L90&gt;=28,28,IF(L90&gt;=26,26,(IF(L90&gt;=24,24,IF(L90&gt;=22,22,IF(L90&gt;=20,20,IF(L90&gt;=18,18,IF(L90&gt;=14,14,(IF(L90&gt;=10,10,(IF(L90&gt;=6,6,(IF(L90&gt;=2,2,0))))))))))))))</f>
        <v>28</v>
      </c>
      <c r="T90" s="173">
        <f t="shared" ref="T90:T112" si="103">IF(M90&gt;=28,28,IF(M90&gt;=26,26,(IF(M90&gt;=24,24,IF(M90&gt;=22,22,IF(M90&gt;=20,20,IF(M90&gt;=18,18,IF(M90&gt;=14,14,(IF(M90&gt;=10,10,(IF(M90&gt;=6,6,(IF(M90&gt;=2,2,0))))))))))))))</f>
        <v>28</v>
      </c>
      <c r="U90" s="173">
        <f t="shared" ref="U90:U112" si="104">IF(N90&gt;=28,28,IF(N90&gt;=26,26,(IF(N90&gt;=24,24,IF(N90&gt;=22,22,IF(N90&gt;=20,20,IF(N90&gt;=18,18,IF(N90&gt;=14,14,(IF(N90&gt;=10,10,(IF(N90&gt;=6,6,(IF(N90&gt;=2,2,0))))))))))))))</f>
        <v>28</v>
      </c>
      <c r="V90" s="173">
        <f t="shared" ref="V90:V112" si="105">IF(O90&gt;=28,28,IF(O90&gt;=26,26,(IF(O90&gt;=24,24,IF(O90&gt;=22,22,IF(O90&gt;=20,20,IF(O90&gt;=18,18,IF(O90&gt;=14,14,(IF(O90&gt;=10,10,(IF(O90&gt;=6,6,(IF(O90&gt;=2,2,0))))))))))))))</f>
        <v>28</v>
      </c>
      <c r="W90" s="175">
        <f>IF(P90=2,'A.0_Tablas salariales SC'!$P$9,(IF(P90=6,'A.0_Tablas salariales SC'!$P$10,IF(P90=10,'A.0_Tablas salariales SC'!$P$11,IF(P90=14,'A.0_Tablas salariales SC'!$P$12,IF(P90=18,'A.0_Tablas salariales SC'!$P$13,IF(P90=20,'A.0_Tablas salariales SC'!$P$14,IF(P90=22,'A.0_Tablas salariales SC'!$P$15,IF(P90=24,'A.0_Tablas salariales SC'!$P$16,IF(P90=26,'A.0_Tablas salariales SC'!$P$17,IF(P90=28,'A.0_Tablas salariales SC'!$P$18,0)))))))))))</f>
        <v>446.8</v>
      </c>
      <c r="X90" s="175">
        <f>IF(Q90=2,'A.0_Tablas salariales SC'!$P$36,(IF(Q90=6,'A.0_Tablas salariales SC'!$P$37,IF(Q90=10,'A.0_Tablas salariales SC'!$P$38,IF(Q90=14,'A.0_Tablas salariales SC'!$P$39,IF(Q90=18,'A.0_Tablas salariales SC'!$P$40,IF(Q90=20,'A.0_Tablas salariales SC'!$P$41,IF(Q90=22,'A.0_Tablas salariales SC'!$P$42,IF(Q90=24,'A.0_Tablas salariales SC'!$P$43,IF(Q90=26,'A.0_Tablas salariales SC'!$P$44,IF(Q90=28,'A.0_Tablas salariales SC'!$P$45,0)))))))))))</f>
        <v>462.44</v>
      </c>
      <c r="Y90" s="175">
        <f>IF(R90=2,'A.0_Tablas salariales SC'!$P$63,(IF(R90=6,'A.0_Tablas salariales SC'!$P$64,IF(R90=10,'A.0_Tablas salariales SC'!$P$65,IF(R90=14,'A.0_Tablas salariales SC'!$P$66,IF(R90=18,'A.0_Tablas salariales SC'!$P$67,IF(R90=20,'A.0_Tablas salariales SC'!$P$68,IF(R90=22,'A.0_Tablas salariales SC'!$P$69,IF(R90=24,'A.0_Tablas salariales SC'!$P$70,IF(R90=26,'A.0_Tablas salariales SC'!$P$71,IF(R90=28,'A.0_Tablas salariales SC'!$P$72,0)))))))))))</f>
        <v>480.93</v>
      </c>
      <c r="Z90" s="175">
        <f>IF(S90=2,'A.0_Tablas salariales SC'!$P$90,(IF(S90=6,'A.0_Tablas salariales SC'!$P$91,IF(S90=10,'A.0_Tablas salariales SC'!$P$92,IF(S90=14,'A.0_Tablas salariales SC'!$P$93,IF(S90=18,'A.0_Tablas salariales SC'!$P$94,IF(S90=20,'A.0_Tablas salariales SC'!$P$95,IF(S90=22,'A.0_Tablas salariales SC'!$P$96,IF(S90=24,'A.0_Tablas salariales SC'!$P$97,IF(S90=26,'A.0_Tablas salariales SC'!$P$98,IF(S90=28,'A.0_Tablas salariales SC'!$P$99,0)))))))))))</f>
        <v>502.58</v>
      </c>
      <c r="AA90" s="175">
        <f>IF(T90=2,'A.0_Tablas salariales SC'!$P$117,(IF(T90=6,'A.0_Tablas salariales SC'!$P$118,IF(T90=10,'A.0_Tablas salariales SC'!$P$119,IF(T90=14,'A.0_Tablas salariales SC'!$P$120,IF(T90=18,'A.0_Tablas salariales SC'!$P$121,IF(T90=20,'A.0_Tablas salariales SC'!$P$122,IF(T90=22,'A.0_Tablas salariales SC'!$P$123,IF(T90=24,'A.0_Tablas salariales SC'!$P$124,IF(T90=26,'A.0_Tablas salariales SC'!$P$125,IF(T90=28,'A.0_Tablas salariales SC'!$P$126,0)))))))))))</f>
        <v>527.70000000000005</v>
      </c>
      <c r="AB90" s="175">
        <f>IF(U90=2,'A.0_Tablas salariales SC'!$P$145,(IF(U90=6,'A.0_Tablas salariales SC'!$P$146,IF(U90=10,'A.0_Tablas salariales SC'!$P$147,IF(U90=14,'A.0_Tablas salariales SC'!$P$148,IF(U90=18,'A.0_Tablas salariales SC'!$P$149,IF(U90=20,'A.0_Tablas salariales SC'!$P$150,IF(U90=22,'A.0_Tablas salariales SC'!$P$151,IF(U90=24,'A.0_Tablas salariales SC'!$P$152,IF(U90=26,'A.0_Tablas salariales SC'!$P$153,IF(U90=28,'A.0_Tablas salariales SC'!$P$154,0)))))))))))</f>
        <v>543.53100000000006</v>
      </c>
      <c r="AC90" s="175">
        <f>IF(V90=2,'A.0_Tablas salariales SC'!$P$173,(IF(V90=6,'A.0_Tablas salariales SC'!$P$174,IF(V90=10,'A.0_Tablas salariales SC'!$P$175,IF(V90=14,'A.0_Tablas salariales SC'!$P$176,IF(V90=18,'A.0_Tablas salariales SC'!$P$177,IF(V90=20,'A.0_Tablas salariales SC'!$P$178,IF(V90=22,'A.0_Tablas salariales SC'!$P$179,IF(V90=24,'A.0_Tablas salariales SC'!$P$180,IF(V90=26,'A.0_Tablas salariales SC'!$P$181,IF(V90=28,'A.0_Tablas salariales SC'!$P$182,0)))))))))))</f>
        <v>559.83693000000005</v>
      </c>
    </row>
    <row r="91" spans="1:29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2">
        <f t="shared" si="91"/>
        <v>1900</v>
      </c>
      <c r="G91" s="173">
        <f t="shared" si="75"/>
        <v>2026</v>
      </c>
      <c r="H91" s="173">
        <f t="shared" si="75"/>
        <v>2032</v>
      </c>
      <c r="I91" s="173">
        <f t="shared" si="92"/>
        <v>126</v>
      </c>
      <c r="J91" s="173">
        <f t="shared" si="93"/>
        <v>127</v>
      </c>
      <c r="K91" s="173">
        <f t="shared" si="94"/>
        <v>128</v>
      </c>
      <c r="L91" s="173">
        <f t="shared" si="95"/>
        <v>129</v>
      </c>
      <c r="M91" s="173">
        <f t="shared" si="96"/>
        <v>130</v>
      </c>
      <c r="N91" s="173">
        <f t="shared" si="97"/>
        <v>131</v>
      </c>
      <c r="O91" s="173">
        <f t="shared" si="98"/>
        <v>132</v>
      </c>
      <c r="P91" s="173">
        <f t="shared" si="99"/>
        <v>28</v>
      </c>
      <c r="Q91" s="173">
        <f t="shared" si="100"/>
        <v>28</v>
      </c>
      <c r="R91" s="173">
        <f t="shared" si="101"/>
        <v>28</v>
      </c>
      <c r="S91" s="173">
        <f t="shared" si="102"/>
        <v>28</v>
      </c>
      <c r="T91" s="173">
        <f t="shared" si="103"/>
        <v>28</v>
      </c>
      <c r="U91" s="173">
        <f t="shared" si="104"/>
        <v>28</v>
      </c>
      <c r="V91" s="173">
        <f t="shared" si="105"/>
        <v>28</v>
      </c>
      <c r="W91" s="175">
        <f>IF(P91=2,'A.0_Tablas salariales SC'!$P$9,(IF(P91=6,'A.0_Tablas salariales SC'!$P$10,IF(P91=10,'A.0_Tablas salariales SC'!$P$11,IF(P91=14,'A.0_Tablas salariales SC'!$P$12,IF(P91=18,'A.0_Tablas salariales SC'!$P$13,IF(P91=20,'A.0_Tablas salariales SC'!$P$14,IF(P91=22,'A.0_Tablas salariales SC'!$P$15,IF(P91=24,'A.0_Tablas salariales SC'!$P$16,IF(P91=26,'A.0_Tablas salariales SC'!$P$17,IF(P91=28,'A.0_Tablas salariales SC'!$P$18,0)))))))))))</f>
        <v>446.8</v>
      </c>
      <c r="X91" s="175">
        <f>IF(Q91=2,'A.0_Tablas salariales SC'!$P$36,(IF(Q91=6,'A.0_Tablas salariales SC'!$P$37,IF(Q91=10,'A.0_Tablas salariales SC'!$P$38,IF(Q91=14,'A.0_Tablas salariales SC'!$P$39,IF(Q91=18,'A.0_Tablas salariales SC'!$P$40,IF(Q91=20,'A.0_Tablas salariales SC'!$P$41,IF(Q91=22,'A.0_Tablas salariales SC'!$P$42,IF(Q91=24,'A.0_Tablas salariales SC'!$P$43,IF(Q91=26,'A.0_Tablas salariales SC'!$P$44,IF(Q91=28,'A.0_Tablas salariales SC'!$P$45,0)))))))))))</f>
        <v>462.44</v>
      </c>
      <c r="Y91" s="175">
        <f>IF(R91=2,'A.0_Tablas salariales SC'!$P$63,(IF(R91=6,'A.0_Tablas salariales SC'!$P$64,IF(R91=10,'A.0_Tablas salariales SC'!$P$65,IF(R91=14,'A.0_Tablas salariales SC'!$P$66,IF(R91=18,'A.0_Tablas salariales SC'!$P$67,IF(R91=20,'A.0_Tablas salariales SC'!$P$68,IF(R91=22,'A.0_Tablas salariales SC'!$P$69,IF(R91=24,'A.0_Tablas salariales SC'!$P$70,IF(R91=26,'A.0_Tablas salariales SC'!$P$71,IF(R91=28,'A.0_Tablas salariales SC'!$P$72,0)))))))))))</f>
        <v>480.93</v>
      </c>
      <c r="Z91" s="175">
        <f>IF(S91=2,'A.0_Tablas salariales SC'!$P$90,(IF(S91=6,'A.0_Tablas salariales SC'!$P$91,IF(S91=10,'A.0_Tablas salariales SC'!$P$92,IF(S91=14,'A.0_Tablas salariales SC'!$P$93,IF(S91=18,'A.0_Tablas salariales SC'!$P$94,IF(S91=20,'A.0_Tablas salariales SC'!$P$95,IF(S91=22,'A.0_Tablas salariales SC'!$P$96,IF(S91=24,'A.0_Tablas salariales SC'!$P$97,IF(S91=26,'A.0_Tablas salariales SC'!$P$98,IF(S91=28,'A.0_Tablas salariales SC'!$P$99,0)))))))))))</f>
        <v>502.58</v>
      </c>
      <c r="AA91" s="175">
        <f>IF(T91=2,'A.0_Tablas salariales SC'!$P$117,(IF(T91=6,'A.0_Tablas salariales SC'!$P$118,IF(T91=10,'A.0_Tablas salariales SC'!$P$119,IF(T91=14,'A.0_Tablas salariales SC'!$P$120,IF(T91=18,'A.0_Tablas salariales SC'!$P$121,IF(T91=20,'A.0_Tablas salariales SC'!$P$122,IF(T91=22,'A.0_Tablas salariales SC'!$P$123,IF(T91=24,'A.0_Tablas salariales SC'!$P$124,IF(T91=26,'A.0_Tablas salariales SC'!$P$125,IF(T91=28,'A.0_Tablas salariales SC'!$P$126,0)))))))))))</f>
        <v>527.70000000000005</v>
      </c>
      <c r="AB91" s="175">
        <f>IF(U91=2,'A.0_Tablas salariales SC'!$P$145,(IF(U91=6,'A.0_Tablas salariales SC'!$P$146,IF(U91=10,'A.0_Tablas salariales SC'!$P$147,IF(U91=14,'A.0_Tablas salariales SC'!$P$148,IF(U91=18,'A.0_Tablas salariales SC'!$P$149,IF(U91=20,'A.0_Tablas salariales SC'!$P$150,IF(U91=22,'A.0_Tablas salariales SC'!$P$151,IF(U91=24,'A.0_Tablas salariales SC'!$P$152,IF(U91=26,'A.0_Tablas salariales SC'!$P$153,IF(U91=28,'A.0_Tablas salariales SC'!$P$154,0)))))))))))</f>
        <v>543.53100000000006</v>
      </c>
      <c r="AC91" s="175">
        <f>IF(V91=2,'A.0_Tablas salariales SC'!$P$173,(IF(V91=6,'A.0_Tablas salariales SC'!$P$174,IF(V91=10,'A.0_Tablas salariales SC'!$P$175,IF(V91=14,'A.0_Tablas salariales SC'!$P$176,IF(V91=18,'A.0_Tablas salariales SC'!$P$177,IF(V91=20,'A.0_Tablas salariales SC'!$P$178,IF(V91=22,'A.0_Tablas salariales SC'!$P$179,IF(V91=24,'A.0_Tablas salariales SC'!$P$180,IF(V91=26,'A.0_Tablas salariales SC'!$P$181,IF(V91=28,'A.0_Tablas salariales SC'!$P$182,0)))))))))))</f>
        <v>559.83693000000005</v>
      </c>
    </row>
    <row r="92" spans="1:29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2">
        <f t="shared" si="91"/>
        <v>1900</v>
      </c>
      <c r="G92" s="173">
        <f t="shared" si="75"/>
        <v>2026</v>
      </c>
      <c r="H92" s="173">
        <f t="shared" si="75"/>
        <v>2032</v>
      </c>
      <c r="I92" s="173">
        <f t="shared" si="92"/>
        <v>126</v>
      </c>
      <c r="J92" s="173">
        <f t="shared" si="93"/>
        <v>127</v>
      </c>
      <c r="K92" s="173">
        <f t="shared" si="94"/>
        <v>128</v>
      </c>
      <c r="L92" s="173">
        <f t="shared" si="95"/>
        <v>129</v>
      </c>
      <c r="M92" s="173">
        <f t="shared" si="96"/>
        <v>130</v>
      </c>
      <c r="N92" s="173">
        <f t="shared" si="97"/>
        <v>131</v>
      </c>
      <c r="O92" s="173">
        <f t="shared" si="98"/>
        <v>132</v>
      </c>
      <c r="P92" s="173">
        <f t="shared" si="99"/>
        <v>28</v>
      </c>
      <c r="Q92" s="173">
        <f t="shared" si="100"/>
        <v>28</v>
      </c>
      <c r="R92" s="173">
        <f t="shared" si="101"/>
        <v>28</v>
      </c>
      <c r="S92" s="173">
        <f t="shared" si="102"/>
        <v>28</v>
      </c>
      <c r="T92" s="173">
        <f t="shared" si="103"/>
        <v>28</v>
      </c>
      <c r="U92" s="173">
        <f t="shared" si="104"/>
        <v>28</v>
      </c>
      <c r="V92" s="173">
        <f t="shared" si="105"/>
        <v>28</v>
      </c>
      <c r="W92" s="175">
        <f>IF(P92=2,'A.0_Tablas salariales SC'!$P$9,(IF(P92=6,'A.0_Tablas salariales SC'!$P$10,IF(P92=10,'A.0_Tablas salariales SC'!$P$11,IF(P92=14,'A.0_Tablas salariales SC'!$P$12,IF(P92=18,'A.0_Tablas salariales SC'!$P$13,IF(P92=20,'A.0_Tablas salariales SC'!$P$14,IF(P92=22,'A.0_Tablas salariales SC'!$P$15,IF(P92=24,'A.0_Tablas salariales SC'!$P$16,IF(P92=26,'A.0_Tablas salariales SC'!$P$17,IF(P92=28,'A.0_Tablas salariales SC'!$P$18,0)))))))))))</f>
        <v>446.8</v>
      </c>
      <c r="X92" s="175">
        <f>IF(Q92=2,'A.0_Tablas salariales SC'!$P$36,(IF(Q92=6,'A.0_Tablas salariales SC'!$P$37,IF(Q92=10,'A.0_Tablas salariales SC'!$P$38,IF(Q92=14,'A.0_Tablas salariales SC'!$P$39,IF(Q92=18,'A.0_Tablas salariales SC'!$P$40,IF(Q92=20,'A.0_Tablas salariales SC'!$P$41,IF(Q92=22,'A.0_Tablas salariales SC'!$P$42,IF(Q92=24,'A.0_Tablas salariales SC'!$P$43,IF(Q92=26,'A.0_Tablas salariales SC'!$P$44,IF(Q92=28,'A.0_Tablas salariales SC'!$P$45,0)))))))))))</f>
        <v>462.44</v>
      </c>
      <c r="Y92" s="175">
        <f>IF(R92=2,'A.0_Tablas salariales SC'!$P$63,(IF(R92=6,'A.0_Tablas salariales SC'!$P$64,IF(R92=10,'A.0_Tablas salariales SC'!$P$65,IF(R92=14,'A.0_Tablas salariales SC'!$P$66,IF(R92=18,'A.0_Tablas salariales SC'!$P$67,IF(R92=20,'A.0_Tablas salariales SC'!$P$68,IF(R92=22,'A.0_Tablas salariales SC'!$P$69,IF(R92=24,'A.0_Tablas salariales SC'!$P$70,IF(R92=26,'A.0_Tablas salariales SC'!$P$71,IF(R92=28,'A.0_Tablas salariales SC'!$P$72,0)))))))))))</f>
        <v>480.93</v>
      </c>
      <c r="Z92" s="175">
        <f>IF(S92=2,'A.0_Tablas salariales SC'!$P$90,(IF(S92=6,'A.0_Tablas salariales SC'!$P$91,IF(S92=10,'A.0_Tablas salariales SC'!$P$92,IF(S92=14,'A.0_Tablas salariales SC'!$P$93,IF(S92=18,'A.0_Tablas salariales SC'!$P$94,IF(S92=20,'A.0_Tablas salariales SC'!$P$95,IF(S92=22,'A.0_Tablas salariales SC'!$P$96,IF(S92=24,'A.0_Tablas salariales SC'!$P$97,IF(S92=26,'A.0_Tablas salariales SC'!$P$98,IF(S92=28,'A.0_Tablas salariales SC'!$P$99,0)))))))))))</f>
        <v>502.58</v>
      </c>
      <c r="AA92" s="175">
        <f>IF(T92=2,'A.0_Tablas salariales SC'!$P$117,(IF(T92=6,'A.0_Tablas salariales SC'!$P$118,IF(T92=10,'A.0_Tablas salariales SC'!$P$119,IF(T92=14,'A.0_Tablas salariales SC'!$P$120,IF(T92=18,'A.0_Tablas salariales SC'!$P$121,IF(T92=20,'A.0_Tablas salariales SC'!$P$122,IF(T92=22,'A.0_Tablas salariales SC'!$P$123,IF(T92=24,'A.0_Tablas salariales SC'!$P$124,IF(T92=26,'A.0_Tablas salariales SC'!$P$125,IF(T92=28,'A.0_Tablas salariales SC'!$P$126,0)))))))))))</f>
        <v>527.70000000000005</v>
      </c>
      <c r="AB92" s="175">
        <f>IF(U92=2,'A.0_Tablas salariales SC'!$P$145,(IF(U92=6,'A.0_Tablas salariales SC'!$P$146,IF(U92=10,'A.0_Tablas salariales SC'!$P$147,IF(U92=14,'A.0_Tablas salariales SC'!$P$148,IF(U92=18,'A.0_Tablas salariales SC'!$P$149,IF(U92=20,'A.0_Tablas salariales SC'!$P$150,IF(U92=22,'A.0_Tablas salariales SC'!$P$151,IF(U92=24,'A.0_Tablas salariales SC'!$P$152,IF(U92=26,'A.0_Tablas salariales SC'!$P$153,IF(U92=28,'A.0_Tablas salariales SC'!$P$154,0)))))))))))</f>
        <v>543.53100000000006</v>
      </c>
      <c r="AC92" s="175">
        <f>IF(V92=2,'A.0_Tablas salariales SC'!$P$173,(IF(V92=6,'A.0_Tablas salariales SC'!$P$174,IF(V92=10,'A.0_Tablas salariales SC'!$P$175,IF(V92=14,'A.0_Tablas salariales SC'!$P$176,IF(V92=18,'A.0_Tablas salariales SC'!$P$177,IF(V92=20,'A.0_Tablas salariales SC'!$P$178,IF(V92=22,'A.0_Tablas salariales SC'!$P$179,IF(V92=24,'A.0_Tablas salariales SC'!$P$180,IF(V92=26,'A.0_Tablas salariales SC'!$P$181,IF(V92=28,'A.0_Tablas salariales SC'!$P$182,0)))))))))))</f>
        <v>559.83693000000005</v>
      </c>
    </row>
    <row r="93" spans="1:29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2">
        <f t="shared" si="91"/>
        <v>1900</v>
      </c>
      <c r="G93" s="173">
        <f t="shared" si="75"/>
        <v>2026</v>
      </c>
      <c r="H93" s="173">
        <f t="shared" si="75"/>
        <v>2032</v>
      </c>
      <c r="I93" s="173">
        <f t="shared" si="92"/>
        <v>126</v>
      </c>
      <c r="J93" s="173">
        <f t="shared" si="93"/>
        <v>127</v>
      </c>
      <c r="K93" s="173">
        <f t="shared" si="94"/>
        <v>128</v>
      </c>
      <c r="L93" s="173">
        <f t="shared" si="95"/>
        <v>129</v>
      </c>
      <c r="M93" s="173">
        <f t="shared" si="96"/>
        <v>130</v>
      </c>
      <c r="N93" s="173">
        <f t="shared" si="97"/>
        <v>131</v>
      </c>
      <c r="O93" s="173">
        <f t="shared" si="98"/>
        <v>132</v>
      </c>
      <c r="P93" s="173">
        <f t="shared" si="99"/>
        <v>28</v>
      </c>
      <c r="Q93" s="173">
        <f t="shared" si="100"/>
        <v>28</v>
      </c>
      <c r="R93" s="173">
        <f t="shared" si="101"/>
        <v>28</v>
      </c>
      <c r="S93" s="173">
        <f t="shared" si="102"/>
        <v>28</v>
      </c>
      <c r="T93" s="173">
        <f t="shared" si="103"/>
        <v>28</v>
      </c>
      <c r="U93" s="173">
        <f t="shared" si="104"/>
        <v>28</v>
      </c>
      <c r="V93" s="173">
        <f t="shared" si="105"/>
        <v>28</v>
      </c>
      <c r="W93" s="175">
        <f>IF(P93=2,'A.0_Tablas salariales SC'!$P$9,(IF(P93=6,'A.0_Tablas salariales SC'!$P$10,IF(P93=10,'A.0_Tablas salariales SC'!$P$11,IF(P93=14,'A.0_Tablas salariales SC'!$P$12,IF(P93=18,'A.0_Tablas salariales SC'!$P$13,IF(P93=20,'A.0_Tablas salariales SC'!$P$14,IF(P93=22,'A.0_Tablas salariales SC'!$P$15,IF(P93=24,'A.0_Tablas salariales SC'!$P$16,IF(P93=26,'A.0_Tablas salariales SC'!$P$17,IF(P93=28,'A.0_Tablas salariales SC'!$P$18,0)))))))))))</f>
        <v>446.8</v>
      </c>
      <c r="X93" s="175">
        <f>IF(Q93=2,'A.0_Tablas salariales SC'!$P$36,(IF(Q93=6,'A.0_Tablas salariales SC'!$P$37,IF(Q93=10,'A.0_Tablas salariales SC'!$P$38,IF(Q93=14,'A.0_Tablas salariales SC'!$P$39,IF(Q93=18,'A.0_Tablas salariales SC'!$P$40,IF(Q93=20,'A.0_Tablas salariales SC'!$P$41,IF(Q93=22,'A.0_Tablas salariales SC'!$P$42,IF(Q93=24,'A.0_Tablas salariales SC'!$P$43,IF(Q93=26,'A.0_Tablas salariales SC'!$P$44,IF(Q93=28,'A.0_Tablas salariales SC'!$P$45,0)))))))))))</f>
        <v>462.44</v>
      </c>
      <c r="Y93" s="175">
        <f>IF(R93=2,'A.0_Tablas salariales SC'!$P$63,(IF(R93=6,'A.0_Tablas salariales SC'!$P$64,IF(R93=10,'A.0_Tablas salariales SC'!$P$65,IF(R93=14,'A.0_Tablas salariales SC'!$P$66,IF(R93=18,'A.0_Tablas salariales SC'!$P$67,IF(R93=20,'A.0_Tablas salariales SC'!$P$68,IF(R93=22,'A.0_Tablas salariales SC'!$P$69,IF(R93=24,'A.0_Tablas salariales SC'!$P$70,IF(R93=26,'A.0_Tablas salariales SC'!$P$71,IF(R93=28,'A.0_Tablas salariales SC'!$P$72,0)))))))))))</f>
        <v>480.93</v>
      </c>
      <c r="Z93" s="175">
        <f>IF(S93=2,'A.0_Tablas salariales SC'!$P$90,(IF(S93=6,'A.0_Tablas salariales SC'!$P$91,IF(S93=10,'A.0_Tablas salariales SC'!$P$92,IF(S93=14,'A.0_Tablas salariales SC'!$P$93,IF(S93=18,'A.0_Tablas salariales SC'!$P$94,IF(S93=20,'A.0_Tablas salariales SC'!$P$95,IF(S93=22,'A.0_Tablas salariales SC'!$P$96,IF(S93=24,'A.0_Tablas salariales SC'!$P$97,IF(S93=26,'A.0_Tablas salariales SC'!$P$98,IF(S93=28,'A.0_Tablas salariales SC'!$P$99,0)))))))))))</f>
        <v>502.58</v>
      </c>
      <c r="AA93" s="175">
        <f>IF(T93=2,'A.0_Tablas salariales SC'!$P$117,(IF(T93=6,'A.0_Tablas salariales SC'!$P$118,IF(T93=10,'A.0_Tablas salariales SC'!$P$119,IF(T93=14,'A.0_Tablas salariales SC'!$P$120,IF(T93=18,'A.0_Tablas salariales SC'!$P$121,IF(T93=20,'A.0_Tablas salariales SC'!$P$122,IF(T93=22,'A.0_Tablas salariales SC'!$P$123,IF(T93=24,'A.0_Tablas salariales SC'!$P$124,IF(T93=26,'A.0_Tablas salariales SC'!$P$125,IF(T93=28,'A.0_Tablas salariales SC'!$P$126,0)))))))))))</f>
        <v>527.70000000000005</v>
      </c>
      <c r="AB93" s="175">
        <f>IF(U93=2,'A.0_Tablas salariales SC'!$P$145,(IF(U93=6,'A.0_Tablas salariales SC'!$P$146,IF(U93=10,'A.0_Tablas salariales SC'!$P$147,IF(U93=14,'A.0_Tablas salariales SC'!$P$148,IF(U93=18,'A.0_Tablas salariales SC'!$P$149,IF(U93=20,'A.0_Tablas salariales SC'!$P$150,IF(U93=22,'A.0_Tablas salariales SC'!$P$151,IF(U93=24,'A.0_Tablas salariales SC'!$P$152,IF(U93=26,'A.0_Tablas salariales SC'!$P$153,IF(U93=28,'A.0_Tablas salariales SC'!$P$154,0)))))))))))</f>
        <v>543.53100000000006</v>
      </c>
      <c r="AC93" s="175">
        <f>IF(V93=2,'A.0_Tablas salariales SC'!$P$173,(IF(V93=6,'A.0_Tablas salariales SC'!$P$174,IF(V93=10,'A.0_Tablas salariales SC'!$P$175,IF(V93=14,'A.0_Tablas salariales SC'!$P$176,IF(V93=18,'A.0_Tablas salariales SC'!$P$177,IF(V93=20,'A.0_Tablas salariales SC'!$P$178,IF(V93=22,'A.0_Tablas salariales SC'!$P$179,IF(V93=24,'A.0_Tablas salariales SC'!$P$180,IF(V93=26,'A.0_Tablas salariales SC'!$P$181,IF(V93=28,'A.0_Tablas salariales SC'!$P$182,0)))))))))))</f>
        <v>559.83693000000005</v>
      </c>
    </row>
    <row r="94" spans="1:29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2">
        <f t="shared" si="91"/>
        <v>1900</v>
      </c>
      <c r="G94" s="173">
        <f t="shared" si="75"/>
        <v>2026</v>
      </c>
      <c r="H94" s="173">
        <f t="shared" si="75"/>
        <v>2032</v>
      </c>
      <c r="I94" s="173">
        <f t="shared" si="92"/>
        <v>126</v>
      </c>
      <c r="J94" s="173">
        <f t="shared" si="93"/>
        <v>127</v>
      </c>
      <c r="K94" s="173">
        <f t="shared" si="94"/>
        <v>128</v>
      </c>
      <c r="L94" s="173">
        <f t="shared" si="95"/>
        <v>129</v>
      </c>
      <c r="M94" s="173">
        <f t="shared" si="96"/>
        <v>130</v>
      </c>
      <c r="N94" s="173">
        <f t="shared" si="97"/>
        <v>131</v>
      </c>
      <c r="O94" s="173">
        <f t="shared" si="98"/>
        <v>132</v>
      </c>
      <c r="P94" s="173">
        <f t="shared" si="99"/>
        <v>28</v>
      </c>
      <c r="Q94" s="173">
        <f t="shared" si="100"/>
        <v>28</v>
      </c>
      <c r="R94" s="173">
        <f t="shared" si="101"/>
        <v>28</v>
      </c>
      <c r="S94" s="173">
        <f t="shared" si="102"/>
        <v>28</v>
      </c>
      <c r="T94" s="173">
        <f t="shared" si="103"/>
        <v>28</v>
      </c>
      <c r="U94" s="173">
        <f t="shared" si="104"/>
        <v>28</v>
      </c>
      <c r="V94" s="173">
        <f t="shared" si="105"/>
        <v>28</v>
      </c>
      <c r="W94" s="175">
        <f>IF(P94=2,'A.0_Tablas salariales SC'!$P$9,(IF(P94=6,'A.0_Tablas salariales SC'!$P$10,IF(P94=10,'A.0_Tablas salariales SC'!$P$11,IF(P94=14,'A.0_Tablas salariales SC'!$P$12,IF(P94=18,'A.0_Tablas salariales SC'!$P$13,IF(P94=20,'A.0_Tablas salariales SC'!$P$14,IF(P94=22,'A.0_Tablas salariales SC'!$P$15,IF(P94=24,'A.0_Tablas salariales SC'!$P$16,IF(P94=26,'A.0_Tablas salariales SC'!$P$17,IF(P94=28,'A.0_Tablas salariales SC'!$P$18,0)))))))))))</f>
        <v>446.8</v>
      </c>
      <c r="X94" s="175">
        <f>IF(Q94=2,'A.0_Tablas salariales SC'!$P$36,(IF(Q94=6,'A.0_Tablas salariales SC'!$P$37,IF(Q94=10,'A.0_Tablas salariales SC'!$P$38,IF(Q94=14,'A.0_Tablas salariales SC'!$P$39,IF(Q94=18,'A.0_Tablas salariales SC'!$P$40,IF(Q94=20,'A.0_Tablas salariales SC'!$P$41,IF(Q94=22,'A.0_Tablas salariales SC'!$P$42,IF(Q94=24,'A.0_Tablas salariales SC'!$P$43,IF(Q94=26,'A.0_Tablas salariales SC'!$P$44,IF(Q94=28,'A.0_Tablas salariales SC'!$P$45,0)))))))))))</f>
        <v>462.44</v>
      </c>
      <c r="Y94" s="175">
        <f>IF(R94=2,'A.0_Tablas salariales SC'!$P$63,(IF(R94=6,'A.0_Tablas salariales SC'!$P$64,IF(R94=10,'A.0_Tablas salariales SC'!$P$65,IF(R94=14,'A.0_Tablas salariales SC'!$P$66,IF(R94=18,'A.0_Tablas salariales SC'!$P$67,IF(R94=20,'A.0_Tablas salariales SC'!$P$68,IF(R94=22,'A.0_Tablas salariales SC'!$P$69,IF(R94=24,'A.0_Tablas salariales SC'!$P$70,IF(R94=26,'A.0_Tablas salariales SC'!$P$71,IF(R94=28,'A.0_Tablas salariales SC'!$P$72,0)))))))))))</f>
        <v>480.93</v>
      </c>
      <c r="Z94" s="175">
        <f>IF(S94=2,'A.0_Tablas salariales SC'!$P$90,(IF(S94=6,'A.0_Tablas salariales SC'!$P$91,IF(S94=10,'A.0_Tablas salariales SC'!$P$92,IF(S94=14,'A.0_Tablas salariales SC'!$P$93,IF(S94=18,'A.0_Tablas salariales SC'!$P$94,IF(S94=20,'A.0_Tablas salariales SC'!$P$95,IF(S94=22,'A.0_Tablas salariales SC'!$P$96,IF(S94=24,'A.0_Tablas salariales SC'!$P$97,IF(S94=26,'A.0_Tablas salariales SC'!$P$98,IF(S94=28,'A.0_Tablas salariales SC'!$P$99,0)))))))))))</f>
        <v>502.58</v>
      </c>
      <c r="AA94" s="175">
        <f>IF(T94=2,'A.0_Tablas salariales SC'!$P$117,(IF(T94=6,'A.0_Tablas salariales SC'!$P$118,IF(T94=10,'A.0_Tablas salariales SC'!$P$119,IF(T94=14,'A.0_Tablas salariales SC'!$P$120,IF(T94=18,'A.0_Tablas salariales SC'!$P$121,IF(T94=20,'A.0_Tablas salariales SC'!$P$122,IF(T94=22,'A.0_Tablas salariales SC'!$P$123,IF(T94=24,'A.0_Tablas salariales SC'!$P$124,IF(T94=26,'A.0_Tablas salariales SC'!$P$125,IF(T94=28,'A.0_Tablas salariales SC'!$P$126,0)))))))))))</f>
        <v>527.70000000000005</v>
      </c>
      <c r="AB94" s="175">
        <f>IF(U94=2,'A.0_Tablas salariales SC'!$P$145,(IF(U94=6,'A.0_Tablas salariales SC'!$P$146,IF(U94=10,'A.0_Tablas salariales SC'!$P$147,IF(U94=14,'A.0_Tablas salariales SC'!$P$148,IF(U94=18,'A.0_Tablas salariales SC'!$P$149,IF(U94=20,'A.0_Tablas salariales SC'!$P$150,IF(U94=22,'A.0_Tablas salariales SC'!$P$151,IF(U94=24,'A.0_Tablas salariales SC'!$P$152,IF(U94=26,'A.0_Tablas salariales SC'!$P$153,IF(U94=28,'A.0_Tablas salariales SC'!$P$154,0)))))))))))</f>
        <v>543.53100000000006</v>
      </c>
      <c r="AC94" s="175">
        <f>IF(V94=2,'A.0_Tablas salariales SC'!$P$173,(IF(V94=6,'A.0_Tablas salariales SC'!$P$174,IF(V94=10,'A.0_Tablas salariales SC'!$P$175,IF(V94=14,'A.0_Tablas salariales SC'!$P$176,IF(V94=18,'A.0_Tablas salariales SC'!$P$177,IF(V94=20,'A.0_Tablas salariales SC'!$P$178,IF(V94=22,'A.0_Tablas salariales SC'!$P$179,IF(V94=24,'A.0_Tablas salariales SC'!$P$180,IF(V94=26,'A.0_Tablas salariales SC'!$P$181,IF(V94=28,'A.0_Tablas salariales SC'!$P$182,0)))))))))))</f>
        <v>559.83693000000005</v>
      </c>
    </row>
    <row r="95" spans="1:29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2">
        <f t="shared" si="91"/>
        <v>1900</v>
      </c>
      <c r="G95" s="173">
        <f t="shared" si="75"/>
        <v>2026</v>
      </c>
      <c r="H95" s="173">
        <f t="shared" si="75"/>
        <v>2032</v>
      </c>
      <c r="I95" s="173">
        <f t="shared" si="92"/>
        <v>126</v>
      </c>
      <c r="J95" s="173">
        <f t="shared" si="93"/>
        <v>127</v>
      </c>
      <c r="K95" s="173">
        <f t="shared" si="94"/>
        <v>128</v>
      </c>
      <c r="L95" s="173">
        <f t="shared" si="95"/>
        <v>129</v>
      </c>
      <c r="M95" s="173">
        <f t="shared" si="96"/>
        <v>130</v>
      </c>
      <c r="N95" s="173">
        <f t="shared" si="97"/>
        <v>131</v>
      </c>
      <c r="O95" s="173">
        <f t="shared" si="98"/>
        <v>132</v>
      </c>
      <c r="P95" s="173">
        <f t="shared" si="99"/>
        <v>28</v>
      </c>
      <c r="Q95" s="173">
        <f t="shared" si="100"/>
        <v>28</v>
      </c>
      <c r="R95" s="173">
        <f t="shared" si="101"/>
        <v>28</v>
      </c>
      <c r="S95" s="173">
        <f t="shared" si="102"/>
        <v>28</v>
      </c>
      <c r="T95" s="173">
        <f t="shared" si="103"/>
        <v>28</v>
      </c>
      <c r="U95" s="173">
        <f t="shared" si="104"/>
        <v>28</v>
      </c>
      <c r="V95" s="173">
        <f t="shared" si="105"/>
        <v>28</v>
      </c>
      <c r="W95" s="175">
        <f>IF(P95=2,'A.0_Tablas salariales SC'!$P$9,(IF(P95=6,'A.0_Tablas salariales SC'!$P$10,IF(P95=10,'A.0_Tablas salariales SC'!$P$11,IF(P95=14,'A.0_Tablas salariales SC'!$P$12,IF(P95=18,'A.0_Tablas salariales SC'!$P$13,IF(P95=20,'A.0_Tablas salariales SC'!$P$14,IF(P95=22,'A.0_Tablas salariales SC'!$P$15,IF(P95=24,'A.0_Tablas salariales SC'!$P$16,IF(P95=26,'A.0_Tablas salariales SC'!$P$17,IF(P95=28,'A.0_Tablas salariales SC'!$P$18,0)))))))))))</f>
        <v>446.8</v>
      </c>
      <c r="X95" s="175">
        <f>IF(Q95=2,'A.0_Tablas salariales SC'!$P$36,(IF(Q95=6,'A.0_Tablas salariales SC'!$P$37,IF(Q95=10,'A.0_Tablas salariales SC'!$P$38,IF(Q95=14,'A.0_Tablas salariales SC'!$P$39,IF(Q95=18,'A.0_Tablas salariales SC'!$P$40,IF(Q95=20,'A.0_Tablas salariales SC'!$P$41,IF(Q95=22,'A.0_Tablas salariales SC'!$P$42,IF(Q95=24,'A.0_Tablas salariales SC'!$P$43,IF(Q95=26,'A.0_Tablas salariales SC'!$P$44,IF(Q95=28,'A.0_Tablas salariales SC'!$P$45,0)))))))))))</f>
        <v>462.44</v>
      </c>
      <c r="Y95" s="175">
        <f>IF(R95=2,'A.0_Tablas salariales SC'!$P$63,(IF(R95=6,'A.0_Tablas salariales SC'!$P$64,IF(R95=10,'A.0_Tablas salariales SC'!$P$65,IF(R95=14,'A.0_Tablas salariales SC'!$P$66,IF(R95=18,'A.0_Tablas salariales SC'!$P$67,IF(R95=20,'A.0_Tablas salariales SC'!$P$68,IF(R95=22,'A.0_Tablas salariales SC'!$P$69,IF(R95=24,'A.0_Tablas salariales SC'!$P$70,IF(R95=26,'A.0_Tablas salariales SC'!$P$71,IF(R95=28,'A.0_Tablas salariales SC'!$P$72,0)))))))))))</f>
        <v>480.93</v>
      </c>
      <c r="Z95" s="175">
        <f>IF(S95=2,'A.0_Tablas salariales SC'!$P$90,(IF(S95=6,'A.0_Tablas salariales SC'!$P$91,IF(S95=10,'A.0_Tablas salariales SC'!$P$92,IF(S95=14,'A.0_Tablas salariales SC'!$P$93,IF(S95=18,'A.0_Tablas salariales SC'!$P$94,IF(S95=20,'A.0_Tablas salariales SC'!$P$95,IF(S95=22,'A.0_Tablas salariales SC'!$P$96,IF(S95=24,'A.0_Tablas salariales SC'!$P$97,IF(S95=26,'A.0_Tablas salariales SC'!$P$98,IF(S95=28,'A.0_Tablas salariales SC'!$P$99,0)))))))))))</f>
        <v>502.58</v>
      </c>
      <c r="AA95" s="175">
        <f>IF(T95=2,'A.0_Tablas salariales SC'!$P$117,(IF(T95=6,'A.0_Tablas salariales SC'!$P$118,IF(T95=10,'A.0_Tablas salariales SC'!$P$119,IF(T95=14,'A.0_Tablas salariales SC'!$P$120,IF(T95=18,'A.0_Tablas salariales SC'!$P$121,IF(T95=20,'A.0_Tablas salariales SC'!$P$122,IF(T95=22,'A.0_Tablas salariales SC'!$P$123,IF(T95=24,'A.0_Tablas salariales SC'!$P$124,IF(T95=26,'A.0_Tablas salariales SC'!$P$125,IF(T95=28,'A.0_Tablas salariales SC'!$P$126,0)))))))))))</f>
        <v>527.70000000000005</v>
      </c>
      <c r="AB95" s="175">
        <f>IF(U95=2,'A.0_Tablas salariales SC'!$P$145,(IF(U95=6,'A.0_Tablas salariales SC'!$P$146,IF(U95=10,'A.0_Tablas salariales SC'!$P$147,IF(U95=14,'A.0_Tablas salariales SC'!$P$148,IF(U95=18,'A.0_Tablas salariales SC'!$P$149,IF(U95=20,'A.0_Tablas salariales SC'!$P$150,IF(U95=22,'A.0_Tablas salariales SC'!$P$151,IF(U95=24,'A.0_Tablas salariales SC'!$P$152,IF(U95=26,'A.0_Tablas salariales SC'!$P$153,IF(U95=28,'A.0_Tablas salariales SC'!$P$154,0)))))))))))</f>
        <v>543.53100000000006</v>
      </c>
      <c r="AC95" s="175">
        <f>IF(V95=2,'A.0_Tablas salariales SC'!$P$173,(IF(V95=6,'A.0_Tablas salariales SC'!$P$174,IF(V95=10,'A.0_Tablas salariales SC'!$P$175,IF(V95=14,'A.0_Tablas salariales SC'!$P$176,IF(V95=18,'A.0_Tablas salariales SC'!$P$177,IF(V95=20,'A.0_Tablas salariales SC'!$P$178,IF(V95=22,'A.0_Tablas salariales SC'!$P$179,IF(V95=24,'A.0_Tablas salariales SC'!$P$180,IF(V95=26,'A.0_Tablas salariales SC'!$P$181,IF(V95=28,'A.0_Tablas salariales SC'!$P$182,0)))))))))))</f>
        <v>559.83693000000005</v>
      </c>
    </row>
    <row r="96" spans="1:29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2">
        <f t="shared" si="91"/>
        <v>1900</v>
      </c>
      <c r="G96" s="173">
        <f t="shared" si="75"/>
        <v>2026</v>
      </c>
      <c r="H96" s="173">
        <f t="shared" si="75"/>
        <v>2032</v>
      </c>
      <c r="I96" s="173">
        <f t="shared" si="92"/>
        <v>126</v>
      </c>
      <c r="J96" s="173">
        <f t="shared" si="93"/>
        <v>127</v>
      </c>
      <c r="K96" s="173">
        <f t="shared" si="94"/>
        <v>128</v>
      </c>
      <c r="L96" s="173">
        <f t="shared" si="95"/>
        <v>129</v>
      </c>
      <c r="M96" s="173">
        <f t="shared" si="96"/>
        <v>130</v>
      </c>
      <c r="N96" s="173">
        <f t="shared" si="97"/>
        <v>131</v>
      </c>
      <c r="O96" s="173">
        <f t="shared" si="98"/>
        <v>132</v>
      </c>
      <c r="P96" s="173">
        <f t="shared" si="99"/>
        <v>28</v>
      </c>
      <c r="Q96" s="173">
        <f t="shared" si="100"/>
        <v>28</v>
      </c>
      <c r="R96" s="173">
        <f t="shared" si="101"/>
        <v>28</v>
      </c>
      <c r="S96" s="173">
        <f t="shared" si="102"/>
        <v>28</v>
      </c>
      <c r="T96" s="173">
        <f t="shared" si="103"/>
        <v>28</v>
      </c>
      <c r="U96" s="173">
        <f t="shared" si="104"/>
        <v>28</v>
      </c>
      <c r="V96" s="173">
        <f t="shared" si="105"/>
        <v>28</v>
      </c>
      <c r="W96" s="175">
        <f>IF(P96=2,'A.0_Tablas salariales SC'!$P$9,(IF(P96=6,'A.0_Tablas salariales SC'!$P$10,IF(P96=10,'A.0_Tablas salariales SC'!$P$11,IF(P96=14,'A.0_Tablas salariales SC'!$P$12,IF(P96=18,'A.0_Tablas salariales SC'!$P$13,IF(P96=20,'A.0_Tablas salariales SC'!$P$14,IF(P96=22,'A.0_Tablas salariales SC'!$P$15,IF(P96=24,'A.0_Tablas salariales SC'!$P$16,IF(P96=26,'A.0_Tablas salariales SC'!$P$17,IF(P96=28,'A.0_Tablas salariales SC'!$P$18,0)))))))))))</f>
        <v>446.8</v>
      </c>
      <c r="X96" s="175">
        <f>IF(Q96=2,'A.0_Tablas salariales SC'!$P$36,(IF(Q96=6,'A.0_Tablas salariales SC'!$P$37,IF(Q96=10,'A.0_Tablas salariales SC'!$P$38,IF(Q96=14,'A.0_Tablas salariales SC'!$P$39,IF(Q96=18,'A.0_Tablas salariales SC'!$P$40,IF(Q96=20,'A.0_Tablas salariales SC'!$P$41,IF(Q96=22,'A.0_Tablas salariales SC'!$P$42,IF(Q96=24,'A.0_Tablas salariales SC'!$P$43,IF(Q96=26,'A.0_Tablas salariales SC'!$P$44,IF(Q96=28,'A.0_Tablas salariales SC'!$P$45,0)))))))))))</f>
        <v>462.44</v>
      </c>
      <c r="Y96" s="175">
        <f>IF(R96=2,'A.0_Tablas salariales SC'!$P$63,(IF(R96=6,'A.0_Tablas salariales SC'!$P$64,IF(R96=10,'A.0_Tablas salariales SC'!$P$65,IF(R96=14,'A.0_Tablas salariales SC'!$P$66,IF(R96=18,'A.0_Tablas salariales SC'!$P$67,IF(R96=20,'A.0_Tablas salariales SC'!$P$68,IF(R96=22,'A.0_Tablas salariales SC'!$P$69,IF(R96=24,'A.0_Tablas salariales SC'!$P$70,IF(R96=26,'A.0_Tablas salariales SC'!$P$71,IF(R96=28,'A.0_Tablas salariales SC'!$P$72,0)))))))))))</f>
        <v>480.93</v>
      </c>
      <c r="Z96" s="175">
        <f>IF(S96=2,'A.0_Tablas salariales SC'!$P$90,(IF(S96=6,'A.0_Tablas salariales SC'!$P$91,IF(S96=10,'A.0_Tablas salariales SC'!$P$92,IF(S96=14,'A.0_Tablas salariales SC'!$P$93,IF(S96=18,'A.0_Tablas salariales SC'!$P$94,IF(S96=20,'A.0_Tablas salariales SC'!$P$95,IF(S96=22,'A.0_Tablas salariales SC'!$P$96,IF(S96=24,'A.0_Tablas salariales SC'!$P$97,IF(S96=26,'A.0_Tablas salariales SC'!$P$98,IF(S96=28,'A.0_Tablas salariales SC'!$P$99,0)))))))))))</f>
        <v>502.58</v>
      </c>
      <c r="AA96" s="175">
        <f>IF(T96=2,'A.0_Tablas salariales SC'!$P$117,(IF(T96=6,'A.0_Tablas salariales SC'!$P$118,IF(T96=10,'A.0_Tablas salariales SC'!$P$119,IF(T96=14,'A.0_Tablas salariales SC'!$P$120,IF(T96=18,'A.0_Tablas salariales SC'!$P$121,IF(T96=20,'A.0_Tablas salariales SC'!$P$122,IF(T96=22,'A.0_Tablas salariales SC'!$P$123,IF(T96=24,'A.0_Tablas salariales SC'!$P$124,IF(T96=26,'A.0_Tablas salariales SC'!$P$125,IF(T96=28,'A.0_Tablas salariales SC'!$P$126,0)))))))))))</f>
        <v>527.70000000000005</v>
      </c>
      <c r="AB96" s="175">
        <f>IF(U96=2,'A.0_Tablas salariales SC'!$P$145,(IF(U96=6,'A.0_Tablas salariales SC'!$P$146,IF(U96=10,'A.0_Tablas salariales SC'!$P$147,IF(U96=14,'A.0_Tablas salariales SC'!$P$148,IF(U96=18,'A.0_Tablas salariales SC'!$P$149,IF(U96=20,'A.0_Tablas salariales SC'!$P$150,IF(U96=22,'A.0_Tablas salariales SC'!$P$151,IF(U96=24,'A.0_Tablas salariales SC'!$P$152,IF(U96=26,'A.0_Tablas salariales SC'!$P$153,IF(U96=28,'A.0_Tablas salariales SC'!$P$154,0)))))))))))</f>
        <v>543.53100000000006</v>
      </c>
      <c r="AC96" s="175">
        <f>IF(V96=2,'A.0_Tablas salariales SC'!$P$173,(IF(V96=6,'A.0_Tablas salariales SC'!$P$174,IF(V96=10,'A.0_Tablas salariales SC'!$P$175,IF(V96=14,'A.0_Tablas salariales SC'!$P$176,IF(V96=18,'A.0_Tablas salariales SC'!$P$177,IF(V96=20,'A.0_Tablas salariales SC'!$P$178,IF(V96=22,'A.0_Tablas salariales SC'!$P$179,IF(V96=24,'A.0_Tablas salariales SC'!$P$180,IF(V96=26,'A.0_Tablas salariales SC'!$P$181,IF(V96=28,'A.0_Tablas salariales SC'!$P$182,0)))))))))))</f>
        <v>559.83693000000005</v>
      </c>
    </row>
    <row r="97" spans="1:29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2">
        <f t="shared" si="91"/>
        <v>1900</v>
      </c>
      <c r="G97" s="173">
        <f t="shared" si="75"/>
        <v>2026</v>
      </c>
      <c r="H97" s="173">
        <f t="shared" si="75"/>
        <v>2032</v>
      </c>
      <c r="I97" s="173">
        <f t="shared" si="92"/>
        <v>126</v>
      </c>
      <c r="J97" s="173">
        <f t="shared" si="93"/>
        <v>127</v>
      </c>
      <c r="K97" s="173">
        <f t="shared" si="94"/>
        <v>128</v>
      </c>
      <c r="L97" s="173">
        <f t="shared" si="95"/>
        <v>129</v>
      </c>
      <c r="M97" s="173">
        <f t="shared" si="96"/>
        <v>130</v>
      </c>
      <c r="N97" s="173">
        <f t="shared" si="97"/>
        <v>131</v>
      </c>
      <c r="O97" s="173">
        <f t="shared" si="98"/>
        <v>132</v>
      </c>
      <c r="P97" s="173">
        <f t="shared" si="99"/>
        <v>28</v>
      </c>
      <c r="Q97" s="173">
        <f t="shared" si="100"/>
        <v>28</v>
      </c>
      <c r="R97" s="173">
        <f t="shared" si="101"/>
        <v>28</v>
      </c>
      <c r="S97" s="173">
        <f t="shared" si="102"/>
        <v>28</v>
      </c>
      <c r="T97" s="173">
        <f t="shared" si="103"/>
        <v>28</v>
      </c>
      <c r="U97" s="173">
        <f t="shared" si="104"/>
        <v>28</v>
      </c>
      <c r="V97" s="173">
        <f t="shared" si="105"/>
        <v>28</v>
      </c>
      <c r="W97" s="175">
        <f>IF(P97=2,'A.0_Tablas salariales SC'!$P$9,(IF(P97=6,'A.0_Tablas salariales SC'!$P$10,IF(P97=10,'A.0_Tablas salariales SC'!$P$11,IF(P97=14,'A.0_Tablas salariales SC'!$P$12,IF(P97=18,'A.0_Tablas salariales SC'!$P$13,IF(P97=20,'A.0_Tablas salariales SC'!$P$14,IF(P97=22,'A.0_Tablas salariales SC'!$P$15,IF(P97=24,'A.0_Tablas salariales SC'!$P$16,IF(P97=26,'A.0_Tablas salariales SC'!$P$17,IF(P97=28,'A.0_Tablas salariales SC'!$P$18,0)))))))))))</f>
        <v>446.8</v>
      </c>
      <c r="X97" s="175">
        <f>IF(Q97=2,'A.0_Tablas salariales SC'!$P$36,(IF(Q97=6,'A.0_Tablas salariales SC'!$P$37,IF(Q97=10,'A.0_Tablas salariales SC'!$P$38,IF(Q97=14,'A.0_Tablas salariales SC'!$P$39,IF(Q97=18,'A.0_Tablas salariales SC'!$P$40,IF(Q97=20,'A.0_Tablas salariales SC'!$P$41,IF(Q97=22,'A.0_Tablas salariales SC'!$P$42,IF(Q97=24,'A.0_Tablas salariales SC'!$P$43,IF(Q97=26,'A.0_Tablas salariales SC'!$P$44,IF(Q97=28,'A.0_Tablas salariales SC'!$P$45,0)))))))))))</f>
        <v>462.44</v>
      </c>
      <c r="Y97" s="175">
        <f>IF(R97=2,'A.0_Tablas salariales SC'!$P$63,(IF(R97=6,'A.0_Tablas salariales SC'!$P$64,IF(R97=10,'A.0_Tablas salariales SC'!$P$65,IF(R97=14,'A.0_Tablas salariales SC'!$P$66,IF(R97=18,'A.0_Tablas salariales SC'!$P$67,IF(R97=20,'A.0_Tablas salariales SC'!$P$68,IF(R97=22,'A.0_Tablas salariales SC'!$P$69,IF(R97=24,'A.0_Tablas salariales SC'!$P$70,IF(R97=26,'A.0_Tablas salariales SC'!$P$71,IF(R97=28,'A.0_Tablas salariales SC'!$P$72,0)))))))))))</f>
        <v>480.93</v>
      </c>
      <c r="Z97" s="175">
        <f>IF(S97=2,'A.0_Tablas salariales SC'!$P$90,(IF(S97=6,'A.0_Tablas salariales SC'!$P$91,IF(S97=10,'A.0_Tablas salariales SC'!$P$92,IF(S97=14,'A.0_Tablas salariales SC'!$P$93,IF(S97=18,'A.0_Tablas salariales SC'!$P$94,IF(S97=20,'A.0_Tablas salariales SC'!$P$95,IF(S97=22,'A.0_Tablas salariales SC'!$P$96,IF(S97=24,'A.0_Tablas salariales SC'!$P$97,IF(S97=26,'A.0_Tablas salariales SC'!$P$98,IF(S97=28,'A.0_Tablas salariales SC'!$P$99,0)))))))))))</f>
        <v>502.58</v>
      </c>
      <c r="AA97" s="175">
        <f>IF(T97=2,'A.0_Tablas salariales SC'!$P$117,(IF(T97=6,'A.0_Tablas salariales SC'!$P$118,IF(T97=10,'A.0_Tablas salariales SC'!$P$119,IF(T97=14,'A.0_Tablas salariales SC'!$P$120,IF(T97=18,'A.0_Tablas salariales SC'!$P$121,IF(T97=20,'A.0_Tablas salariales SC'!$P$122,IF(T97=22,'A.0_Tablas salariales SC'!$P$123,IF(T97=24,'A.0_Tablas salariales SC'!$P$124,IF(T97=26,'A.0_Tablas salariales SC'!$P$125,IF(T97=28,'A.0_Tablas salariales SC'!$P$126,0)))))))))))</f>
        <v>527.70000000000005</v>
      </c>
      <c r="AB97" s="175">
        <f>IF(U97=2,'A.0_Tablas salariales SC'!$P$145,(IF(U97=6,'A.0_Tablas salariales SC'!$P$146,IF(U97=10,'A.0_Tablas salariales SC'!$P$147,IF(U97=14,'A.0_Tablas salariales SC'!$P$148,IF(U97=18,'A.0_Tablas salariales SC'!$P$149,IF(U97=20,'A.0_Tablas salariales SC'!$P$150,IF(U97=22,'A.0_Tablas salariales SC'!$P$151,IF(U97=24,'A.0_Tablas salariales SC'!$P$152,IF(U97=26,'A.0_Tablas salariales SC'!$P$153,IF(U97=28,'A.0_Tablas salariales SC'!$P$154,0)))))))))))</f>
        <v>543.53100000000006</v>
      </c>
      <c r="AC97" s="175">
        <f>IF(V97=2,'A.0_Tablas salariales SC'!$P$173,(IF(V97=6,'A.0_Tablas salariales SC'!$P$174,IF(V97=10,'A.0_Tablas salariales SC'!$P$175,IF(V97=14,'A.0_Tablas salariales SC'!$P$176,IF(V97=18,'A.0_Tablas salariales SC'!$P$177,IF(V97=20,'A.0_Tablas salariales SC'!$P$178,IF(V97=22,'A.0_Tablas salariales SC'!$P$179,IF(V97=24,'A.0_Tablas salariales SC'!$P$180,IF(V97=26,'A.0_Tablas salariales SC'!$P$181,IF(V97=28,'A.0_Tablas salariales SC'!$P$182,0)))))))))))</f>
        <v>559.83693000000005</v>
      </c>
    </row>
    <row r="98" spans="1:29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2">
        <f t="shared" si="91"/>
        <v>1900</v>
      </c>
      <c r="G98" s="173">
        <f t="shared" si="75"/>
        <v>2026</v>
      </c>
      <c r="H98" s="173">
        <f t="shared" si="75"/>
        <v>2032</v>
      </c>
      <c r="I98" s="173">
        <f t="shared" si="92"/>
        <v>126</v>
      </c>
      <c r="J98" s="173">
        <f t="shared" si="93"/>
        <v>127</v>
      </c>
      <c r="K98" s="173">
        <f t="shared" si="94"/>
        <v>128</v>
      </c>
      <c r="L98" s="173">
        <f t="shared" si="95"/>
        <v>129</v>
      </c>
      <c r="M98" s="173">
        <f t="shared" si="96"/>
        <v>130</v>
      </c>
      <c r="N98" s="173">
        <f t="shared" si="97"/>
        <v>131</v>
      </c>
      <c r="O98" s="173">
        <f t="shared" si="98"/>
        <v>132</v>
      </c>
      <c r="P98" s="173">
        <f t="shared" si="99"/>
        <v>28</v>
      </c>
      <c r="Q98" s="173">
        <f t="shared" si="100"/>
        <v>28</v>
      </c>
      <c r="R98" s="173">
        <f t="shared" si="101"/>
        <v>28</v>
      </c>
      <c r="S98" s="173">
        <f t="shared" si="102"/>
        <v>28</v>
      </c>
      <c r="T98" s="173">
        <f t="shared" si="103"/>
        <v>28</v>
      </c>
      <c r="U98" s="173">
        <f t="shared" si="104"/>
        <v>28</v>
      </c>
      <c r="V98" s="173">
        <f t="shared" si="105"/>
        <v>28</v>
      </c>
      <c r="W98" s="175">
        <f>IF(P98=2,'A.0_Tablas salariales SC'!$P$9,(IF(P98=6,'A.0_Tablas salariales SC'!$P$10,IF(P98=10,'A.0_Tablas salariales SC'!$P$11,IF(P98=14,'A.0_Tablas salariales SC'!$P$12,IF(P98=18,'A.0_Tablas salariales SC'!$P$13,IF(P98=20,'A.0_Tablas salariales SC'!$P$14,IF(P98=22,'A.0_Tablas salariales SC'!$P$15,IF(P98=24,'A.0_Tablas salariales SC'!$P$16,IF(P98=26,'A.0_Tablas salariales SC'!$P$17,IF(P98=28,'A.0_Tablas salariales SC'!$P$18,0)))))))))))</f>
        <v>446.8</v>
      </c>
      <c r="X98" s="175">
        <f>IF(Q98=2,'A.0_Tablas salariales SC'!$P$36,(IF(Q98=6,'A.0_Tablas salariales SC'!$P$37,IF(Q98=10,'A.0_Tablas salariales SC'!$P$38,IF(Q98=14,'A.0_Tablas salariales SC'!$P$39,IF(Q98=18,'A.0_Tablas salariales SC'!$P$40,IF(Q98=20,'A.0_Tablas salariales SC'!$P$41,IF(Q98=22,'A.0_Tablas salariales SC'!$P$42,IF(Q98=24,'A.0_Tablas salariales SC'!$P$43,IF(Q98=26,'A.0_Tablas salariales SC'!$P$44,IF(Q98=28,'A.0_Tablas salariales SC'!$P$45,0)))))))))))</f>
        <v>462.44</v>
      </c>
      <c r="Y98" s="175">
        <f>IF(R98=2,'A.0_Tablas salariales SC'!$P$63,(IF(R98=6,'A.0_Tablas salariales SC'!$P$64,IF(R98=10,'A.0_Tablas salariales SC'!$P$65,IF(R98=14,'A.0_Tablas salariales SC'!$P$66,IF(R98=18,'A.0_Tablas salariales SC'!$P$67,IF(R98=20,'A.0_Tablas salariales SC'!$P$68,IF(R98=22,'A.0_Tablas salariales SC'!$P$69,IF(R98=24,'A.0_Tablas salariales SC'!$P$70,IF(R98=26,'A.0_Tablas salariales SC'!$P$71,IF(R98=28,'A.0_Tablas salariales SC'!$P$72,0)))))))))))</f>
        <v>480.93</v>
      </c>
      <c r="Z98" s="175">
        <f>IF(S98=2,'A.0_Tablas salariales SC'!$P$90,(IF(S98=6,'A.0_Tablas salariales SC'!$P$91,IF(S98=10,'A.0_Tablas salariales SC'!$P$92,IF(S98=14,'A.0_Tablas salariales SC'!$P$93,IF(S98=18,'A.0_Tablas salariales SC'!$P$94,IF(S98=20,'A.0_Tablas salariales SC'!$P$95,IF(S98=22,'A.0_Tablas salariales SC'!$P$96,IF(S98=24,'A.0_Tablas salariales SC'!$P$97,IF(S98=26,'A.0_Tablas salariales SC'!$P$98,IF(S98=28,'A.0_Tablas salariales SC'!$P$99,0)))))))))))</f>
        <v>502.58</v>
      </c>
      <c r="AA98" s="175">
        <f>IF(T98=2,'A.0_Tablas salariales SC'!$P$117,(IF(T98=6,'A.0_Tablas salariales SC'!$P$118,IF(T98=10,'A.0_Tablas salariales SC'!$P$119,IF(T98=14,'A.0_Tablas salariales SC'!$P$120,IF(T98=18,'A.0_Tablas salariales SC'!$P$121,IF(T98=20,'A.0_Tablas salariales SC'!$P$122,IF(T98=22,'A.0_Tablas salariales SC'!$P$123,IF(T98=24,'A.0_Tablas salariales SC'!$P$124,IF(T98=26,'A.0_Tablas salariales SC'!$P$125,IF(T98=28,'A.0_Tablas salariales SC'!$P$126,0)))))))))))</f>
        <v>527.70000000000005</v>
      </c>
      <c r="AB98" s="175">
        <f>IF(U98=2,'A.0_Tablas salariales SC'!$P$145,(IF(U98=6,'A.0_Tablas salariales SC'!$P$146,IF(U98=10,'A.0_Tablas salariales SC'!$P$147,IF(U98=14,'A.0_Tablas salariales SC'!$P$148,IF(U98=18,'A.0_Tablas salariales SC'!$P$149,IF(U98=20,'A.0_Tablas salariales SC'!$P$150,IF(U98=22,'A.0_Tablas salariales SC'!$P$151,IF(U98=24,'A.0_Tablas salariales SC'!$P$152,IF(U98=26,'A.0_Tablas salariales SC'!$P$153,IF(U98=28,'A.0_Tablas salariales SC'!$P$154,0)))))))))))</f>
        <v>543.53100000000006</v>
      </c>
      <c r="AC98" s="175">
        <f>IF(V98=2,'A.0_Tablas salariales SC'!$P$173,(IF(V98=6,'A.0_Tablas salariales SC'!$P$174,IF(V98=10,'A.0_Tablas salariales SC'!$P$175,IF(V98=14,'A.0_Tablas salariales SC'!$P$176,IF(V98=18,'A.0_Tablas salariales SC'!$P$177,IF(V98=20,'A.0_Tablas salariales SC'!$P$178,IF(V98=22,'A.0_Tablas salariales SC'!$P$179,IF(V98=24,'A.0_Tablas salariales SC'!$P$180,IF(V98=26,'A.0_Tablas salariales SC'!$P$181,IF(V98=28,'A.0_Tablas salariales SC'!$P$182,0)))))))))))</f>
        <v>559.83693000000005</v>
      </c>
    </row>
    <row r="99" spans="1:29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2">
        <f t="shared" si="91"/>
        <v>1900</v>
      </c>
      <c r="G99" s="173">
        <f t="shared" si="75"/>
        <v>2026</v>
      </c>
      <c r="H99" s="173">
        <f t="shared" si="75"/>
        <v>2032</v>
      </c>
      <c r="I99" s="173">
        <f t="shared" si="92"/>
        <v>126</v>
      </c>
      <c r="J99" s="173">
        <f t="shared" si="93"/>
        <v>127</v>
      </c>
      <c r="K99" s="173">
        <f t="shared" si="94"/>
        <v>128</v>
      </c>
      <c r="L99" s="173">
        <f t="shared" si="95"/>
        <v>129</v>
      </c>
      <c r="M99" s="173">
        <f t="shared" si="96"/>
        <v>130</v>
      </c>
      <c r="N99" s="173">
        <f t="shared" si="97"/>
        <v>131</v>
      </c>
      <c r="O99" s="173">
        <f t="shared" si="98"/>
        <v>132</v>
      </c>
      <c r="P99" s="173">
        <f t="shared" si="99"/>
        <v>28</v>
      </c>
      <c r="Q99" s="173">
        <f t="shared" si="100"/>
        <v>28</v>
      </c>
      <c r="R99" s="173">
        <f t="shared" si="101"/>
        <v>28</v>
      </c>
      <c r="S99" s="173">
        <f t="shared" si="102"/>
        <v>28</v>
      </c>
      <c r="T99" s="173">
        <f t="shared" si="103"/>
        <v>28</v>
      </c>
      <c r="U99" s="173">
        <f t="shared" si="104"/>
        <v>28</v>
      </c>
      <c r="V99" s="173">
        <f t="shared" si="105"/>
        <v>28</v>
      </c>
      <c r="W99" s="175">
        <f>IF(P99=2,'A.0_Tablas salariales SC'!$P$9,(IF(P99=6,'A.0_Tablas salariales SC'!$P$10,IF(P99=10,'A.0_Tablas salariales SC'!$P$11,IF(P99=14,'A.0_Tablas salariales SC'!$P$12,IF(P99=18,'A.0_Tablas salariales SC'!$P$13,IF(P99=20,'A.0_Tablas salariales SC'!$P$14,IF(P99=22,'A.0_Tablas salariales SC'!$P$15,IF(P99=24,'A.0_Tablas salariales SC'!$P$16,IF(P99=26,'A.0_Tablas salariales SC'!$P$17,IF(P99=28,'A.0_Tablas salariales SC'!$P$18,0)))))))))))</f>
        <v>446.8</v>
      </c>
      <c r="X99" s="175">
        <f>IF(Q99=2,'A.0_Tablas salariales SC'!$P$36,(IF(Q99=6,'A.0_Tablas salariales SC'!$P$37,IF(Q99=10,'A.0_Tablas salariales SC'!$P$38,IF(Q99=14,'A.0_Tablas salariales SC'!$P$39,IF(Q99=18,'A.0_Tablas salariales SC'!$P$40,IF(Q99=20,'A.0_Tablas salariales SC'!$P$41,IF(Q99=22,'A.0_Tablas salariales SC'!$P$42,IF(Q99=24,'A.0_Tablas salariales SC'!$P$43,IF(Q99=26,'A.0_Tablas salariales SC'!$P$44,IF(Q99=28,'A.0_Tablas salariales SC'!$P$45,0)))))))))))</f>
        <v>462.44</v>
      </c>
      <c r="Y99" s="175">
        <f>IF(R99=2,'A.0_Tablas salariales SC'!$P$63,(IF(R99=6,'A.0_Tablas salariales SC'!$P$64,IF(R99=10,'A.0_Tablas salariales SC'!$P$65,IF(R99=14,'A.0_Tablas salariales SC'!$P$66,IF(R99=18,'A.0_Tablas salariales SC'!$P$67,IF(R99=20,'A.0_Tablas salariales SC'!$P$68,IF(R99=22,'A.0_Tablas salariales SC'!$P$69,IF(R99=24,'A.0_Tablas salariales SC'!$P$70,IF(R99=26,'A.0_Tablas salariales SC'!$P$71,IF(R99=28,'A.0_Tablas salariales SC'!$P$72,0)))))))))))</f>
        <v>480.93</v>
      </c>
      <c r="Z99" s="175">
        <f>IF(S99=2,'A.0_Tablas salariales SC'!$P$90,(IF(S99=6,'A.0_Tablas salariales SC'!$P$91,IF(S99=10,'A.0_Tablas salariales SC'!$P$92,IF(S99=14,'A.0_Tablas salariales SC'!$P$93,IF(S99=18,'A.0_Tablas salariales SC'!$P$94,IF(S99=20,'A.0_Tablas salariales SC'!$P$95,IF(S99=22,'A.0_Tablas salariales SC'!$P$96,IF(S99=24,'A.0_Tablas salariales SC'!$P$97,IF(S99=26,'A.0_Tablas salariales SC'!$P$98,IF(S99=28,'A.0_Tablas salariales SC'!$P$99,0)))))))))))</f>
        <v>502.58</v>
      </c>
      <c r="AA99" s="175">
        <f>IF(T99=2,'A.0_Tablas salariales SC'!$P$117,(IF(T99=6,'A.0_Tablas salariales SC'!$P$118,IF(T99=10,'A.0_Tablas salariales SC'!$P$119,IF(T99=14,'A.0_Tablas salariales SC'!$P$120,IF(T99=18,'A.0_Tablas salariales SC'!$P$121,IF(T99=20,'A.0_Tablas salariales SC'!$P$122,IF(T99=22,'A.0_Tablas salariales SC'!$P$123,IF(T99=24,'A.0_Tablas salariales SC'!$P$124,IF(T99=26,'A.0_Tablas salariales SC'!$P$125,IF(T99=28,'A.0_Tablas salariales SC'!$P$126,0)))))))))))</f>
        <v>527.70000000000005</v>
      </c>
      <c r="AB99" s="175">
        <f>IF(U99=2,'A.0_Tablas salariales SC'!$P$145,(IF(U99=6,'A.0_Tablas salariales SC'!$P$146,IF(U99=10,'A.0_Tablas salariales SC'!$P$147,IF(U99=14,'A.0_Tablas salariales SC'!$P$148,IF(U99=18,'A.0_Tablas salariales SC'!$P$149,IF(U99=20,'A.0_Tablas salariales SC'!$P$150,IF(U99=22,'A.0_Tablas salariales SC'!$P$151,IF(U99=24,'A.0_Tablas salariales SC'!$P$152,IF(U99=26,'A.0_Tablas salariales SC'!$P$153,IF(U99=28,'A.0_Tablas salariales SC'!$P$154,0)))))))))))</f>
        <v>543.53100000000006</v>
      </c>
      <c r="AC99" s="175">
        <f>IF(V99=2,'A.0_Tablas salariales SC'!$P$173,(IF(V99=6,'A.0_Tablas salariales SC'!$P$174,IF(V99=10,'A.0_Tablas salariales SC'!$P$175,IF(V99=14,'A.0_Tablas salariales SC'!$P$176,IF(V99=18,'A.0_Tablas salariales SC'!$P$177,IF(V99=20,'A.0_Tablas salariales SC'!$P$178,IF(V99=22,'A.0_Tablas salariales SC'!$P$179,IF(V99=24,'A.0_Tablas salariales SC'!$P$180,IF(V99=26,'A.0_Tablas salariales SC'!$P$181,IF(V99=28,'A.0_Tablas salariales SC'!$P$182,0)))))))))))</f>
        <v>559.83693000000005</v>
      </c>
    </row>
    <row r="100" spans="1:29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2">
        <f t="shared" si="91"/>
        <v>1900</v>
      </c>
      <c r="G100" s="173">
        <f t="shared" si="75"/>
        <v>2026</v>
      </c>
      <c r="H100" s="173">
        <f t="shared" si="75"/>
        <v>2032</v>
      </c>
      <c r="I100" s="173">
        <f t="shared" si="92"/>
        <v>126</v>
      </c>
      <c r="J100" s="173">
        <f t="shared" si="93"/>
        <v>127</v>
      </c>
      <c r="K100" s="173">
        <f t="shared" si="94"/>
        <v>128</v>
      </c>
      <c r="L100" s="173">
        <f t="shared" si="95"/>
        <v>129</v>
      </c>
      <c r="M100" s="173">
        <f t="shared" si="96"/>
        <v>130</v>
      </c>
      <c r="N100" s="173">
        <f t="shared" si="97"/>
        <v>131</v>
      </c>
      <c r="O100" s="173">
        <f t="shared" si="98"/>
        <v>132</v>
      </c>
      <c r="P100" s="173">
        <f t="shared" si="99"/>
        <v>28</v>
      </c>
      <c r="Q100" s="173">
        <f t="shared" si="100"/>
        <v>28</v>
      </c>
      <c r="R100" s="173">
        <f t="shared" si="101"/>
        <v>28</v>
      </c>
      <c r="S100" s="173">
        <f t="shared" si="102"/>
        <v>28</v>
      </c>
      <c r="T100" s="173">
        <f t="shared" si="103"/>
        <v>28</v>
      </c>
      <c r="U100" s="173">
        <f t="shared" si="104"/>
        <v>28</v>
      </c>
      <c r="V100" s="173">
        <f t="shared" si="105"/>
        <v>28</v>
      </c>
      <c r="W100" s="175">
        <f>IF(P100=2,'A.0_Tablas salariales SC'!$P$9,(IF(P100=6,'A.0_Tablas salariales SC'!$P$10,IF(P100=10,'A.0_Tablas salariales SC'!$P$11,IF(P100=14,'A.0_Tablas salariales SC'!$P$12,IF(P100=18,'A.0_Tablas salariales SC'!$P$13,IF(P100=20,'A.0_Tablas salariales SC'!$P$14,IF(P100=22,'A.0_Tablas salariales SC'!$P$15,IF(P100=24,'A.0_Tablas salariales SC'!$P$16,IF(P100=26,'A.0_Tablas salariales SC'!$P$17,IF(P100=28,'A.0_Tablas salariales SC'!$P$18,0)))))))))))</f>
        <v>446.8</v>
      </c>
      <c r="X100" s="175">
        <f>IF(Q100=2,'A.0_Tablas salariales SC'!$P$36,(IF(Q100=6,'A.0_Tablas salariales SC'!$P$37,IF(Q100=10,'A.0_Tablas salariales SC'!$P$38,IF(Q100=14,'A.0_Tablas salariales SC'!$P$39,IF(Q100=18,'A.0_Tablas salariales SC'!$P$40,IF(Q100=20,'A.0_Tablas salariales SC'!$P$41,IF(Q100=22,'A.0_Tablas salariales SC'!$P$42,IF(Q100=24,'A.0_Tablas salariales SC'!$P$43,IF(Q100=26,'A.0_Tablas salariales SC'!$P$44,IF(Q100=28,'A.0_Tablas salariales SC'!$P$45,0)))))))))))</f>
        <v>462.44</v>
      </c>
      <c r="Y100" s="175">
        <f>IF(R100=2,'A.0_Tablas salariales SC'!$P$63,(IF(R100=6,'A.0_Tablas salariales SC'!$P$64,IF(R100=10,'A.0_Tablas salariales SC'!$P$65,IF(R100=14,'A.0_Tablas salariales SC'!$P$66,IF(R100=18,'A.0_Tablas salariales SC'!$P$67,IF(R100=20,'A.0_Tablas salariales SC'!$P$68,IF(R100=22,'A.0_Tablas salariales SC'!$P$69,IF(R100=24,'A.0_Tablas salariales SC'!$P$70,IF(R100=26,'A.0_Tablas salariales SC'!$P$71,IF(R100=28,'A.0_Tablas salariales SC'!$P$72,0)))))))))))</f>
        <v>480.93</v>
      </c>
      <c r="Z100" s="175">
        <f>IF(S100=2,'A.0_Tablas salariales SC'!$P$90,(IF(S100=6,'A.0_Tablas salariales SC'!$P$91,IF(S100=10,'A.0_Tablas salariales SC'!$P$92,IF(S100=14,'A.0_Tablas salariales SC'!$P$93,IF(S100=18,'A.0_Tablas salariales SC'!$P$94,IF(S100=20,'A.0_Tablas salariales SC'!$P$95,IF(S100=22,'A.0_Tablas salariales SC'!$P$96,IF(S100=24,'A.0_Tablas salariales SC'!$P$97,IF(S100=26,'A.0_Tablas salariales SC'!$P$98,IF(S100=28,'A.0_Tablas salariales SC'!$P$99,0)))))))))))</f>
        <v>502.58</v>
      </c>
      <c r="AA100" s="175">
        <f>IF(T100=2,'A.0_Tablas salariales SC'!$P$117,(IF(T100=6,'A.0_Tablas salariales SC'!$P$118,IF(T100=10,'A.0_Tablas salariales SC'!$P$119,IF(T100=14,'A.0_Tablas salariales SC'!$P$120,IF(T100=18,'A.0_Tablas salariales SC'!$P$121,IF(T100=20,'A.0_Tablas salariales SC'!$P$122,IF(T100=22,'A.0_Tablas salariales SC'!$P$123,IF(T100=24,'A.0_Tablas salariales SC'!$P$124,IF(T100=26,'A.0_Tablas salariales SC'!$P$125,IF(T100=28,'A.0_Tablas salariales SC'!$P$126,0)))))))))))</f>
        <v>527.70000000000005</v>
      </c>
      <c r="AB100" s="175">
        <f>IF(U100=2,'A.0_Tablas salariales SC'!$P$145,(IF(U100=6,'A.0_Tablas salariales SC'!$P$146,IF(U100=10,'A.0_Tablas salariales SC'!$P$147,IF(U100=14,'A.0_Tablas salariales SC'!$P$148,IF(U100=18,'A.0_Tablas salariales SC'!$P$149,IF(U100=20,'A.0_Tablas salariales SC'!$P$150,IF(U100=22,'A.0_Tablas salariales SC'!$P$151,IF(U100=24,'A.0_Tablas salariales SC'!$P$152,IF(U100=26,'A.0_Tablas salariales SC'!$P$153,IF(U100=28,'A.0_Tablas salariales SC'!$P$154,0)))))))))))</f>
        <v>543.53100000000006</v>
      </c>
      <c r="AC100" s="175">
        <f>IF(V100=2,'A.0_Tablas salariales SC'!$P$173,(IF(V100=6,'A.0_Tablas salariales SC'!$P$174,IF(V100=10,'A.0_Tablas salariales SC'!$P$175,IF(V100=14,'A.0_Tablas salariales SC'!$P$176,IF(V100=18,'A.0_Tablas salariales SC'!$P$177,IF(V100=20,'A.0_Tablas salariales SC'!$P$178,IF(V100=22,'A.0_Tablas salariales SC'!$P$179,IF(V100=24,'A.0_Tablas salariales SC'!$P$180,IF(V100=26,'A.0_Tablas salariales SC'!$P$181,IF(V100=28,'A.0_Tablas salariales SC'!$P$182,0)))))))))))</f>
        <v>559.83693000000005</v>
      </c>
    </row>
    <row r="101" spans="1:29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2">
        <f t="shared" si="91"/>
        <v>1900</v>
      </c>
      <c r="G101" s="173">
        <f t="shared" si="75"/>
        <v>2026</v>
      </c>
      <c r="H101" s="173">
        <f t="shared" si="75"/>
        <v>2032</v>
      </c>
      <c r="I101" s="173">
        <f t="shared" si="92"/>
        <v>126</v>
      </c>
      <c r="J101" s="173">
        <f t="shared" si="93"/>
        <v>127</v>
      </c>
      <c r="K101" s="173">
        <f t="shared" si="94"/>
        <v>128</v>
      </c>
      <c r="L101" s="173">
        <f t="shared" si="95"/>
        <v>129</v>
      </c>
      <c r="M101" s="173">
        <f t="shared" si="96"/>
        <v>130</v>
      </c>
      <c r="N101" s="173">
        <f t="shared" si="97"/>
        <v>131</v>
      </c>
      <c r="O101" s="173">
        <f t="shared" si="98"/>
        <v>132</v>
      </c>
      <c r="P101" s="173">
        <f t="shared" si="99"/>
        <v>28</v>
      </c>
      <c r="Q101" s="173">
        <f t="shared" si="100"/>
        <v>28</v>
      </c>
      <c r="R101" s="173">
        <f t="shared" si="101"/>
        <v>28</v>
      </c>
      <c r="S101" s="173">
        <f t="shared" si="102"/>
        <v>28</v>
      </c>
      <c r="T101" s="173">
        <f t="shared" si="103"/>
        <v>28</v>
      </c>
      <c r="U101" s="173">
        <f t="shared" si="104"/>
        <v>28</v>
      </c>
      <c r="V101" s="173">
        <f t="shared" si="105"/>
        <v>28</v>
      </c>
      <c r="W101" s="175">
        <f>IF(P101=2,'A.0_Tablas salariales SC'!$P$9,(IF(P101=6,'A.0_Tablas salariales SC'!$P$10,IF(P101=10,'A.0_Tablas salariales SC'!$P$11,IF(P101=14,'A.0_Tablas salariales SC'!$P$12,IF(P101=18,'A.0_Tablas salariales SC'!$P$13,IF(P101=20,'A.0_Tablas salariales SC'!$P$14,IF(P101=22,'A.0_Tablas salariales SC'!$P$15,IF(P101=24,'A.0_Tablas salariales SC'!$P$16,IF(P101=26,'A.0_Tablas salariales SC'!$P$17,IF(P101=28,'A.0_Tablas salariales SC'!$P$18,0)))))))))))</f>
        <v>446.8</v>
      </c>
      <c r="X101" s="175">
        <f>IF(Q101=2,'A.0_Tablas salariales SC'!$P$36,(IF(Q101=6,'A.0_Tablas salariales SC'!$P$37,IF(Q101=10,'A.0_Tablas salariales SC'!$P$38,IF(Q101=14,'A.0_Tablas salariales SC'!$P$39,IF(Q101=18,'A.0_Tablas salariales SC'!$P$40,IF(Q101=20,'A.0_Tablas salariales SC'!$P$41,IF(Q101=22,'A.0_Tablas salariales SC'!$P$42,IF(Q101=24,'A.0_Tablas salariales SC'!$P$43,IF(Q101=26,'A.0_Tablas salariales SC'!$P$44,IF(Q101=28,'A.0_Tablas salariales SC'!$P$45,0)))))))))))</f>
        <v>462.44</v>
      </c>
      <c r="Y101" s="175">
        <f>IF(R101=2,'A.0_Tablas salariales SC'!$P$63,(IF(R101=6,'A.0_Tablas salariales SC'!$P$64,IF(R101=10,'A.0_Tablas salariales SC'!$P$65,IF(R101=14,'A.0_Tablas salariales SC'!$P$66,IF(R101=18,'A.0_Tablas salariales SC'!$P$67,IF(R101=20,'A.0_Tablas salariales SC'!$P$68,IF(R101=22,'A.0_Tablas salariales SC'!$P$69,IF(R101=24,'A.0_Tablas salariales SC'!$P$70,IF(R101=26,'A.0_Tablas salariales SC'!$P$71,IF(R101=28,'A.0_Tablas salariales SC'!$P$72,0)))))))))))</f>
        <v>480.93</v>
      </c>
      <c r="Z101" s="175">
        <f>IF(S101=2,'A.0_Tablas salariales SC'!$P$90,(IF(S101=6,'A.0_Tablas salariales SC'!$P$91,IF(S101=10,'A.0_Tablas salariales SC'!$P$92,IF(S101=14,'A.0_Tablas salariales SC'!$P$93,IF(S101=18,'A.0_Tablas salariales SC'!$P$94,IF(S101=20,'A.0_Tablas salariales SC'!$P$95,IF(S101=22,'A.0_Tablas salariales SC'!$P$96,IF(S101=24,'A.0_Tablas salariales SC'!$P$97,IF(S101=26,'A.0_Tablas salariales SC'!$P$98,IF(S101=28,'A.0_Tablas salariales SC'!$P$99,0)))))))))))</f>
        <v>502.58</v>
      </c>
      <c r="AA101" s="175">
        <f>IF(T101=2,'A.0_Tablas salariales SC'!$P$117,(IF(T101=6,'A.0_Tablas salariales SC'!$P$118,IF(T101=10,'A.0_Tablas salariales SC'!$P$119,IF(T101=14,'A.0_Tablas salariales SC'!$P$120,IF(T101=18,'A.0_Tablas salariales SC'!$P$121,IF(T101=20,'A.0_Tablas salariales SC'!$P$122,IF(T101=22,'A.0_Tablas salariales SC'!$P$123,IF(T101=24,'A.0_Tablas salariales SC'!$P$124,IF(T101=26,'A.0_Tablas salariales SC'!$P$125,IF(T101=28,'A.0_Tablas salariales SC'!$P$126,0)))))))))))</f>
        <v>527.70000000000005</v>
      </c>
      <c r="AB101" s="175">
        <f>IF(U101=2,'A.0_Tablas salariales SC'!$P$145,(IF(U101=6,'A.0_Tablas salariales SC'!$P$146,IF(U101=10,'A.0_Tablas salariales SC'!$P$147,IF(U101=14,'A.0_Tablas salariales SC'!$P$148,IF(U101=18,'A.0_Tablas salariales SC'!$P$149,IF(U101=20,'A.0_Tablas salariales SC'!$P$150,IF(U101=22,'A.0_Tablas salariales SC'!$P$151,IF(U101=24,'A.0_Tablas salariales SC'!$P$152,IF(U101=26,'A.0_Tablas salariales SC'!$P$153,IF(U101=28,'A.0_Tablas salariales SC'!$P$154,0)))))))))))</f>
        <v>543.53100000000006</v>
      </c>
      <c r="AC101" s="175">
        <f>IF(V101=2,'A.0_Tablas salariales SC'!$P$173,(IF(V101=6,'A.0_Tablas salariales SC'!$P$174,IF(V101=10,'A.0_Tablas salariales SC'!$P$175,IF(V101=14,'A.0_Tablas salariales SC'!$P$176,IF(V101=18,'A.0_Tablas salariales SC'!$P$177,IF(V101=20,'A.0_Tablas salariales SC'!$P$178,IF(V101=22,'A.0_Tablas salariales SC'!$P$179,IF(V101=24,'A.0_Tablas salariales SC'!$P$180,IF(V101=26,'A.0_Tablas salariales SC'!$P$181,IF(V101=28,'A.0_Tablas salariales SC'!$P$182,0)))))))))))</f>
        <v>559.83693000000005</v>
      </c>
    </row>
    <row r="102" spans="1:29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2">
        <f t="shared" si="91"/>
        <v>1900</v>
      </c>
      <c r="G102" s="173">
        <f t="shared" si="75"/>
        <v>2026</v>
      </c>
      <c r="H102" s="173">
        <f t="shared" si="75"/>
        <v>2032</v>
      </c>
      <c r="I102" s="173">
        <f t="shared" si="92"/>
        <v>126</v>
      </c>
      <c r="J102" s="173">
        <f t="shared" si="93"/>
        <v>127</v>
      </c>
      <c r="K102" s="173">
        <f t="shared" si="94"/>
        <v>128</v>
      </c>
      <c r="L102" s="173">
        <f t="shared" si="95"/>
        <v>129</v>
      </c>
      <c r="M102" s="173">
        <f t="shared" si="96"/>
        <v>130</v>
      </c>
      <c r="N102" s="173">
        <f t="shared" si="97"/>
        <v>131</v>
      </c>
      <c r="O102" s="173">
        <f t="shared" si="98"/>
        <v>132</v>
      </c>
      <c r="P102" s="173">
        <f t="shared" si="99"/>
        <v>28</v>
      </c>
      <c r="Q102" s="173">
        <f t="shared" si="100"/>
        <v>28</v>
      </c>
      <c r="R102" s="173">
        <f t="shared" si="101"/>
        <v>28</v>
      </c>
      <c r="S102" s="173">
        <f t="shared" si="102"/>
        <v>28</v>
      </c>
      <c r="T102" s="173">
        <f t="shared" si="103"/>
        <v>28</v>
      </c>
      <c r="U102" s="173">
        <f t="shared" si="104"/>
        <v>28</v>
      </c>
      <c r="V102" s="173">
        <f t="shared" si="105"/>
        <v>28</v>
      </c>
      <c r="W102" s="175">
        <f>IF(P102=2,'A.0_Tablas salariales SC'!$P$9,(IF(P102=6,'A.0_Tablas salariales SC'!$P$10,IF(P102=10,'A.0_Tablas salariales SC'!$P$11,IF(P102=14,'A.0_Tablas salariales SC'!$P$12,IF(P102=18,'A.0_Tablas salariales SC'!$P$13,IF(P102=20,'A.0_Tablas salariales SC'!$P$14,IF(P102=22,'A.0_Tablas salariales SC'!$P$15,IF(P102=24,'A.0_Tablas salariales SC'!$P$16,IF(P102=26,'A.0_Tablas salariales SC'!$P$17,IF(P102=28,'A.0_Tablas salariales SC'!$P$18,0)))))))))))</f>
        <v>446.8</v>
      </c>
      <c r="X102" s="175">
        <f>IF(Q102=2,'A.0_Tablas salariales SC'!$P$36,(IF(Q102=6,'A.0_Tablas salariales SC'!$P$37,IF(Q102=10,'A.0_Tablas salariales SC'!$P$38,IF(Q102=14,'A.0_Tablas salariales SC'!$P$39,IF(Q102=18,'A.0_Tablas salariales SC'!$P$40,IF(Q102=20,'A.0_Tablas salariales SC'!$P$41,IF(Q102=22,'A.0_Tablas salariales SC'!$P$42,IF(Q102=24,'A.0_Tablas salariales SC'!$P$43,IF(Q102=26,'A.0_Tablas salariales SC'!$P$44,IF(Q102=28,'A.0_Tablas salariales SC'!$P$45,0)))))))))))</f>
        <v>462.44</v>
      </c>
      <c r="Y102" s="175">
        <f>IF(R102=2,'A.0_Tablas salariales SC'!$P$63,(IF(R102=6,'A.0_Tablas salariales SC'!$P$64,IF(R102=10,'A.0_Tablas salariales SC'!$P$65,IF(R102=14,'A.0_Tablas salariales SC'!$P$66,IF(R102=18,'A.0_Tablas salariales SC'!$P$67,IF(R102=20,'A.0_Tablas salariales SC'!$P$68,IF(R102=22,'A.0_Tablas salariales SC'!$P$69,IF(R102=24,'A.0_Tablas salariales SC'!$P$70,IF(R102=26,'A.0_Tablas salariales SC'!$P$71,IF(R102=28,'A.0_Tablas salariales SC'!$P$72,0)))))))))))</f>
        <v>480.93</v>
      </c>
      <c r="Z102" s="175">
        <f>IF(S102=2,'A.0_Tablas salariales SC'!$P$90,(IF(S102=6,'A.0_Tablas salariales SC'!$P$91,IF(S102=10,'A.0_Tablas salariales SC'!$P$92,IF(S102=14,'A.0_Tablas salariales SC'!$P$93,IF(S102=18,'A.0_Tablas salariales SC'!$P$94,IF(S102=20,'A.0_Tablas salariales SC'!$P$95,IF(S102=22,'A.0_Tablas salariales SC'!$P$96,IF(S102=24,'A.0_Tablas salariales SC'!$P$97,IF(S102=26,'A.0_Tablas salariales SC'!$P$98,IF(S102=28,'A.0_Tablas salariales SC'!$P$99,0)))))))))))</f>
        <v>502.58</v>
      </c>
      <c r="AA102" s="175">
        <f>IF(T102=2,'A.0_Tablas salariales SC'!$P$117,(IF(T102=6,'A.0_Tablas salariales SC'!$P$118,IF(T102=10,'A.0_Tablas salariales SC'!$P$119,IF(T102=14,'A.0_Tablas salariales SC'!$P$120,IF(T102=18,'A.0_Tablas salariales SC'!$P$121,IF(T102=20,'A.0_Tablas salariales SC'!$P$122,IF(T102=22,'A.0_Tablas salariales SC'!$P$123,IF(T102=24,'A.0_Tablas salariales SC'!$P$124,IF(T102=26,'A.0_Tablas salariales SC'!$P$125,IF(T102=28,'A.0_Tablas salariales SC'!$P$126,0)))))))))))</f>
        <v>527.70000000000005</v>
      </c>
      <c r="AB102" s="175">
        <f>IF(U102=2,'A.0_Tablas salariales SC'!$P$145,(IF(U102=6,'A.0_Tablas salariales SC'!$P$146,IF(U102=10,'A.0_Tablas salariales SC'!$P$147,IF(U102=14,'A.0_Tablas salariales SC'!$P$148,IF(U102=18,'A.0_Tablas salariales SC'!$P$149,IF(U102=20,'A.0_Tablas salariales SC'!$P$150,IF(U102=22,'A.0_Tablas salariales SC'!$P$151,IF(U102=24,'A.0_Tablas salariales SC'!$P$152,IF(U102=26,'A.0_Tablas salariales SC'!$P$153,IF(U102=28,'A.0_Tablas salariales SC'!$P$154,0)))))))))))</f>
        <v>543.53100000000006</v>
      </c>
      <c r="AC102" s="175">
        <f>IF(V102=2,'A.0_Tablas salariales SC'!$P$173,(IF(V102=6,'A.0_Tablas salariales SC'!$P$174,IF(V102=10,'A.0_Tablas salariales SC'!$P$175,IF(V102=14,'A.0_Tablas salariales SC'!$P$176,IF(V102=18,'A.0_Tablas salariales SC'!$P$177,IF(V102=20,'A.0_Tablas salariales SC'!$P$178,IF(V102=22,'A.0_Tablas salariales SC'!$P$179,IF(V102=24,'A.0_Tablas salariales SC'!$P$180,IF(V102=26,'A.0_Tablas salariales SC'!$P$181,IF(V102=28,'A.0_Tablas salariales SC'!$P$182,0)))))))))))</f>
        <v>559.83693000000005</v>
      </c>
    </row>
    <row r="103" spans="1:29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2">
        <f t="shared" si="91"/>
        <v>1900</v>
      </c>
      <c r="G103" s="173">
        <f t="shared" si="75"/>
        <v>2026</v>
      </c>
      <c r="H103" s="173">
        <f t="shared" si="75"/>
        <v>2032</v>
      </c>
      <c r="I103" s="173">
        <f t="shared" si="92"/>
        <v>126</v>
      </c>
      <c r="J103" s="173">
        <f t="shared" si="93"/>
        <v>127</v>
      </c>
      <c r="K103" s="173">
        <f t="shared" si="94"/>
        <v>128</v>
      </c>
      <c r="L103" s="173">
        <f t="shared" si="95"/>
        <v>129</v>
      </c>
      <c r="M103" s="173">
        <f t="shared" si="96"/>
        <v>130</v>
      </c>
      <c r="N103" s="173">
        <f t="shared" si="97"/>
        <v>131</v>
      </c>
      <c r="O103" s="173">
        <f t="shared" si="98"/>
        <v>132</v>
      </c>
      <c r="P103" s="173">
        <f t="shared" si="99"/>
        <v>28</v>
      </c>
      <c r="Q103" s="173">
        <f t="shared" si="100"/>
        <v>28</v>
      </c>
      <c r="R103" s="173">
        <f t="shared" si="101"/>
        <v>28</v>
      </c>
      <c r="S103" s="173">
        <f t="shared" si="102"/>
        <v>28</v>
      </c>
      <c r="T103" s="173">
        <f t="shared" si="103"/>
        <v>28</v>
      </c>
      <c r="U103" s="173">
        <f t="shared" si="104"/>
        <v>28</v>
      </c>
      <c r="V103" s="173">
        <f t="shared" si="105"/>
        <v>28</v>
      </c>
      <c r="W103" s="175">
        <f>IF(P103=2,'A.0_Tablas salariales SC'!$P$9,(IF(P103=6,'A.0_Tablas salariales SC'!$P$10,IF(P103=10,'A.0_Tablas salariales SC'!$P$11,IF(P103=14,'A.0_Tablas salariales SC'!$P$12,IF(P103=18,'A.0_Tablas salariales SC'!$P$13,IF(P103=20,'A.0_Tablas salariales SC'!$P$14,IF(P103=22,'A.0_Tablas salariales SC'!$P$15,IF(P103=24,'A.0_Tablas salariales SC'!$P$16,IF(P103=26,'A.0_Tablas salariales SC'!$P$17,IF(P103=28,'A.0_Tablas salariales SC'!$P$18,0)))))))))))</f>
        <v>446.8</v>
      </c>
      <c r="X103" s="175">
        <f>IF(Q103=2,'A.0_Tablas salariales SC'!$P$36,(IF(Q103=6,'A.0_Tablas salariales SC'!$P$37,IF(Q103=10,'A.0_Tablas salariales SC'!$P$38,IF(Q103=14,'A.0_Tablas salariales SC'!$P$39,IF(Q103=18,'A.0_Tablas salariales SC'!$P$40,IF(Q103=20,'A.0_Tablas salariales SC'!$P$41,IF(Q103=22,'A.0_Tablas salariales SC'!$P$42,IF(Q103=24,'A.0_Tablas salariales SC'!$P$43,IF(Q103=26,'A.0_Tablas salariales SC'!$P$44,IF(Q103=28,'A.0_Tablas salariales SC'!$P$45,0)))))))))))</f>
        <v>462.44</v>
      </c>
      <c r="Y103" s="175">
        <f>IF(R103=2,'A.0_Tablas salariales SC'!$P$63,(IF(R103=6,'A.0_Tablas salariales SC'!$P$64,IF(R103=10,'A.0_Tablas salariales SC'!$P$65,IF(R103=14,'A.0_Tablas salariales SC'!$P$66,IF(R103=18,'A.0_Tablas salariales SC'!$P$67,IF(R103=20,'A.0_Tablas salariales SC'!$P$68,IF(R103=22,'A.0_Tablas salariales SC'!$P$69,IF(R103=24,'A.0_Tablas salariales SC'!$P$70,IF(R103=26,'A.0_Tablas salariales SC'!$P$71,IF(R103=28,'A.0_Tablas salariales SC'!$P$72,0)))))))))))</f>
        <v>480.93</v>
      </c>
      <c r="Z103" s="175">
        <f>IF(S103=2,'A.0_Tablas salariales SC'!$P$90,(IF(S103=6,'A.0_Tablas salariales SC'!$P$91,IF(S103=10,'A.0_Tablas salariales SC'!$P$92,IF(S103=14,'A.0_Tablas salariales SC'!$P$93,IF(S103=18,'A.0_Tablas salariales SC'!$P$94,IF(S103=20,'A.0_Tablas salariales SC'!$P$95,IF(S103=22,'A.0_Tablas salariales SC'!$P$96,IF(S103=24,'A.0_Tablas salariales SC'!$P$97,IF(S103=26,'A.0_Tablas salariales SC'!$P$98,IF(S103=28,'A.0_Tablas salariales SC'!$P$99,0)))))))))))</f>
        <v>502.58</v>
      </c>
      <c r="AA103" s="175">
        <f>IF(T103=2,'A.0_Tablas salariales SC'!$P$117,(IF(T103=6,'A.0_Tablas salariales SC'!$P$118,IF(T103=10,'A.0_Tablas salariales SC'!$P$119,IF(T103=14,'A.0_Tablas salariales SC'!$P$120,IF(T103=18,'A.0_Tablas salariales SC'!$P$121,IF(T103=20,'A.0_Tablas salariales SC'!$P$122,IF(T103=22,'A.0_Tablas salariales SC'!$P$123,IF(T103=24,'A.0_Tablas salariales SC'!$P$124,IF(T103=26,'A.0_Tablas salariales SC'!$P$125,IF(T103=28,'A.0_Tablas salariales SC'!$P$126,0)))))))))))</f>
        <v>527.70000000000005</v>
      </c>
      <c r="AB103" s="175">
        <f>IF(U103=2,'A.0_Tablas salariales SC'!$P$145,(IF(U103=6,'A.0_Tablas salariales SC'!$P$146,IF(U103=10,'A.0_Tablas salariales SC'!$P$147,IF(U103=14,'A.0_Tablas salariales SC'!$P$148,IF(U103=18,'A.0_Tablas salariales SC'!$P$149,IF(U103=20,'A.0_Tablas salariales SC'!$P$150,IF(U103=22,'A.0_Tablas salariales SC'!$P$151,IF(U103=24,'A.0_Tablas salariales SC'!$P$152,IF(U103=26,'A.0_Tablas salariales SC'!$P$153,IF(U103=28,'A.0_Tablas salariales SC'!$P$154,0)))))))))))</f>
        <v>543.53100000000006</v>
      </c>
      <c r="AC103" s="175">
        <f>IF(V103=2,'A.0_Tablas salariales SC'!$P$173,(IF(V103=6,'A.0_Tablas salariales SC'!$P$174,IF(V103=10,'A.0_Tablas salariales SC'!$P$175,IF(V103=14,'A.0_Tablas salariales SC'!$P$176,IF(V103=18,'A.0_Tablas salariales SC'!$P$177,IF(V103=20,'A.0_Tablas salariales SC'!$P$178,IF(V103=22,'A.0_Tablas salariales SC'!$P$179,IF(V103=24,'A.0_Tablas salariales SC'!$P$180,IF(V103=26,'A.0_Tablas salariales SC'!$P$181,IF(V103=28,'A.0_Tablas salariales SC'!$P$182,0)))))))))))</f>
        <v>559.83693000000005</v>
      </c>
    </row>
    <row r="104" spans="1:29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2">
        <f t="shared" si="91"/>
        <v>1900</v>
      </c>
      <c r="G104" s="173">
        <f t="shared" si="75"/>
        <v>2026</v>
      </c>
      <c r="H104" s="173">
        <f t="shared" si="75"/>
        <v>2032</v>
      </c>
      <c r="I104" s="173">
        <f t="shared" si="92"/>
        <v>126</v>
      </c>
      <c r="J104" s="173">
        <f t="shared" si="93"/>
        <v>127</v>
      </c>
      <c r="K104" s="173">
        <f t="shared" si="94"/>
        <v>128</v>
      </c>
      <c r="L104" s="173">
        <f t="shared" si="95"/>
        <v>129</v>
      </c>
      <c r="M104" s="173">
        <f t="shared" si="96"/>
        <v>130</v>
      </c>
      <c r="N104" s="173">
        <f t="shared" si="97"/>
        <v>131</v>
      </c>
      <c r="O104" s="173">
        <f t="shared" si="98"/>
        <v>132</v>
      </c>
      <c r="P104" s="173">
        <f t="shared" si="99"/>
        <v>28</v>
      </c>
      <c r="Q104" s="173">
        <f t="shared" si="100"/>
        <v>28</v>
      </c>
      <c r="R104" s="173">
        <f t="shared" si="101"/>
        <v>28</v>
      </c>
      <c r="S104" s="173">
        <f t="shared" si="102"/>
        <v>28</v>
      </c>
      <c r="T104" s="173">
        <f t="shared" si="103"/>
        <v>28</v>
      </c>
      <c r="U104" s="173">
        <f t="shared" si="104"/>
        <v>28</v>
      </c>
      <c r="V104" s="173">
        <f t="shared" si="105"/>
        <v>28</v>
      </c>
      <c r="W104" s="175">
        <f>IF(P104=2,'A.0_Tablas salariales SC'!$P$9,(IF(P104=6,'A.0_Tablas salariales SC'!$P$10,IF(P104=10,'A.0_Tablas salariales SC'!$P$11,IF(P104=14,'A.0_Tablas salariales SC'!$P$12,IF(P104=18,'A.0_Tablas salariales SC'!$P$13,IF(P104=20,'A.0_Tablas salariales SC'!$P$14,IF(P104=22,'A.0_Tablas salariales SC'!$P$15,IF(P104=24,'A.0_Tablas salariales SC'!$P$16,IF(P104=26,'A.0_Tablas salariales SC'!$P$17,IF(P104=28,'A.0_Tablas salariales SC'!$P$18,0)))))))))))</f>
        <v>446.8</v>
      </c>
      <c r="X104" s="175">
        <f>IF(Q104=2,'A.0_Tablas salariales SC'!$P$36,(IF(Q104=6,'A.0_Tablas salariales SC'!$P$37,IF(Q104=10,'A.0_Tablas salariales SC'!$P$38,IF(Q104=14,'A.0_Tablas salariales SC'!$P$39,IF(Q104=18,'A.0_Tablas salariales SC'!$P$40,IF(Q104=20,'A.0_Tablas salariales SC'!$P$41,IF(Q104=22,'A.0_Tablas salariales SC'!$P$42,IF(Q104=24,'A.0_Tablas salariales SC'!$P$43,IF(Q104=26,'A.0_Tablas salariales SC'!$P$44,IF(Q104=28,'A.0_Tablas salariales SC'!$P$45,0)))))))))))</f>
        <v>462.44</v>
      </c>
      <c r="Y104" s="175">
        <f>IF(R104=2,'A.0_Tablas salariales SC'!$P$63,(IF(R104=6,'A.0_Tablas salariales SC'!$P$64,IF(R104=10,'A.0_Tablas salariales SC'!$P$65,IF(R104=14,'A.0_Tablas salariales SC'!$P$66,IF(R104=18,'A.0_Tablas salariales SC'!$P$67,IF(R104=20,'A.0_Tablas salariales SC'!$P$68,IF(R104=22,'A.0_Tablas salariales SC'!$P$69,IF(R104=24,'A.0_Tablas salariales SC'!$P$70,IF(R104=26,'A.0_Tablas salariales SC'!$P$71,IF(R104=28,'A.0_Tablas salariales SC'!$P$72,0)))))))))))</f>
        <v>480.93</v>
      </c>
      <c r="Z104" s="175">
        <f>IF(S104=2,'A.0_Tablas salariales SC'!$P$90,(IF(S104=6,'A.0_Tablas salariales SC'!$P$91,IF(S104=10,'A.0_Tablas salariales SC'!$P$92,IF(S104=14,'A.0_Tablas salariales SC'!$P$93,IF(S104=18,'A.0_Tablas salariales SC'!$P$94,IF(S104=20,'A.0_Tablas salariales SC'!$P$95,IF(S104=22,'A.0_Tablas salariales SC'!$P$96,IF(S104=24,'A.0_Tablas salariales SC'!$P$97,IF(S104=26,'A.0_Tablas salariales SC'!$P$98,IF(S104=28,'A.0_Tablas salariales SC'!$P$99,0)))))))))))</f>
        <v>502.58</v>
      </c>
      <c r="AA104" s="175">
        <f>IF(T104=2,'A.0_Tablas salariales SC'!$P$117,(IF(T104=6,'A.0_Tablas salariales SC'!$P$118,IF(T104=10,'A.0_Tablas salariales SC'!$P$119,IF(T104=14,'A.0_Tablas salariales SC'!$P$120,IF(T104=18,'A.0_Tablas salariales SC'!$P$121,IF(T104=20,'A.0_Tablas salariales SC'!$P$122,IF(T104=22,'A.0_Tablas salariales SC'!$P$123,IF(T104=24,'A.0_Tablas salariales SC'!$P$124,IF(T104=26,'A.0_Tablas salariales SC'!$P$125,IF(T104=28,'A.0_Tablas salariales SC'!$P$126,0)))))))))))</f>
        <v>527.70000000000005</v>
      </c>
      <c r="AB104" s="175">
        <f>IF(U104=2,'A.0_Tablas salariales SC'!$P$145,(IF(U104=6,'A.0_Tablas salariales SC'!$P$146,IF(U104=10,'A.0_Tablas salariales SC'!$P$147,IF(U104=14,'A.0_Tablas salariales SC'!$P$148,IF(U104=18,'A.0_Tablas salariales SC'!$P$149,IF(U104=20,'A.0_Tablas salariales SC'!$P$150,IF(U104=22,'A.0_Tablas salariales SC'!$P$151,IF(U104=24,'A.0_Tablas salariales SC'!$P$152,IF(U104=26,'A.0_Tablas salariales SC'!$P$153,IF(U104=28,'A.0_Tablas salariales SC'!$P$154,0)))))))))))</f>
        <v>543.53100000000006</v>
      </c>
      <c r="AC104" s="175">
        <f>IF(V104=2,'A.0_Tablas salariales SC'!$P$173,(IF(V104=6,'A.0_Tablas salariales SC'!$P$174,IF(V104=10,'A.0_Tablas salariales SC'!$P$175,IF(V104=14,'A.0_Tablas salariales SC'!$P$176,IF(V104=18,'A.0_Tablas salariales SC'!$P$177,IF(V104=20,'A.0_Tablas salariales SC'!$P$178,IF(V104=22,'A.0_Tablas salariales SC'!$P$179,IF(V104=24,'A.0_Tablas salariales SC'!$P$180,IF(V104=26,'A.0_Tablas salariales SC'!$P$181,IF(V104=28,'A.0_Tablas salariales SC'!$P$182,0)))))))))))</f>
        <v>559.83693000000005</v>
      </c>
    </row>
    <row r="105" spans="1:29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2">
        <f t="shared" si="91"/>
        <v>1900</v>
      </c>
      <c r="G105" s="173">
        <f t="shared" si="75"/>
        <v>2026</v>
      </c>
      <c r="H105" s="173">
        <f t="shared" si="75"/>
        <v>2032</v>
      </c>
      <c r="I105" s="173">
        <f t="shared" si="92"/>
        <v>126</v>
      </c>
      <c r="J105" s="173">
        <f t="shared" si="93"/>
        <v>127</v>
      </c>
      <c r="K105" s="173">
        <f t="shared" si="94"/>
        <v>128</v>
      </c>
      <c r="L105" s="173">
        <f t="shared" si="95"/>
        <v>129</v>
      </c>
      <c r="M105" s="173">
        <f t="shared" si="96"/>
        <v>130</v>
      </c>
      <c r="N105" s="173">
        <f t="shared" si="97"/>
        <v>131</v>
      </c>
      <c r="O105" s="173">
        <f t="shared" si="98"/>
        <v>132</v>
      </c>
      <c r="P105" s="173">
        <f t="shared" si="99"/>
        <v>28</v>
      </c>
      <c r="Q105" s="173">
        <f t="shared" si="100"/>
        <v>28</v>
      </c>
      <c r="R105" s="173">
        <f t="shared" si="101"/>
        <v>28</v>
      </c>
      <c r="S105" s="173">
        <f t="shared" si="102"/>
        <v>28</v>
      </c>
      <c r="T105" s="173">
        <f t="shared" si="103"/>
        <v>28</v>
      </c>
      <c r="U105" s="173">
        <f t="shared" si="104"/>
        <v>28</v>
      </c>
      <c r="V105" s="173">
        <f t="shared" si="105"/>
        <v>28</v>
      </c>
      <c r="W105" s="175">
        <f>IF(P105=2,'A.0_Tablas salariales SC'!$P$9,(IF(P105=6,'A.0_Tablas salariales SC'!$P$10,IF(P105=10,'A.0_Tablas salariales SC'!$P$11,IF(P105=14,'A.0_Tablas salariales SC'!$P$12,IF(P105=18,'A.0_Tablas salariales SC'!$P$13,IF(P105=20,'A.0_Tablas salariales SC'!$P$14,IF(P105=22,'A.0_Tablas salariales SC'!$P$15,IF(P105=24,'A.0_Tablas salariales SC'!$P$16,IF(P105=26,'A.0_Tablas salariales SC'!$P$17,IF(P105=28,'A.0_Tablas salariales SC'!$P$18,0)))))))))))</f>
        <v>446.8</v>
      </c>
      <c r="X105" s="175">
        <f>IF(Q105=2,'A.0_Tablas salariales SC'!$P$36,(IF(Q105=6,'A.0_Tablas salariales SC'!$P$37,IF(Q105=10,'A.0_Tablas salariales SC'!$P$38,IF(Q105=14,'A.0_Tablas salariales SC'!$P$39,IF(Q105=18,'A.0_Tablas salariales SC'!$P$40,IF(Q105=20,'A.0_Tablas salariales SC'!$P$41,IF(Q105=22,'A.0_Tablas salariales SC'!$P$42,IF(Q105=24,'A.0_Tablas salariales SC'!$P$43,IF(Q105=26,'A.0_Tablas salariales SC'!$P$44,IF(Q105=28,'A.0_Tablas salariales SC'!$P$45,0)))))))))))</f>
        <v>462.44</v>
      </c>
      <c r="Y105" s="175">
        <f>IF(R105=2,'A.0_Tablas salariales SC'!$P$63,(IF(R105=6,'A.0_Tablas salariales SC'!$P$64,IF(R105=10,'A.0_Tablas salariales SC'!$P$65,IF(R105=14,'A.0_Tablas salariales SC'!$P$66,IF(R105=18,'A.0_Tablas salariales SC'!$P$67,IF(R105=20,'A.0_Tablas salariales SC'!$P$68,IF(R105=22,'A.0_Tablas salariales SC'!$P$69,IF(R105=24,'A.0_Tablas salariales SC'!$P$70,IF(R105=26,'A.0_Tablas salariales SC'!$P$71,IF(R105=28,'A.0_Tablas salariales SC'!$P$72,0)))))))))))</f>
        <v>480.93</v>
      </c>
      <c r="Z105" s="175">
        <f>IF(S105=2,'A.0_Tablas salariales SC'!$P$90,(IF(S105=6,'A.0_Tablas salariales SC'!$P$91,IF(S105=10,'A.0_Tablas salariales SC'!$P$92,IF(S105=14,'A.0_Tablas salariales SC'!$P$93,IF(S105=18,'A.0_Tablas salariales SC'!$P$94,IF(S105=20,'A.0_Tablas salariales SC'!$P$95,IF(S105=22,'A.0_Tablas salariales SC'!$P$96,IF(S105=24,'A.0_Tablas salariales SC'!$P$97,IF(S105=26,'A.0_Tablas salariales SC'!$P$98,IF(S105=28,'A.0_Tablas salariales SC'!$P$99,0)))))))))))</f>
        <v>502.58</v>
      </c>
      <c r="AA105" s="175">
        <f>IF(T105=2,'A.0_Tablas salariales SC'!$P$117,(IF(T105=6,'A.0_Tablas salariales SC'!$P$118,IF(T105=10,'A.0_Tablas salariales SC'!$P$119,IF(T105=14,'A.0_Tablas salariales SC'!$P$120,IF(T105=18,'A.0_Tablas salariales SC'!$P$121,IF(T105=20,'A.0_Tablas salariales SC'!$P$122,IF(T105=22,'A.0_Tablas salariales SC'!$P$123,IF(T105=24,'A.0_Tablas salariales SC'!$P$124,IF(T105=26,'A.0_Tablas salariales SC'!$P$125,IF(T105=28,'A.0_Tablas salariales SC'!$P$126,0)))))))))))</f>
        <v>527.70000000000005</v>
      </c>
      <c r="AB105" s="175">
        <f>IF(U105=2,'A.0_Tablas salariales SC'!$P$145,(IF(U105=6,'A.0_Tablas salariales SC'!$P$146,IF(U105=10,'A.0_Tablas salariales SC'!$P$147,IF(U105=14,'A.0_Tablas salariales SC'!$P$148,IF(U105=18,'A.0_Tablas salariales SC'!$P$149,IF(U105=20,'A.0_Tablas salariales SC'!$P$150,IF(U105=22,'A.0_Tablas salariales SC'!$P$151,IF(U105=24,'A.0_Tablas salariales SC'!$P$152,IF(U105=26,'A.0_Tablas salariales SC'!$P$153,IF(U105=28,'A.0_Tablas salariales SC'!$P$154,0)))))))))))</f>
        <v>543.53100000000006</v>
      </c>
      <c r="AC105" s="175">
        <f>IF(V105=2,'A.0_Tablas salariales SC'!$P$173,(IF(V105=6,'A.0_Tablas salariales SC'!$P$174,IF(V105=10,'A.0_Tablas salariales SC'!$P$175,IF(V105=14,'A.0_Tablas salariales SC'!$P$176,IF(V105=18,'A.0_Tablas salariales SC'!$P$177,IF(V105=20,'A.0_Tablas salariales SC'!$P$178,IF(V105=22,'A.0_Tablas salariales SC'!$P$179,IF(V105=24,'A.0_Tablas salariales SC'!$P$180,IF(V105=26,'A.0_Tablas salariales SC'!$P$181,IF(V105=28,'A.0_Tablas salariales SC'!$P$182,0)))))))))))</f>
        <v>559.83693000000005</v>
      </c>
    </row>
    <row r="106" spans="1:29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2">
        <f t="shared" si="91"/>
        <v>1900</v>
      </c>
      <c r="G106" s="173">
        <f t="shared" si="75"/>
        <v>2026</v>
      </c>
      <c r="H106" s="173">
        <f t="shared" si="75"/>
        <v>2032</v>
      </c>
      <c r="I106" s="173">
        <f t="shared" si="92"/>
        <v>126</v>
      </c>
      <c r="J106" s="173">
        <f t="shared" si="93"/>
        <v>127</v>
      </c>
      <c r="K106" s="173">
        <f t="shared" si="94"/>
        <v>128</v>
      </c>
      <c r="L106" s="173">
        <f t="shared" si="95"/>
        <v>129</v>
      </c>
      <c r="M106" s="173">
        <f t="shared" si="96"/>
        <v>130</v>
      </c>
      <c r="N106" s="173">
        <f t="shared" si="97"/>
        <v>131</v>
      </c>
      <c r="O106" s="173">
        <f t="shared" si="98"/>
        <v>132</v>
      </c>
      <c r="P106" s="173">
        <f t="shared" si="99"/>
        <v>28</v>
      </c>
      <c r="Q106" s="173">
        <f t="shared" si="100"/>
        <v>28</v>
      </c>
      <c r="R106" s="173">
        <f t="shared" si="101"/>
        <v>28</v>
      </c>
      <c r="S106" s="173">
        <f t="shared" si="102"/>
        <v>28</v>
      </c>
      <c r="T106" s="173">
        <f t="shared" si="103"/>
        <v>28</v>
      </c>
      <c r="U106" s="173">
        <f t="shared" si="104"/>
        <v>28</v>
      </c>
      <c r="V106" s="173">
        <f t="shared" si="105"/>
        <v>28</v>
      </c>
      <c r="W106" s="175">
        <f>IF(P106=2,'A.0_Tablas salariales SC'!$P$9,(IF(P106=6,'A.0_Tablas salariales SC'!$P$10,IF(P106=10,'A.0_Tablas salariales SC'!$P$11,IF(P106=14,'A.0_Tablas salariales SC'!$P$12,IF(P106=18,'A.0_Tablas salariales SC'!$P$13,IF(P106=20,'A.0_Tablas salariales SC'!$P$14,IF(P106=22,'A.0_Tablas salariales SC'!$P$15,IF(P106=24,'A.0_Tablas salariales SC'!$P$16,IF(P106=26,'A.0_Tablas salariales SC'!$P$17,IF(P106=28,'A.0_Tablas salariales SC'!$P$18,0)))))))))))</f>
        <v>446.8</v>
      </c>
      <c r="X106" s="175">
        <f>IF(Q106=2,'A.0_Tablas salariales SC'!$P$36,(IF(Q106=6,'A.0_Tablas salariales SC'!$P$37,IF(Q106=10,'A.0_Tablas salariales SC'!$P$38,IF(Q106=14,'A.0_Tablas salariales SC'!$P$39,IF(Q106=18,'A.0_Tablas salariales SC'!$P$40,IF(Q106=20,'A.0_Tablas salariales SC'!$P$41,IF(Q106=22,'A.0_Tablas salariales SC'!$P$42,IF(Q106=24,'A.0_Tablas salariales SC'!$P$43,IF(Q106=26,'A.0_Tablas salariales SC'!$P$44,IF(Q106=28,'A.0_Tablas salariales SC'!$P$45,0)))))))))))</f>
        <v>462.44</v>
      </c>
      <c r="Y106" s="175">
        <f>IF(R106=2,'A.0_Tablas salariales SC'!$P$63,(IF(R106=6,'A.0_Tablas salariales SC'!$P$64,IF(R106=10,'A.0_Tablas salariales SC'!$P$65,IF(R106=14,'A.0_Tablas salariales SC'!$P$66,IF(R106=18,'A.0_Tablas salariales SC'!$P$67,IF(R106=20,'A.0_Tablas salariales SC'!$P$68,IF(R106=22,'A.0_Tablas salariales SC'!$P$69,IF(R106=24,'A.0_Tablas salariales SC'!$P$70,IF(R106=26,'A.0_Tablas salariales SC'!$P$71,IF(R106=28,'A.0_Tablas salariales SC'!$P$72,0)))))))))))</f>
        <v>480.93</v>
      </c>
      <c r="Z106" s="175">
        <f>IF(S106=2,'A.0_Tablas salariales SC'!$P$90,(IF(S106=6,'A.0_Tablas salariales SC'!$P$91,IF(S106=10,'A.0_Tablas salariales SC'!$P$92,IF(S106=14,'A.0_Tablas salariales SC'!$P$93,IF(S106=18,'A.0_Tablas salariales SC'!$P$94,IF(S106=20,'A.0_Tablas salariales SC'!$P$95,IF(S106=22,'A.0_Tablas salariales SC'!$P$96,IF(S106=24,'A.0_Tablas salariales SC'!$P$97,IF(S106=26,'A.0_Tablas salariales SC'!$P$98,IF(S106=28,'A.0_Tablas salariales SC'!$P$99,0)))))))))))</f>
        <v>502.58</v>
      </c>
      <c r="AA106" s="175">
        <f>IF(T106=2,'A.0_Tablas salariales SC'!$P$117,(IF(T106=6,'A.0_Tablas salariales SC'!$P$118,IF(T106=10,'A.0_Tablas salariales SC'!$P$119,IF(T106=14,'A.0_Tablas salariales SC'!$P$120,IF(T106=18,'A.0_Tablas salariales SC'!$P$121,IF(T106=20,'A.0_Tablas salariales SC'!$P$122,IF(T106=22,'A.0_Tablas salariales SC'!$P$123,IF(T106=24,'A.0_Tablas salariales SC'!$P$124,IF(T106=26,'A.0_Tablas salariales SC'!$P$125,IF(T106=28,'A.0_Tablas salariales SC'!$P$126,0)))))))))))</f>
        <v>527.70000000000005</v>
      </c>
      <c r="AB106" s="175">
        <f>IF(U106=2,'A.0_Tablas salariales SC'!$P$145,(IF(U106=6,'A.0_Tablas salariales SC'!$P$146,IF(U106=10,'A.0_Tablas salariales SC'!$P$147,IF(U106=14,'A.0_Tablas salariales SC'!$P$148,IF(U106=18,'A.0_Tablas salariales SC'!$P$149,IF(U106=20,'A.0_Tablas salariales SC'!$P$150,IF(U106=22,'A.0_Tablas salariales SC'!$P$151,IF(U106=24,'A.0_Tablas salariales SC'!$P$152,IF(U106=26,'A.0_Tablas salariales SC'!$P$153,IF(U106=28,'A.0_Tablas salariales SC'!$P$154,0)))))))))))</f>
        <v>543.53100000000006</v>
      </c>
      <c r="AC106" s="175">
        <f>IF(V106=2,'A.0_Tablas salariales SC'!$P$173,(IF(V106=6,'A.0_Tablas salariales SC'!$P$174,IF(V106=10,'A.0_Tablas salariales SC'!$P$175,IF(V106=14,'A.0_Tablas salariales SC'!$P$176,IF(V106=18,'A.0_Tablas salariales SC'!$P$177,IF(V106=20,'A.0_Tablas salariales SC'!$P$178,IF(V106=22,'A.0_Tablas salariales SC'!$P$179,IF(V106=24,'A.0_Tablas salariales SC'!$P$180,IF(V106=26,'A.0_Tablas salariales SC'!$P$181,IF(V106=28,'A.0_Tablas salariales SC'!$P$182,0)))))))))))</f>
        <v>559.83693000000005</v>
      </c>
    </row>
    <row r="107" spans="1:29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2">
        <f t="shared" si="91"/>
        <v>1900</v>
      </c>
      <c r="G107" s="173">
        <f t="shared" si="75"/>
        <v>2026</v>
      </c>
      <c r="H107" s="173">
        <f t="shared" si="75"/>
        <v>2032</v>
      </c>
      <c r="I107" s="173">
        <f t="shared" si="92"/>
        <v>126</v>
      </c>
      <c r="J107" s="173">
        <f t="shared" si="93"/>
        <v>127</v>
      </c>
      <c r="K107" s="173">
        <f t="shared" si="94"/>
        <v>128</v>
      </c>
      <c r="L107" s="173">
        <f t="shared" si="95"/>
        <v>129</v>
      </c>
      <c r="M107" s="173">
        <f t="shared" si="96"/>
        <v>130</v>
      </c>
      <c r="N107" s="173">
        <f t="shared" si="97"/>
        <v>131</v>
      </c>
      <c r="O107" s="173">
        <f t="shared" si="98"/>
        <v>132</v>
      </c>
      <c r="P107" s="173">
        <f t="shared" si="99"/>
        <v>28</v>
      </c>
      <c r="Q107" s="173">
        <f t="shared" si="100"/>
        <v>28</v>
      </c>
      <c r="R107" s="173">
        <f t="shared" si="101"/>
        <v>28</v>
      </c>
      <c r="S107" s="173">
        <f t="shared" si="102"/>
        <v>28</v>
      </c>
      <c r="T107" s="173">
        <f t="shared" si="103"/>
        <v>28</v>
      </c>
      <c r="U107" s="173">
        <f t="shared" si="104"/>
        <v>28</v>
      </c>
      <c r="V107" s="173">
        <f t="shared" si="105"/>
        <v>28</v>
      </c>
      <c r="W107" s="175">
        <f>IF(P107=2,'A.0_Tablas salariales SC'!$P$9,(IF(P107=6,'A.0_Tablas salariales SC'!$P$10,IF(P107=10,'A.0_Tablas salariales SC'!$P$11,IF(P107=14,'A.0_Tablas salariales SC'!$P$12,IF(P107=18,'A.0_Tablas salariales SC'!$P$13,IF(P107=20,'A.0_Tablas salariales SC'!$P$14,IF(P107=22,'A.0_Tablas salariales SC'!$P$15,IF(P107=24,'A.0_Tablas salariales SC'!$P$16,IF(P107=26,'A.0_Tablas salariales SC'!$P$17,IF(P107=28,'A.0_Tablas salariales SC'!$P$18,0)))))))))))</f>
        <v>446.8</v>
      </c>
      <c r="X107" s="175">
        <f>IF(Q107=2,'A.0_Tablas salariales SC'!$P$36,(IF(Q107=6,'A.0_Tablas salariales SC'!$P$37,IF(Q107=10,'A.0_Tablas salariales SC'!$P$38,IF(Q107=14,'A.0_Tablas salariales SC'!$P$39,IF(Q107=18,'A.0_Tablas salariales SC'!$P$40,IF(Q107=20,'A.0_Tablas salariales SC'!$P$41,IF(Q107=22,'A.0_Tablas salariales SC'!$P$42,IF(Q107=24,'A.0_Tablas salariales SC'!$P$43,IF(Q107=26,'A.0_Tablas salariales SC'!$P$44,IF(Q107=28,'A.0_Tablas salariales SC'!$P$45,0)))))))))))</f>
        <v>462.44</v>
      </c>
      <c r="Y107" s="175">
        <f>IF(R107=2,'A.0_Tablas salariales SC'!$P$63,(IF(R107=6,'A.0_Tablas salariales SC'!$P$64,IF(R107=10,'A.0_Tablas salariales SC'!$P$65,IF(R107=14,'A.0_Tablas salariales SC'!$P$66,IF(R107=18,'A.0_Tablas salariales SC'!$P$67,IF(R107=20,'A.0_Tablas salariales SC'!$P$68,IF(R107=22,'A.0_Tablas salariales SC'!$P$69,IF(R107=24,'A.0_Tablas salariales SC'!$P$70,IF(R107=26,'A.0_Tablas salariales SC'!$P$71,IF(R107=28,'A.0_Tablas salariales SC'!$P$72,0)))))))))))</f>
        <v>480.93</v>
      </c>
      <c r="Z107" s="175">
        <f>IF(S107=2,'A.0_Tablas salariales SC'!$P$90,(IF(S107=6,'A.0_Tablas salariales SC'!$P$91,IF(S107=10,'A.0_Tablas salariales SC'!$P$92,IF(S107=14,'A.0_Tablas salariales SC'!$P$93,IF(S107=18,'A.0_Tablas salariales SC'!$P$94,IF(S107=20,'A.0_Tablas salariales SC'!$P$95,IF(S107=22,'A.0_Tablas salariales SC'!$P$96,IF(S107=24,'A.0_Tablas salariales SC'!$P$97,IF(S107=26,'A.0_Tablas salariales SC'!$P$98,IF(S107=28,'A.0_Tablas salariales SC'!$P$99,0)))))))))))</f>
        <v>502.58</v>
      </c>
      <c r="AA107" s="175">
        <f>IF(T107=2,'A.0_Tablas salariales SC'!$P$117,(IF(T107=6,'A.0_Tablas salariales SC'!$P$118,IF(T107=10,'A.0_Tablas salariales SC'!$P$119,IF(T107=14,'A.0_Tablas salariales SC'!$P$120,IF(T107=18,'A.0_Tablas salariales SC'!$P$121,IF(T107=20,'A.0_Tablas salariales SC'!$P$122,IF(T107=22,'A.0_Tablas salariales SC'!$P$123,IF(T107=24,'A.0_Tablas salariales SC'!$P$124,IF(T107=26,'A.0_Tablas salariales SC'!$P$125,IF(T107=28,'A.0_Tablas salariales SC'!$P$126,0)))))))))))</f>
        <v>527.70000000000005</v>
      </c>
      <c r="AB107" s="175">
        <f>IF(U107=2,'A.0_Tablas salariales SC'!$P$145,(IF(U107=6,'A.0_Tablas salariales SC'!$P$146,IF(U107=10,'A.0_Tablas salariales SC'!$P$147,IF(U107=14,'A.0_Tablas salariales SC'!$P$148,IF(U107=18,'A.0_Tablas salariales SC'!$P$149,IF(U107=20,'A.0_Tablas salariales SC'!$P$150,IF(U107=22,'A.0_Tablas salariales SC'!$P$151,IF(U107=24,'A.0_Tablas salariales SC'!$P$152,IF(U107=26,'A.0_Tablas salariales SC'!$P$153,IF(U107=28,'A.0_Tablas salariales SC'!$P$154,0)))))))))))</f>
        <v>543.53100000000006</v>
      </c>
      <c r="AC107" s="175">
        <f>IF(V107=2,'A.0_Tablas salariales SC'!$P$173,(IF(V107=6,'A.0_Tablas salariales SC'!$P$174,IF(V107=10,'A.0_Tablas salariales SC'!$P$175,IF(V107=14,'A.0_Tablas salariales SC'!$P$176,IF(V107=18,'A.0_Tablas salariales SC'!$P$177,IF(V107=20,'A.0_Tablas salariales SC'!$P$178,IF(V107=22,'A.0_Tablas salariales SC'!$P$179,IF(V107=24,'A.0_Tablas salariales SC'!$P$180,IF(V107=26,'A.0_Tablas salariales SC'!$P$181,IF(V107=28,'A.0_Tablas salariales SC'!$P$182,0)))))))))))</f>
        <v>559.83693000000005</v>
      </c>
    </row>
    <row r="108" spans="1:29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2">
        <f t="shared" si="91"/>
        <v>1900</v>
      </c>
      <c r="G108" s="173">
        <f t="shared" si="75"/>
        <v>2026</v>
      </c>
      <c r="H108" s="173">
        <f t="shared" si="75"/>
        <v>2032</v>
      </c>
      <c r="I108" s="173">
        <f t="shared" si="92"/>
        <v>126</v>
      </c>
      <c r="J108" s="173">
        <f t="shared" si="93"/>
        <v>127</v>
      </c>
      <c r="K108" s="173">
        <f t="shared" si="94"/>
        <v>128</v>
      </c>
      <c r="L108" s="173">
        <f t="shared" si="95"/>
        <v>129</v>
      </c>
      <c r="M108" s="173">
        <f t="shared" si="96"/>
        <v>130</v>
      </c>
      <c r="N108" s="173">
        <f t="shared" si="97"/>
        <v>131</v>
      </c>
      <c r="O108" s="173">
        <f t="shared" si="98"/>
        <v>132</v>
      </c>
      <c r="P108" s="173">
        <f t="shared" si="99"/>
        <v>28</v>
      </c>
      <c r="Q108" s="173">
        <f t="shared" si="100"/>
        <v>28</v>
      </c>
      <c r="R108" s="173">
        <f t="shared" si="101"/>
        <v>28</v>
      </c>
      <c r="S108" s="173">
        <f t="shared" si="102"/>
        <v>28</v>
      </c>
      <c r="T108" s="173">
        <f t="shared" si="103"/>
        <v>28</v>
      </c>
      <c r="U108" s="173">
        <f t="shared" si="104"/>
        <v>28</v>
      </c>
      <c r="V108" s="173">
        <f t="shared" si="105"/>
        <v>28</v>
      </c>
      <c r="W108" s="175">
        <f>IF(P108=2,'A.0_Tablas salariales SC'!$P$9,(IF(P108=6,'A.0_Tablas salariales SC'!$P$10,IF(P108=10,'A.0_Tablas salariales SC'!$P$11,IF(P108=14,'A.0_Tablas salariales SC'!$P$12,IF(P108=18,'A.0_Tablas salariales SC'!$P$13,IF(P108=20,'A.0_Tablas salariales SC'!$P$14,IF(P108=22,'A.0_Tablas salariales SC'!$P$15,IF(P108=24,'A.0_Tablas salariales SC'!$P$16,IF(P108=26,'A.0_Tablas salariales SC'!$P$17,IF(P108=28,'A.0_Tablas salariales SC'!$P$18,0)))))))))))</f>
        <v>446.8</v>
      </c>
      <c r="X108" s="175">
        <f>IF(Q108=2,'A.0_Tablas salariales SC'!$P$36,(IF(Q108=6,'A.0_Tablas salariales SC'!$P$37,IF(Q108=10,'A.0_Tablas salariales SC'!$P$38,IF(Q108=14,'A.0_Tablas salariales SC'!$P$39,IF(Q108=18,'A.0_Tablas salariales SC'!$P$40,IF(Q108=20,'A.0_Tablas salariales SC'!$P$41,IF(Q108=22,'A.0_Tablas salariales SC'!$P$42,IF(Q108=24,'A.0_Tablas salariales SC'!$P$43,IF(Q108=26,'A.0_Tablas salariales SC'!$P$44,IF(Q108=28,'A.0_Tablas salariales SC'!$P$45,0)))))))))))</f>
        <v>462.44</v>
      </c>
      <c r="Y108" s="175">
        <f>IF(R108=2,'A.0_Tablas salariales SC'!$P$63,(IF(R108=6,'A.0_Tablas salariales SC'!$P$64,IF(R108=10,'A.0_Tablas salariales SC'!$P$65,IF(R108=14,'A.0_Tablas salariales SC'!$P$66,IF(R108=18,'A.0_Tablas salariales SC'!$P$67,IF(R108=20,'A.0_Tablas salariales SC'!$P$68,IF(R108=22,'A.0_Tablas salariales SC'!$P$69,IF(R108=24,'A.0_Tablas salariales SC'!$P$70,IF(R108=26,'A.0_Tablas salariales SC'!$P$71,IF(R108=28,'A.0_Tablas salariales SC'!$P$72,0)))))))))))</f>
        <v>480.93</v>
      </c>
      <c r="Z108" s="175">
        <f>IF(S108=2,'A.0_Tablas salariales SC'!$P$90,(IF(S108=6,'A.0_Tablas salariales SC'!$P$91,IF(S108=10,'A.0_Tablas salariales SC'!$P$92,IF(S108=14,'A.0_Tablas salariales SC'!$P$93,IF(S108=18,'A.0_Tablas salariales SC'!$P$94,IF(S108=20,'A.0_Tablas salariales SC'!$P$95,IF(S108=22,'A.0_Tablas salariales SC'!$P$96,IF(S108=24,'A.0_Tablas salariales SC'!$P$97,IF(S108=26,'A.0_Tablas salariales SC'!$P$98,IF(S108=28,'A.0_Tablas salariales SC'!$P$99,0)))))))))))</f>
        <v>502.58</v>
      </c>
      <c r="AA108" s="175">
        <f>IF(T108=2,'A.0_Tablas salariales SC'!$P$117,(IF(T108=6,'A.0_Tablas salariales SC'!$P$118,IF(T108=10,'A.0_Tablas salariales SC'!$P$119,IF(T108=14,'A.0_Tablas salariales SC'!$P$120,IF(T108=18,'A.0_Tablas salariales SC'!$P$121,IF(T108=20,'A.0_Tablas salariales SC'!$P$122,IF(T108=22,'A.0_Tablas salariales SC'!$P$123,IF(T108=24,'A.0_Tablas salariales SC'!$P$124,IF(T108=26,'A.0_Tablas salariales SC'!$P$125,IF(T108=28,'A.0_Tablas salariales SC'!$P$126,0)))))))))))</f>
        <v>527.70000000000005</v>
      </c>
      <c r="AB108" s="175">
        <f>IF(U108=2,'A.0_Tablas salariales SC'!$P$145,(IF(U108=6,'A.0_Tablas salariales SC'!$P$146,IF(U108=10,'A.0_Tablas salariales SC'!$P$147,IF(U108=14,'A.0_Tablas salariales SC'!$P$148,IF(U108=18,'A.0_Tablas salariales SC'!$P$149,IF(U108=20,'A.0_Tablas salariales SC'!$P$150,IF(U108=22,'A.0_Tablas salariales SC'!$P$151,IF(U108=24,'A.0_Tablas salariales SC'!$P$152,IF(U108=26,'A.0_Tablas salariales SC'!$P$153,IF(U108=28,'A.0_Tablas salariales SC'!$P$154,0)))))))))))</f>
        <v>543.53100000000006</v>
      </c>
      <c r="AC108" s="175">
        <f>IF(V108=2,'A.0_Tablas salariales SC'!$P$173,(IF(V108=6,'A.0_Tablas salariales SC'!$P$174,IF(V108=10,'A.0_Tablas salariales SC'!$P$175,IF(V108=14,'A.0_Tablas salariales SC'!$P$176,IF(V108=18,'A.0_Tablas salariales SC'!$P$177,IF(V108=20,'A.0_Tablas salariales SC'!$P$178,IF(V108=22,'A.0_Tablas salariales SC'!$P$179,IF(V108=24,'A.0_Tablas salariales SC'!$P$180,IF(V108=26,'A.0_Tablas salariales SC'!$P$181,IF(V108=28,'A.0_Tablas salariales SC'!$P$182,0)))))))))))</f>
        <v>559.83693000000005</v>
      </c>
    </row>
    <row r="109" spans="1:29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2">
        <f t="shared" si="91"/>
        <v>1900</v>
      </c>
      <c r="G109" s="173">
        <f t="shared" si="75"/>
        <v>2026</v>
      </c>
      <c r="H109" s="173">
        <f t="shared" si="75"/>
        <v>2032</v>
      </c>
      <c r="I109" s="173">
        <f t="shared" si="92"/>
        <v>126</v>
      </c>
      <c r="J109" s="173">
        <f t="shared" si="93"/>
        <v>127</v>
      </c>
      <c r="K109" s="173">
        <f t="shared" si="94"/>
        <v>128</v>
      </c>
      <c r="L109" s="173">
        <f t="shared" si="95"/>
        <v>129</v>
      </c>
      <c r="M109" s="173">
        <f t="shared" si="96"/>
        <v>130</v>
      </c>
      <c r="N109" s="173">
        <f t="shared" si="97"/>
        <v>131</v>
      </c>
      <c r="O109" s="173">
        <f t="shared" si="98"/>
        <v>132</v>
      </c>
      <c r="P109" s="173">
        <f t="shared" si="99"/>
        <v>28</v>
      </c>
      <c r="Q109" s="173">
        <f t="shared" si="100"/>
        <v>28</v>
      </c>
      <c r="R109" s="173">
        <f t="shared" si="101"/>
        <v>28</v>
      </c>
      <c r="S109" s="173">
        <f t="shared" si="102"/>
        <v>28</v>
      </c>
      <c r="T109" s="173">
        <f t="shared" si="103"/>
        <v>28</v>
      </c>
      <c r="U109" s="173">
        <f t="shared" si="104"/>
        <v>28</v>
      </c>
      <c r="V109" s="173">
        <f t="shared" si="105"/>
        <v>28</v>
      </c>
      <c r="W109" s="175">
        <f>IF(P109=2,'A.0_Tablas salariales SC'!$P$9,(IF(P109=6,'A.0_Tablas salariales SC'!$P$10,IF(P109=10,'A.0_Tablas salariales SC'!$P$11,IF(P109=14,'A.0_Tablas salariales SC'!$P$12,IF(P109=18,'A.0_Tablas salariales SC'!$P$13,IF(P109=20,'A.0_Tablas salariales SC'!$P$14,IF(P109=22,'A.0_Tablas salariales SC'!$P$15,IF(P109=24,'A.0_Tablas salariales SC'!$P$16,IF(P109=26,'A.0_Tablas salariales SC'!$P$17,IF(P109=28,'A.0_Tablas salariales SC'!$P$18,0)))))))))))</f>
        <v>446.8</v>
      </c>
      <c r="X109" s="175">
        <f>IF(Q109=2,'A.0_Tablas salariales SC'!$P$36,(IF(Q109=6,'A.0_Tablas salariales SC'!$P$37,IF(Q109=10,'A.0_Tablas salariales SC'!$P$38,IF(Q109=14,'A.0_Tablas salariales SC'!$P$39,IF(Q109=18,'A.0_Tablas salariales SC'!$P$40,IF(Q109=20,'A.0_Tablas salariales SC'!$P$41,IF(Q109=22,'A.0_Tablas salariales SC'!$P$42,IF(Q109=24,'A.0_Tablas salariales SC'!$P$43,IF(Q109=26,'A.0_Tablas salariales SC'!$P$44,IF(Q109=28,'A.0_Tablas salariales SC'!$P$45,0)))))))))))</f>
        <v>462.44</v>
      </c>
      <c r="Y109" s="175">
        <f>IF(R109=2,'A.0_Tablas salariales SC'!$P$63,(IF(R109=6,'A.0_Tablas salariales SC'!$P$64,IF(R109=10,'A.0_Tablas salariales SC'!$P$65,IF(R109=14,'A.0_Tablas salariales SC'!$P$66,IF(R109=18,'A.0_Tablas salariales SC'!$P$67,IF(R109=20,'A.0_Tablas salariales SC'!$P$68,IF(R109=22,'A.0_Tablas salariales SC'!$P$69,IF(R109=24,'A.0_Tablas salariales SC'!$P$70,IF(R109=26,'A.0_Tablas salariales SC'!$P$71,IF(R109=28,'A.0_Tablas salariales SC'!$P$72,0)))))))))))</f>
        <v>480.93</v>
      </c>
      <c r="Z109" s="175">
        <f>IF(S109=2,'A.0_Tablas salariales SC'!$P$90,(IF(S109=6,'A.0_Tablas salariales SC'!$P$91,IF(S109=10,'A.0_Tablas salariales SC'!$P$92,IF(S109=14,'A.0_Tablas salariales SC'!$P$93,IF(S109=18,'A.0_Tablas salariales SC'!$P$94,IF(S109=20,'A.0_Tablas salariales SC'!$P$95,IF(S109=22,'A.0_Tablas salariales SC'!$P$96,IF(S109=24,'A.0_Tablas salariales SC'!$P$97,IF(S109=26,'A.0_Tablas salariales SC'!$P$98,IF(S109=28,'A.0_Tablas salariales SC'!$P$99,0)))))))))))</f>
        <v>502.58</v>
      </c>
      <c r="AA109" s="175">
        <f>IF(T109=2,'A.0_Tablas salariales SC'!$P$117,(IF(T109=6,'A.0_Tablas salariales SC'!$P$118,IF(T109=10,'A.0_Tablas salariales SC'!$P$119,IF(T109=14,'A.0_Tablas salariales SC'!$P$120,IF(T109=18,'A.0_Tablas salariales SC'!$P$121,IF(T109=20,'A.0_Tablas salariales SC'!$P$122,IF(T109=22,'A.0_Tablas salariales SC'!$P$123,IF(T109=24,'A.0_Tablas salariales SC'!$P$124,IF(T109=26,'A.0_Tablas salariales SC'!$P$125,IF(T109=28,'A.0_Tablas salariales SC'!$P$126,0)))))))))))</f>
        <v>527.70000000000005</v>
      </c>
      <c r="AB109" s="175">
        <f>IF(U109=2,'A.0_Tablas salariales SC'!$P$145,(IF(U109=6,'A.0_Tablas salariales SC'!$P$146,IF(U109=10,'A.0_Tablas salariales SC'!$P$147,IF(U109=14,'A.0_Tablas salariales SC'!$P$148,IF(U109=18,'A.0_Tablas salariales SC'!$P$149,IF(U109=20,'A.0_Tablas salariales SC'!$P$150,IF(U109=22,'A.0_Tablas salariales SC'!$P$151,IF(U109=24,'A.0_Tablas salariales SC'!$P$152,IF(U109=26,'A.0_Tablas salariales SC'!$P$153,IF(U109=28,'A.0_Tablas salariales SC'!$P$154,0)))))))))))</f>
        <v>543.53100000000006</v>
      </c>
      <c r="AC109" s="175">
        <f>IF(V109=2,'A.0_Tablas salariales SC'!$P$173,(IF(V109=6,'A.0_Tablas salariales SC'!$P$174,IF(V109=10,'A.0_Tablas salariales SC'!$P$175,IF(V109=14,'A.0_Tablas salariales SC'!$P$176,IF(V109=18,'A.0_Tablas salariales SC'!$P$177,IF(V109=20,'A.0_Tablas salariales SC'!$P$178,IF(V109=22,'A.0_Tablas salariales SC'!$P$179,IF(V109=24,'A.0_Tablas salariales SC'!$P$180,IF(V109=26,'A.0_Tablas salariales SC'!$P$181,IF(V109=28,'A.0_Tablas salariales SC'!$P$182,0)))))))))))</f>
        <v>559.83693000000005</v>
      </c>
    </row>
    <row r="110" spans="1:29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2">
        <f t="shared" si="91"/>
        <v>1900</v>
      </c>
      <c r="G110" s="173">
        <f t="shared" si="75"/>
        <v>2026</v>
      </c>
      <c r="H110" s="173">
        <f t="shared" si="75"/>
        <v>2032</v>
      </c>
      <c r="I110" s="173">
        <f t="shared" si="92"/>
        <v>126</v>
      </c>
      <c r="J110" s="173">
        <f t="shared" si="93"/>
        <v>127</v>
      </c>
      <c r="K110" s="173">
        <f t="shared" si="94"/>
        <v>128</v>
      </c>
      <c r="L110" s="173">
        <f t="shared" si="95"/>
        <v>129</v>
      </c>
      <c r="M110" s="173">
        <f t="shared" si="96"/>
        <v>130</v>
      </c>
      <c r="N110" s="173">
        <f t="shared" si="97"/>
        <v>131</v>
      </c>
      <c r="O110" s="173">
        <f t="shared" si="98"/>
        <v>132</v>
      </c>
      <c r="P110" s="173">
        <f t="shared" si="99"/>
        <v>28</v>
      </c>
      <c r="Q110" s="173">
        <f t="shared" si="100"/>
        <v>28</v>
      </c>
      <c r="R110" s="173">
        <f t="shared" si="101"/>
        <v>28</v>
      </c>
      <c r="S110" s="173">
        <f t="shared" si="102"/>
        <v>28</v>
      </c>
      <c r="T110" s="173">
        <f t="shared" si="103"/>
        <v>28</v>
      </c>
      <c r="U110" s="173">
        <f t="shared" si="104"/>
        <v>28</v>
      </c>
      <c r="V110" s="173">
        <f t="shared" si="105"/>
        <v>28</v>
      </c>
      <c r="W110" s="175">
        <f>IF(P110=2,'A.0_Tablas salariales SC'!$P$9,(IF(P110=6,'A.0_Tablas salariales SC'!$P$10,IF(P110=10,'A.0_Tablas salariales SC'!$P$11,IF(P110=14,'A.0_Tablas salariales SC'!$P$12,IF(P110=18,'A.0_Tablas salariales SC'!$P$13,IF(P110=20,'A.0_Tablas salariales SC'!$P$14,IF(P110=22,'A.0_Tablas salariales SC'!$P$15,IF(P110=24,'A.0_Tablas salariales SC'!$P$16,IF(P110=26,'A.0_Tablas salariales SC'!$P$17,IF(P110=28,'A.0_Tablas salariales SC'!$P$18,0)))))))))))</f>
        <v>446.8</v>
      </c>
      <c r="X110" s="175">
        <f>IF(Q110=2,'A.0_Tablas salariales SC'!$P$36,(IF(Q110=6,'A.0_Tablas salariales SC'!$P$37,IF(Q110=10,'A.0_Tablas salariales SC'!$P$38,IF(Q110=14,'A.0_Tablas salariales SC'!$P$39,IF(Q110=18,'A.0_Tablas salariales SC'!$P$40,IF(Q110=20,'A.0_Tablas salariales SC'!$P$41,IF(Q110=22,'A.0_Tablas salariales SC'!$P$42,IF(Q110=24,'A.0_Tablas salariales SC'!$P$43,IF(Q110=26,'A.0_Tablas salariales SC'!$P$44,IF(Q110=28,'A.0_Tablas salariales SC'!$P$45,0)))))))))))</f>
        <v>462.44</v>
      </c>
      <c r="Y110" s="175">
        <f>IF(R110=2,'A.0_Tablas salariales SC'!$P$63,(IF(R110=6,'A.0_Tablas salariales SC'!$P$64,IF(R110=10,'A.0_Tablas salariales SC'!$P$65,IF(R110=14,'A.0_Tablas salariales SC'!$P$66,IF(R110=18,'A.0_Tablas salariales SC'!$P$67,IF(R110=20,'A.0_Tablas salariales SC'!$P$68,IF(R110=22,'A.0_Tablas salariales SC'!$P$69,IF(R110=24,'A.0_Tablas salariales SC'!$P$70,IF(R110=26,'A.0_Tablas salariales SC'!$P$71,IF(R110=28,'A.0_Tablas salariales SC'!$P$72,0)))))))))))</f>
        <v>480.93</v>
      </c>
      <c r="Z110" s="175">
        <f>IF(S110=2,'A.0_Tablas salariales SC'!$P$90,(IF(S110=6,'A.0_Tablas salariales SC'!$P$91,IF(S110=10,'A.0_Tablas salariales SC'!$P$92,IF(S110=14,'A.0_Tablas salariales SC'!$P$93,IF(S110=18,'A.0_Tablas salariales SC'!$P$94,IF(S110=20,'A.0_Tablas salariales SC'!$P$95,IF(S110=22,'A.0_Tablas salariales SC'!$P$96,IF(S110=24,'A.0_Tablas salariales SC'!$P$97,IF(S110=26,'A.0_Tablas salariales SC'!$P$98,IF(S110=28,'A.0_Tablas salariales SC'!$P$99,0)))))))))))</f>
        <v>502.58</v>
      </c>
      <c r="AA110" s="175">
        <f>IF(T110=2,'A.0_Tablas salariales SC'!$P$117,(IF(T110=6,'A.0_Tablas salariales SC'!$P$118,IF(T110=10,'A.0_Tablas salariales SC'!$P$119,IF(T110=14,'A.0_Tablas salariales SC'!$P$120,IF(T110=18,'A.0_Tablas salariales SC'!$P$121,IF(T110=20,'A.0_Tablas salariales SC'!$P$122,IF(T110=22,'A.0_Tablas salariales SC'!$P$123,IF(T110=24,'A.0_Tablas salariales SC'!$P$124,IF(T110=26,'A.0_Tablas salariales SC'!$P$125,IF(T110=28,'A.0_Tablas salariales SC'!$P$126,0)))))))))))</f>
        <v>527.70000000000005</v>
      </c>
      <c r="AB110" s="175">
        <f>IF(U110=2,'A.0_Tablas salariales SC'!$P$145,(IF(U110=6,'A.0_Tablas salariales SC'!$P$146,IF(U110=10,'A.0_Tablas salariales SC'!$P$147,IF(U110=14,'A.0_Tablas salariales SC'!$P$148,IF(U110=18,'A.0_Tablas salariales SC'!$P$149,IF(U110=20,'A.0_Tablas salariales SC'!$P$150,IF(U110=22,'A.0_Tablas salariales SC'!$P$151,IF(U110=24,'A.0_Tablas salariales SC'!$P$152,IF(U110=26,'A.0_Tablas salariales SC'!$P$153,IF(U110=28,'A.0_Tablas salariales SC'!$P$154,0)))))))))))</f>
        <v>543.53100000000006</v>
      </c>
      <c r="AC110" s="175">
        <f>IF(V110=2,'A.0_Tablas salariales SC'!$P$173,(IF(V110=6,'A.0_Tablas salariales SC'!$P$174,IF(V110=10,'A.0_Tablas salariales SC'!$P$175,IF(V110=14,'A.0_Tablas salariales SC'!$P$176,IF(V110=18,'A.0_Tablas salariales SC'!$P$177,IF(V110=20,'A.0_Tablas salariales SC'!$P$178,IF(V110=22,'A.0_Tablas salariales SC'!$P$179,IF(V110=24,'A.0_Tablas salariales SC'!$P$180,IF(V110=26,'A.0_Tablas salariales SC'!$P$181,IF(V110=28,'A.0_Tablas salariales SC'!$P$182,0)))))))))))</f>
        <v>559.83693000000005</v>
      </c>
    </row>
    <row r="111" spans="1:29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2">
        <f t="shared" si="91"/>
        <v>1900</v>
      </c>
      <c r="G111" s="173">
        <f t="shared" si="75"/>
        <v>2026</v>
      </c>
      <c r="H111" s="173">
        <f t="shared" si="75"/>
        <v>2032</v>
      </c>
      <c r="I111" s="173">
        <f t="shared" si="92"/>
        <v>126</v>
      </c>
      <c r="J111" s="173">
        <f t="shared" si="93"/>
        <v>127</v>
      </c>
      <c r="K111" s="173">
        <f t="shared" si="94"/>
        <v>128</v>
      </c>
      <c r="L111" s="173">
        <f t="shared" si="95"/>
        <v>129</v>
      </c>
      <c r="M111" s="173">
        <f t="shared" si="96"/>
        <v>130</v>
      </c>
      <c r="N111" s="173">
        <f t="shared" si="97"/>
        <v>131</v>
      </c>
      <c r="O111" s="173">
        <f t="shared" si="98"/>
        <v>132</v>
      </c>
      <c r="P111" s="173">
        <f t="shared" si="99"/>
        <v>28</v>
      </c>
      <c r="Q111" s="173">
        <f t="shared" si="100"/>
        <v>28</v>
      </c>
      <c r="R111" s="173">
        <f t="shared" si="101"/>
        <v>28</v>
      </c>
      <c r="S111" s="173">
        <f t="shared" si="102"/>
        <v>28</v>
      </c>
      <c r="T111" s="173">
        <f t="shared" si="103"/>
        <v>28</v>
      </c>
      <c r="U111" s="173">
        <f t="shared" si="104"/>
        <v>28</v>
      </c>
      <c r="V111" s="173">
        <f t="shared" si="105"/>
        <v>28</v>
      </c>
      <c r="W111" s="175">
        <f>IF(P111=2,'A.0_Tablas salariales SC'!$P$9,(IF(P111=6,'A.0_Tablas salariales SC'!$P$10,IF(P111=10,'A.0_Tablas salariales SC'!$P$11,IF(P111=14,'A.0_Tablas salariales SC'!$P$12,IF(P111=18,'A.0_Tablas salariales SC'!$P$13,IF(P111=20,'A.0_Tablas salariales SC'!$P$14,IF(P111=22,'A.0_Tablas salariales SC'!$P$15,IF(P111=24,'A.0_Tablas salariales SC'!$P$16,IF(P111=26,'A.0_Tablas salariales SC'!$P$17,IF(P111=28,'A.0_Tablas salariales SC'!$P$18,0)))))))))))</f>
        <v>446.8</v>
      </c>
      <c r="X111" s="175">
        <f>IF(Q111=2,'A.0_Tablas salariales SC'!$P$36,(IF(Q111=6,'A.0_Tablas salariales SC'!$P$37,IF(Q111=10,'A.0_Tablas salariales SC'!$P$38,IF(Q111=14,'A.0_Tablas salariales SC'!$P$39,IF(Q111=18,'A.0_Tablas salariales SC'!$P$40,IF(Q111=20,'A.0_Tablas salariales SC'!$P$41,IF(Q111=22,'A.0_Tablas salariales SC'!$P$42,IF(Q111=24,'A.0_Tablas salariales SC'!$P$43,IF(Q111=26,'A.0_Tablas salariales SC'!$P$44,IF(Q111=28,'A.0_Tablas salariales SC'!$P$45,0)))))))))))</f>
        <v>462.44</v>
      </c>
      <c r="Y111" s="175">
        <f>IF(R111=2,'A.0_Tablas salariales SC'!$P$63,(IF(R111=6,'A.0_Tablas salariales SC'!$P$64,IF(R111=10,'A.0_Tablas salariales SC'!$P$65,IF(R111=14,'A.0_Tablas salariales SC'!$P$66,IF(R111=18,'A.0_Tablas salariales SC'!$P$67,IF(R111=20,'A.0_Tablas salariales SC'!$P$68,IF(R111=22,'A.0_Tablas salariales SC'!$P$69,IF(R111=24,'A.0_Tablas salariales SC'!$P$70,IF(R111=26,'A.0_Tablas salariales SC'!$P$71,IF(R111=28,'A.0_Tablas salariales SC'!$P$72,0)))))))))))</f>
        <v>480.93</v>
      </c>
      <c r="Z111" s="175">
        <f>IF(S111=2,'A.0_Tablas salariales SC'!$P$90,(IF(S111=6,'A.0_Tablas salariales SC'!$P$91,IF(S111=10,'A.0_Tablas salariales SC'!$P$92,IF(S111=14,'A.0_Tablas salariales SC'!$P$93,IF(S111=18,'A.0_Tablas salariales SC'!$P$94,IF(S111=20,'A.0_Tablas salariales SC'!$P$95,IF(S111=22,'A.0_Tablas salariales SC'!$P$96,IF(S111=24,'A.0_Tablas salariales SC'!$P$97,IF(S111=26,'A.0_Tablas salariales SC'!$P$98,IF(S111=28,'A.0_Tablas salariales SC'!$P$99,0)))))))))))</f>
        <v>502.58</v>
      </c>
      <c r="AA111" s="175">
        <f>IF(T111=2,'A.0_Tablas salariales SC'!$P$117,(IF(T111=6,'A.0_Tablas salariales SC'!$P$118,IF(T111=10,'A.0_Tablas salariales SC'!$P$119,IF(T111=14,'A.0_Tablas salariales SC'!$P$120,IF(T111=18,'A.0_Tablas salariales SC'!$P$121,IF(T111=20,'A.0_Tablas salariales SC'!$P$122,IF(T111=22,'A.0_Tablas salariales SC'!$P$123,IF(T111=24,'A.0_Tablas salariales SC'!$P$124,IF(T111=26,'A.0_Tablas salariales SC'!$P$125,IF(T111=28,'A.0_Tablas salariales SC'!$P$126,0)))))))))))</f>
        <v>527.70000000000005</v>
      </c>
      <c r="AB111" s="175">
        <f>IF(U111=2,'A.0_Tablas salariales SC'!$P$145,(IF(U111=6,'A.0_Tablas salariales SC'!$P$146,IF(U111=10,'A.0_Tablas salariales SC'!$P$147,IF(U111=14,'A.0_Tablas salariales SC'!$P$148,IF(U111=18,'A.0_Tablas salariales SC'!$P$149,IF(U111=20,'A.0_Tablas salariales SC'!$P$150,IF(U111=22,'A.0_Tablas salariales SC'!$P$151,IF(U111=24,'A.0_Tablas salariales SC'!$P$152,IF(U111=26,'A.0_Tablas salariales SC'!$P$153,IF(U111=28,'A.0_Tablas salariales SC'!$P$154,0)))))))))))</f>
        <v>543.53100000000006</v>
      </c>
      <c r="AC111" s="175">
        <f>IF(V111=2,'A.0_Tablas salariales SC'!$P$173,(IF(V111=6,'A.0_Tablas salariales SC'!$P$174,IF(V111=10,'A.0_Tablas salariales SC'!$P$175,IF(V111=14,'A.0_Tablas salariales SC'!$P$176,IF(V111=18,'A.0_Tablas salariales SC'!$P$177,IF(V111=20,'A.0_Tablas salariales SC'!$P$178,IF(V111=22,'A.0_Tablas salariales SC'!$P$179,IF(V111=24,'A.0_Tablas salariales SC'!$P$180,IF(V111=26,'A.0_Tablas salariales SC'!$P$181,IF(V111=28,'A.0_Tablas salariales SC'!$P$182,0)))))))))))</f>
        <v>559.83693000000005</v>
      </c>
    </row>
    <row r="112" spans="1:29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2">
        <f t="shared" si="91"/>
        <v>1900</v>
      </c>
      <c r="G112" s="173">
        <f t="shared" si="75"/>
        <v>2026</v>
      </c>
      <c r="H112" s="173">
        <f t="shared" si="75"/>
        <v>2032</v>
      </c>
      <c r="I112" s="173">
        <f t="shared" si="92"/>
        <v>126</v>
      </c>
      <c r="J112" s="173">
        <f t="shared" si="93"/>
        <v>127</v>
      </c>
      <c r="K112" s="173">
        <f t="shared" si="94"/>
        <v>128</v>
      </c>
      <c r="L112" s="173">
        <f t="shared" si="95"/>
        <v>129</v>
      </c>
      <c r="M112" s="173">
        <f t="shared" si="96"/>
        <v>130</v>
      </c>
      <c r="N112" s="173">
        <f t="shared" si="97"/>
        <v>131</v>
      </c>
      <c r="O112" s="173">
        <f t="shared" si="98"/>
        <v>132</v>
      </c>
      <c r="P112" s="173">
        <f t="shared" si="99"/>
        <v>28</v>
      </c>
      <c r="Q112" s="173">
        <f t="shared" si="100"/>
        <v>28</v>
      </c>
      <c r="R112" s="173">
        <f t="shared" si="101"/>
        <v>28</v>
      </c>
      <c r="S112" s="173">
        <f t="shared" si="102"/>
        <v>28</v>
      </c>
      <c r="T112" s="173">
        <f t="shared" si="103"/>
        <v>28</v>
      </c>
      <c r="U112" s="173">
        <f t="shared" si="104"/>
        <v>28</v>
      </c>
      <c r="V112" s="173">
        <f t="shared" si="105"/>
        <v>28</v>
      </c>
      <c r="W112" s="175">
        <f>IF(P112=2,'A.0_Tablas salariales SC'!$P$9,(IF(P112=6,'A.0_Tablas salariales SC'!$P$10,IF(P112=10,'A.0_Tablas salariales SC'!$P$11,IF(P112=14,'A.0_Tablas salariales SC'!$P$12,IF(P112=18,'A.0_Tablas salariales SC'!$P$13,IF(P112=20,'A.0_Tablas salariales SC'!$P$14,IF(P112=22,'A.0_Tablas salariales SC'!$P$15,IF(P112=24,'A.0_Tablas salariales SC'!$P$16,IF(P112=26,'A.0_Tablas salariales SC'!$P$17,IF(P112=28,'A.0_Tablas salariales SC'!$P$18,0)))))))))))</f>
        <v>446.8</v>
      </c>
      <c r="X112" s="175">
        <f>IF(Q112=2,'A.0_Tablas salariales SC'!$P$36,(IF(Q112=6,'A.0_Tablas salariales SC'!$P$37,IF(Q112=10,'A.0_Tablas salariales SC'!$P$38,IF(Q112=14,'A.0_Tablas salariales SC'!$P$39,IF(Q112=18,'A.0_Tablas salariales SC'!$P$40,IF(Q112=20,'A.0_Tablas salariales SC'!$P$41,IF(Q112=22,'A.0_Tablas salariales SC'!$P$42,IF(Q112=24,'A.0_Tablas salariales SC'!$P$43,IF(Q112=26,'A.0_Tablas salariales SC'!$P$44,IF(Q112=28,'A.0_Tablas salariales SC'!$P$45,0)))))))))))</f>
        <v>462.44</v>
      </c>
      <c r="Y112" s="175">
        <f>IF(R112=2,'A.0_Tablas salariales SC'!$P$63,(IF(R112=6,'A.0_Tablas salariales SC'!$P$64,IF(R112=10,'A.0_Tablas salariales SC'!$P$65,IF(R112=14,'A.0_Tablas salariales SC'!$P$66,IF(R112=18,'A.0_Tablas salariales SC'!$P$67,IF(R112=20,'A.0_Tablas salariales SC'!$P$68,IF(R112=22,'A.0_Tablas salariales SC'!$P$69,IF(R112=24,'A.0_Tablas salariales SC'!$P$70,IF(R112=26,'A.0_Tablas salariales SC'!$P$71,IF(R112=28,'A.0_Tablas salariales SC'!$P$72,0)))))))))))</f>
        <v>480.93</v>
      </c>
      <c r="Z112" s="175">
        <f>IF(S112=2,'A.0_Tablas salariales SC'!$P$90,(IF(S112=6,'A.0_Tablas salariales SC'!$P$91,IF(S112=10,'A.0_Tablas salariales SC'!$P$92,IF(S112=14,'A.0_Tablas salariales SC'!$P$93,IF(S112=18,'A.0_Tablas salariales SC'!$P$94,IF(S112=20,'A.0_Tablas salariales SC'!$P$95,IF(S112=22,'A.0_Tablas salariales SC'!$P$96,IF(S112=24,'A.0_Tablas salariales SC'!$P$97,IF(S112=26,'A.0_Tablas salariales SC'!$P$98,IF(S112=28,'A.0_Tablas salariales SC'!$P$99,0)))))))))))</f>
        <v>502.58</v>
      </c>
      <c r="AA112" s="175">
        <f>IF(T112=2,'A.0_Tablas salariales SC'!$P$117,(IF(T112=6,'A.0_Tablas salariales SC'!$P$118,IF(T112=10,'A.0_Tablas salariales SC'!$P$119,IF(T112=14,'A.0_Tablas salariales SC'!$P$120,IF(T112=18,'A.0_Tablas salariales SC'!$P$121,IF(T112=20,'A.0_Tablas salariales SC'!$P$122,IF(T112=22,'A.0_Tablas salariales SC'!$P$123,IF(T112=24,'A.0_Tablas salariales SC'!$P$124,IF(T112=26,'A.0_Tablas salariales SC'!$P$125,IF(T112=28,'A.0_Tablas salariales SC'!$P$126,0)))))))))))</f>
        <v>527.70000000000005</v>
      </c>
      <c r="AB112" s="175">
        <f>IF(U112=2,'A.0_Tablas salariales SC'!$P$145,(IF(U112=6,'A.0_Tablas salariales SC'!$P$146,IF(U112=10,'A.0_Tablas salariales SC'!$P$147,IF(U112=14,'A.0_Tablas salariales SC'!$P$148,IF(U112=18,'A.0_Tablas salariales SC'!$P$149,IF(U112=20,'A.0_Tablas salariales SC'!$P$150,IF(U112=22,'A.0_Tablas salariales SC'!$P$151,IF(U112=24,'A.0_Tablas salariales SC'!$P$152,IF(U112=26,'A.0_Tablas salariales SC'!$P$153,IF(U112=28,'A.0_Tablas salariales SC'!$P$154,0)))))))))))</f>
        <v>543.53100000000006</v>
      </c>
      <c r="AC112" s="175">
        <f>IF(V112=2,'A.0_Tablas salariales SC'!$P$173,(IF(V112=6,'A.0_Tablas salariales SC'!$P$174,IF(V112=10,'A.0_Tablas salariales SC'!$P$175,IF(V112=14,'A.0_Tablas salariales SC'!$P$176,IF(V112=18,'A.0_Tablas salariales SC'!$P$177,IF(V112=20,'A.0_Tablas salariales SC'!$P$178,IF(V112=22,'A.0_Tablas salariales SC'!$P$179,IF(V112=24,'A.0_Tablas salariales SC'!$P$180,IF(V112=26,'A.0_Tablas salariales SC'!$P$181,IF(V112=28,'A.0_Tablas salariales SC'!$P$182,0)))))))))))</f>
        <v>559.83693000000005</v>
      </c>
    </row>
    <row r="113" spans="1:29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2">
        <f t="shared" si="90"/>
        <v>1900</v>
      </c>
      <c r="G113" s="173">
        <f t="shared" si="75"/>
        <v>2026</v>
      </c>
      <c r="H113" s="173">
        <f t="shared" si="75"/>
        <v>2032</v>
      </c>
      <c r="I113" s="173">
        <f t="shared" si="76"/>
        <v>126</v>
      </c>
      <c r="J113" s="173">
        <f t="shared" si="77"/>
        <v>127</v>
      </c>
      <c r="K113" s="173">
        <f t="shared" si="78"/>
        <v>128</v>
      </c>
      <c r="L113" s="173">
        <f t="shared" si="79"/>
        <v>129</v>
      </c>
      <c r="M113" s="173">
        <f t="shared" si="80"/>
        <v>130</v>
      </c>
      <c r="N113" s="173">
        <f t="shared" si="81"/>
        <v>131</v>
      </c>
      <c r="O113" s="173">
        <f t="shared" si="82"/>
        <v>132</v>
      </c>
      <c r="P113" s="173">
        <f t="shared" si="83"/>
        <v>28</v>
      </c>
      <c r="Q113" s="173">
        <f t="shared" si="84"/>
        <v>28</v>
      </c>
      <c r="R113" s="173">
        <f t="shared" si="85"/>
        <v>28</v>
      </c>
      <c r="S113" s="173">
        <f t="shared" si="86"/>
        <v>28</v>
      </c>
      <c r="T113" s="173">
        <f t="shared" si="87"/>
        <v>28</v>
      </c>
      <c r="U113" s="173">
        <f t="shared" si="88"/>
        <v>28</v>
      </c>
      <c r="V113" s="173">
        <f t="shared" si="89"/>
        <v>28</v>
      </c>
      <c r="W113" s="175">
        <f>IF(P113=2,'A.0_Tablas salariales SC'!$P$9,(IF(P113=6,'A.0_Tablas salariales SC'!$P$10,IF(P113=10,'A.0_Tablas salariales SC'!$P$11,IF(P113=14,'A.0_Tablas salariales SC'!$P$12,IF(P113=18,'A.0_Tablas salariales SC'!$P$13,IF(P113=20,'A.0_Tablas salariales SC'!$P$14,IF(P113=22,'A.0_Tablas salariales SC'!$P$15,IF(P113=24,'A.0_Tablas salariales SC'!$P$16,IF(P113=26,'A.0_Tablas salariales SC'!$P$17,IF(P113=28,'A.0_Tablas salariales SC'!$P$18,0)))))))))))</f>
        <v>446.8</v>
      </c>
      <c r="X113" s="175">
        <f>IF(Q113=2,'A.0_Tablas salariales SC'!$P$36,(IF(Q113=6,'A.0_Tablas salariales SC'!$P$37,IF(Q113=10,'A.0_Tablas salariales SC'!$P$38,IF(Q113=14,'A.0_Tablas salariales SC'!$P$39,IF(Q113=18,'A.0_Tablas salariales SC'!$P$40,IF(Q113=20,'A.0_Tablas salariales SC'!$P$41,IF(Q113=22,'A.0_Tablas salariales SC'!$P$42,IF(Q113=24,'A.0_Tablas salariales SC'!$P$43,IF(Q113=26,'A.0_Tablas salariales SC'!$P$44,IF(Q113=28,'A.0_Tablas salariales SC'!$P$45,0)))))))))))</f>
        <v>462.44</v>
      </c>
      <c r="Y113" s="175">
        <f>IF(R113=2,'A.0_Tablas salariales SC'!$P$63,(IF(R113=6,'A.0_Tablas salariales SC'!$P$64,IF(R113=10,'A.0_Tablas salariales SC'!$P$65,IF(R113=14,'A.0_Tablas salariales SC'!$P$66,IF(R113=18,'A.0_Tablas salariales SC'!$P$67,IF(R113=20,'A.0_Tablas salariales SC'!$P$68,IF(R113=22,'A.0_Tablas salariales SC'!$P$69,IF(R113=24,'A.0_Tablas salariales SC'!$P$70,IF(R113=26,'A.0_Tablas salariales SC'!$P$71,IF(R113=28,'A.0_Tablas salariales SC'!$P$72,0)))))))))))</f>
        <v>480.93</v>
      </c>
      <c r="Z113" s="175">
        <f>IF(S113=2,'A.0_Tablas salariales SC'!$P$90,(IF(S113=6,'A.0_Tablas salariales SC'!$P$91,IF(S113=10,'A.0_Tablas salariales SC'!$P$92,IF(S113=14,'A.0_Tablas salariales SC'!$P$93,IF(S113=18,'A.0_Tablas salariales SC'!$P$94,IF(S113=20,'A.0_Tablas salariales SC'!$P$95,IF(S113=22,'A.0_Tablas salariales SC'!$P$96,IF(S113=24,'A.0_Tablas salariales SC'!$P$97,IF(S113=26,'A.0_Tablas salariales SC'!$P$98,IF(S113=28,'A.0_Tablas salariales SC'!$P$99,0)))))))))))</f>
        <v>502.58</v>
      </c>
      <c r="AA113" s="175">
        <f>IF(T113=2,'A.0_Tablas salariales SC'!$P$117,(IF(T113=6,'A.0_Tablas salariales SC'!$P$118,IF(T113=10,'A.0_Tablas salariales SC'!$P$119,IF(T113=14,'A.0_Tablas salariales SC'!$P$120,IF(T113=18,'A.0_Tablas salariales SC'!$P$121,IF(T113=20,'A.0_Tablas salariales SC'!$P$122,IF(T113=22,'A.0_Tablas salariales SC'!$P$123,IF(T113=24,'A.0_Tablas salariales SC'!$P$124,IF(T113=26,'A.0_Tablas salariales SC'!$P$125,IF(T113=28,'A.0_Tablas salariales SC'!$P$126,0)))))))))))</f>
        <v>527.70000000000005</v>
      </c>
      <c r="AB113" s="175">
        <f>IF(U113=2,'A.0_Tablas salariales SC'!$P$145,(IF(U113=6,'A.0_Tablas salariales SC'!$P$146,IF(U113=10,'A.0_Tablas salariales SC'!$P$147,IF(U113=14,'A.0_Tablas salariales SC'!$P$148,IF(U113=18,'A.0_Tablas salariales SC'!$P$149,IF(U113=20,'A.0_Tablas salariales SC'!$P$150,IF(U113=22,'A.0_Tablas salariales SC'!$P$151,IF(U113=24,'A.0_Tablas salariales SC'!$P$152,IF(U113=26,'A.0_Tablas salariales SC'!$P$153,IF(U113=28,'A.0_Tablas salariales SC'!$P$154,0)))))))))))</f>
        <v>543.53100000000006</v>
      </c>
      <c r="AC113" s="175">
        <f>IF(V113=2,'A.0_Tablas salariales SC'!$P$173,(IF(V113=6,'A.0_Tablas salariales SC'!$P$174,IF(V113=10,'A.0_Tablas salariales SC'!$P$175,IF(V113=14,'A.0_Tablas salariales SC'!$P$176,IF(V113=18,'A.0_Tablas salariales SC'!$P$177,IF(V113=20,'A.0_Tablas salariales SC'!$P$178,IF(V113=22,'A.0_Tablas salariales SC'!$P$179,IF(V113=24,'A.0_Tablas salariales SC'!$P$180,IF(V113=26,'A.0_Tablas salariales SC'!$P$181,IF(V113=28,'A.0_Tablas salariales SC'!$P$182,0)))))))))))</f>
        <v>559.83693000000005</v>
      </c>
    </row>
    <row r="114" spans="1:2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416"/>
      <c r="X114" s="416"/>
      <c r="Y114" s="416"/>
      <c r="Z114" s="416"/>
      <c r="AA114" s="416"/>
      <c r="AB114" s="416"/>
      <c r="AC114" s="416"/>
    </row>
    <row r="115" spans="1:29">
      <c r="A115" s="508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2">
        <f t="shared" ref="F115:F151" si="106">YEAR(E115)</f>
        <v>1900</v>
      </c>
      <c r="G115" s="173">
        <f t="shared" ref="G115:H151" si="107">G$3</f>
        <v>2026</v>
      </c>
      <c r="H115" s="173">
        <f t="shared" si="107"/>
        <v>2032</v>
      </c>
      <c r="I115" s="173">
        <f t="shared" ref="I115:I151" si="108">($I$3-F115)*$I$4</f>
        <v>126</v>
      </c>
      <c r="J115" s="173">
        <f t="shared" ref="J115:J151" si="109">($J$3-F115)*$J$4</f>
        <v>127</v>
      </c>
      <c r="K115" s="173">
        <f t="shared" ref="K115:K151" si="110">($K$3-F115)*$K$4</f>
        <v>128</v>
      </c>
      <c r="L115" s="173">
        <f t="shared" ref="L115:L151" si="111">($L$3-F115)*$L$4</f>
        <v>129</v>
      </c>
      <c r="M115" s="173">
        <f t="shared" ref="M115:M151" si="112">($M$3-F115)*$M$4</f>
        <v>130</v>
      </c>
      <c r="N115" s="173">
        <f t="shared" ref="N115:N151" si="113">($N$3-F115)*$N$4</f>
        <v>131</v>
      </c>
      <c r="O115" s="173">
        <f t="shared" ref="O115:O151" si="114">($O$3-F115)*$O$4</f>
        <v>132</v>
      </c>
      <c r="P115" s="173">
        <f t="shared" ref="P115:P151" si="115">IF(I115&gt;=28,28,IF(I115&gt;=26,26,(IF(I115&gt;=24,24,IF(I115&gt;=22,22,IF(I115&gt;=20,20,IF(I115&gt;=18,18,IF(I115&gt;=14,14,(IF(I115&gt;=10,10,(IF(I115&gt;=6,6,(IF(I115&gt;=2,2,0))))))))))))))</f>
        <v>28</v>
      </c>
      <c r="Q115" s="173">
        <f t="shared" ref="Q115:Q151" si="116">IF(J115&gt;=28,28,IF(J115&gt;=26,26,(IF(J115&gt;=24,24,IF(J115&gt;=22,22,IF(J115&gt;=20,20,IF(J115&gt;=18,18,IF(J115&gt;=14,14,(IF(J115&gt;=10,10,(IF(J115&gt;=6,6,(IF(J115&gt;=2,2,0))))))))))))))</f>
        <v>28</v>
      </c>
      <c r="R115" s="173">
        <f t="shared" ref="R115:R151" si="117">IF(K115&gt;=28,28,IF(K115&gt;=26,26,(IF(K115&gt;=24,24,IF(K115&gt;=22,22,IF(K115&gt;=20,20,IF(K115&gt;=18,18,IF(K115&gt;=14,14,(IF(K115&gt;=10,10,(IF(K115&gt;=6,6,(IF(K115&gt;=2,2,0))))))))))))))</f>
        <v>28</v>
      </c>
      <c r="S115" s="173">
        <f t="shared" ref="S115:S151" si="118">IF(L115&gt;=28,28,IF(L115&gt;=26,26,(IF(L115&gt;=24,24,IF(L115&gt;=22,22,IF(L115&gt;=20,20,IF(L115&gt;=18,18,IF(L115&gt;=14,14,(IF(L115&gt;=10,10,(IF(L115&gt;=6,6,(IF(L115&gt;=2,2,0))))))))))))))</f>
        <v>28</v>
      </c>
      <c r="T115" s="173">
        <f t="shared" ref="T115:T151" si="119">IF(M115&gt;=28,28,IF(M115&gt;=26,26,(IF(M115&gt;=24,24,IF(M115&gt;=22,22,IF(M115&gt;=20,20,IF(M115&gt;=18,18,IF(M115&gt;=14,14,(IF(M115&gt;=10,10,(IF(M115&gt;=6,6,(IF(M115&gt;=2,2,0))))))))))))))</f>
        <v>28</v>
      </c>
      <c r="U115" s="173">
        <f t="shared" ref="U115:U151" si="120">IF(N115&gt;=28,28,IF(N115&gt;=26,26,(IF(N115&gt;=24,24,IF(N115&gt;=22,22,IF(N115&gt;=20,20,IF(N115&gt;=18,18,IF(N115&gt;=14,14,(IF(N115&gt;=10,10,(IF(N115&gt;=6,6,(IF(N115&gt;=2,2,0))))))))))))))</f>
        <v>28</v>
      </c>
      <c r="V115" s="173">
        <f t="shared" ref="V115:V151" si="121">IF(O115&gt;=28,28,IF(O115&gt;=26,26,(IF(O115&gt;=24,24,IF(O115&gt;=22,22,IF(O115&gt;=20,20,IF(O115&gt;=18,18,IF(O115&gt;=14,14,(IF(O115&gt;=10,10,(IF(O115&gt;=6,6,(IF(O115&gt;=2,2,0))))))))))))))</f>
        <v>28</v>
      </c>
      <c r="W115" s="175">
        <f>IF(P115=2,'A.0_Tablas salariales SC'!$P$9,(IF(P115=6,'A.0_Tablas salariales SC'!$P$10,IF(P115=10,'A.0_Tablas salariales SC'!$P$11,IF(P115=14,'A.0_Tablas salariales SC'!$P$12,IF(P115=18,'A.0_Tablas salariales SC'!$P$13,IF(P115=20,'A.0_Tablas salariales SC'!$P$14,IF(P115=22,'A.0_Tablas salariales SC'!$P$15,IF(P115=24,'A.0_Tablas salariales SC'!$P$16,IF(P115=26,'A.0_Tablas salariales SC'!$P$17,IF(P115=28,'A.0_Tablas salariales SC'!$P$18,0)))))))))))</f>
        <v>446.8</v>
      </c>
      <c r="X115" s="175">
        <f>IF(Q115=2,'A.0_Tablas salariales SC'!$P$36,(IF(Q115=6,'A.0_Tablas salariales SC'!$P$37,IF(Q115=10,'A.0_Tablas salariales SC'!$P$38,IF(Q115=14,'A.0_Tablas salariales SC'!$P$39,IF(Q115=18,'A.0_Tablas salariales SC'!$P$40,IF(Q115=20,'A.0_Tablas salariales SC'!$P$41,IF(Q115=22,'A.0_Tablas salariales SC'!$P$42,IF(Q115=24,'A.0_Tablas salariales SC'!$P$43,IF(Q115=26,'A.0_Tablas salariales SC'!$P$44,IF(Q115=28,'A.0_Tablas salariales SC'!$P$45,0)))))))))))</f>
        <v>462.44</v>
      </c>
      <c r="Y115" s="175">
        <f>IF(R115=2,'A.0_Tablas salariales SC'!$P$63,(IF(R115=6,'A.0_Tablas salariales SC'!$P$64,IF(R115=10,'A.0_Tablas salariales SC'!$P$65,IF(R115=14,'A.0_Tablas salariales SC'!$P$66,IF(R115=18,'A.0_Tablas salariales SC'!$P$67,IF(R115=20,'A.0_Tablas salariales SC'!$P$68,IF(R115=22,'A.0_Tablas salariales SC'!$P$69,IF(R115=24,'A.0_Tablas salariales SC'!$P$70,IF(R115=26,'A.0_Tablas salariales SC'!$P$71,IF(R115=28,'A.0_Tablas salariales SC'!$P$72,0)))))))))))</f>
        <v>480.93</v>
      </c>
      <c r="Z115" s="175">
        <f>IF(S115=2,'A.0_Tablas salariales SC'!$P$90,(IF(S115=6,'A.0_Tablas salariales SC'!$P$91,IF(S115=10,'A.0_Tablas salariales SC'!$P$92,IF(S115=14,'A.0_Tablas salariales SC'!$P$93,IF(S115=18,'A.0_Tablas salariales SC'!$P$94,IF(S115=20,'A.0_Tablas salariales SC'!$P$95,IF(S115=22,'A.0_Tablas salariales SC'!$P$96,IF(S115=24,'A.0_Tablas salariales SC'!$P$97,IF(S115=26,'A.0_Tablas salariales SC'!$P$98,IF(S115=28,'A.0_Tablas salariales SC'!$P$99,0)))))))))))</f>
        <v>502.58</v>
      </c>
      <c r="AA115" s="175">
        <f>IF(T115=2,'A.0_Tablas salariales SC'!$P$117,(IF(T115=6,'A.0_Tablas salariales SC'!$P$118,IF(T115=10,'A.0_Tablas salariales SC'!$P$119,IF(T115=14,'A.0_Tablas salariales SC'!$P$120,IF(T115=18,'A.0_Tablas salariales SC'!$P$121,IF(T115=20,'A.0_Tablas salariales SC'!$P$122,IF(T115=22,'A.0_Tablas salariales SC'!$P$123,IF(T115=24,'A.0_Tablas salariales SC'!$P$124,IF(T115=26,'A.0_Tablas salariales SC'!$P$125,IF(T115=28,'A.0_Tablas salariales SC'!$P$126,0)))))))))))</f>
        <v>527.70000000000005</v>
      </c>
      <c r="AB115" s="175">
        <f>IF(U115=2,'A.0_Tablas salariales SC'!$P$145,(IF(U115=6,'A.0_Tablas salariales SC'!$P$146,IF(U115=10,'A.0_Tablas salariales SC'!$P$147,IF(U115=14,'A.0_Tablas salariales SC'!$P$148,IF(U115=18,'A.0_Tablas salariales SC'!$P$149,IF(U115=20,'A.0_Tablas salariales SC'!$P$150,IF(U115=22,'A.0_Tablas salariales SC'!$P$151,IF(U115=24,'A.0_Tablas salariales SC'!$P$152,IF(U115=26,'A.0_Tablas salariales SC'!$P$153,IF(U115=28,'A.0_Tablas salariales SC'!$P$154,0)))))))))))</f>
        <v>543.53100000000006</v>
      </c>
      <c r="AC115" s="175">
        <f>IF(V115=2,'A.0_Tablas salariales SC'!$P$173,(IF(V115=6,'A.0_Tablas salariales SC'!$P$174,IF(V115=10,'A.0_Tablas salariales SC'!$P$175,IF(V115=14,'A.0_Tablas salariales SC'!$P$176,IF(V115=18,'A.0_Tablas salariales SC'!$P$177,IF(V115=20,'A.0_Tablas salariales SC'!$P$178,IF(V115=22,'A.0_Tablas salariales SC'!$P$179,IF(V115=24,'A.0_Tablas salariales SC'!$P$180,IF(V115=26,'A.0_Tablas salariales SC'!$P$181,IF(V115=28,'A.0_Tablas salariales SC'!$P$182,0)))))))))))</f>
        <v>559.83693000000005</v>
      </c>
    </row>
    <row r="116" spans="1:29">
      <c r="A116" s="508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2">
        <f t="shared" si="106"/>
        <v>1900</v>
      </c>
      <c r="G116" s="173">
        <f t="shared" si="107"/>
        <v>2026</v>
      </c>
      <c r="H116" s="173">
        <f t="shared" si="107"/>
        <v>2032</v>
      </c>
      <c r="I116" s="173">
        <f t="shared" si="108"/>
        <v>126</v>
      </c>
      <c r="J116" s="173">
        <f t="shared" si="109"/>
        <v>127</v>
      </c>
      <c r="K116" s="173">
        <f t="shared" si="110"/>
        <v>128</v>
      </c>
      <c r="L116" s="173">
        <f t="shared" si="111"/>
        <v>129</v>
      </c>
      <c r="M116" s="173">
        <f t="shared" si="112"/>
        <v>130</v>
      </c>
      <c r="N116" s="173">
        <f t="shared" si="113"/>
        <v>131</v>
      </c>
      <c r="O116" s="173">
        <f t="shared" si="114"/>
        <v>132</v>
      </c>
      <c r="P116" s="173">
        <f t="shared" si="115"/>
        <v>28</v>
      </c>
      <c r="Q116" s="173">
        <f t="shared" si="116"/>
        <v>28</v>
      </c>
      <c r="R116" s="173">
        <f t="shared" si="117"/>
        <v>28</v>
      </c>
      <c r="S116" s="173">
        <f t="shared" si="118"/>
        <v>28</v>
      </c>
      <c r="T116" s="173">
        <f t="shared" si="119"/>
        <v>28</v>
      </c>
      <c r="U116" s="173">
        <f t="shared" si="120"/>
        <v>28</v>
      </c>
      <c r="V116" s="173">
        <f t="shared" si="121"/>
        <v>28</v>
      </c>
      <c r="W116" s="175">
        <f>IF(P116=2,'A.0_Tablas salariales SC'!$P$9,(IF(P116=6,'A.0_Tablas salariales SC'!$P$10,IF(P116=10,'A.0_Tablas salariales SC'!$P$11,IF(P116=14,'A.0_Tablas salariales SC'!$P$12,IF(P116=18,'A.0_Tablas salariales SC'!$P$13,IF(P116=20,'A.0_Tablas salariales SC'!$P$14,IF(P116=22,'A.0_Tablas salariales SC'!$P$15,IF(P116=24,'A.0_Tablas salariales SC'!$P$16,IF(P116=26,'A.0_Tablas salariales SC'!$P$17,IF(P116=28,'A.0_Tablas salariales SC'!$P$18,0)))))))))))</f>
        <v>446.8</v>
      </c>
      <c r="X116" s="175">
        <f>IF(Q116=2,'A.0_Tablas salariales SC'!$P$36,(IF(Q116=6,'A.0_Tablas salariales SC'!$P$37,IF(Q116=10,'A.0_Tablas salariales SC'!$P$38,IF(Q116=14,'A.0_Tablas salariales SC'!$P$39,IF(Q116=18,'A.0_Tablas salariales SC'!$P$40,IF(Q116=20,'A.0_Tablas salariales SC'!$P$41,IF(Q116=22,'A.0_Tablas salariales SC'!$P$42,IF(Q116=24,'A.0_Tablas salariales SC'!$P$43,IF(Q116=26,'A.0_Tablas salariales SC'!$P$44,IF(Q116=28,'A.0_Tablas salariales SC'!$P$45,0)))))))))))</f>
        <v>462.44</v>
      </c>
      <c r="Y116" s="175">
        <f>IF(R116=2,'A.0_Tablas salariales SC'!$P$63,(IF(R116=6,'A.0_Tablas salariales SC'!$P$64,IF(R116=10,'A.0_Tablas salariales SC'!$P$65,IF(R116=14,'A.0_Tablas salariales SC'!$P$66,IF(R116=18,'A.0_Tablas salariales SC'!$P$67,IF(R116=20,'A.0_Tablas salariales SC'!$P$68,IF(R116=22,'A.0_Tablas salariales SC'!$P$69,IF(R116=24,'A.0_Tablas salariales SC'!$P$70,IF(R116=26,'A.0_Tablas salariales SC'!$P$71,IF(R116=28,'A.0_Tablas salariales SC'!$P$72,0)))))))))))</f>
        <v>480.93</v>
      </c>
      <c r="Z116" s="175">
        <f>IF(S116=2,'A.0_Tablas salariales SC'!$P$90,(IF(S116=6,'A.0_Tablas salariales SC'!$P$91,IF(S116=10,'A.0_Tablas salariales SC'!$P$92,IF(S116=14,'A.0_Tablas salariales SC'!$P$93,IF(S116=18,'A.0_Tablas salariales SC'!$P$94,IF(S116=20,'A.0_Tablas salariales SC'!$P$95,IF(S116=22,'A.0_Tablas salariales SC'!$P$96,IF(S116=24,'A.0_Tablas salariales SC'!$P$97,IF(S116=26,'A.0_Tablas salariales SC'!$P$98,IF(S116=28,'A.0_Tablas salariales SC'!$P$99,0)))))))))))</f>
        <v>502.58</v>
      </c>
      <c r="AA116" s="175">
        <f>IF(T116=2,'A.0_Tablas salariales SC'!$P$117,(IF(T116=6,'A.0_Tablas salariales SC'!$P$118,IF(T116=10,'A.0_Tablas salariales SC'!$P$119,IF(T116=14,'A.0_Tablas salariales SC'!$P$120,IF(T116=18,'A.0_Tablas salariales SC'!$P$121,IF(T116=20,'A.0_Tablas salariales SC'!$P$122,IF(T116=22,'A.0_Tablas salariales SC'!$P$123,IF(T116=24,'A.0_Tablas salariales SC'!$P$124,IF(T116=26,'A.0_Tablas salariales SC'!$P$125,IF(T116=28,'A.0_Tablas salariales SC'!$P$126,0)))))))))))</f>
        <v>527.70000000000005</v>
      </c>
      <c r="AB116" s="175">
        <f>IF(U116=2,'A.0_Tablas salariales SC'!$P$145,(IF(U116=6,'A.0_Tablas salariales SC'!$P$146,IF(U116=10,'A.0_Tablas salariales SC'!$P$147,IF(U116=14,'A.0_Tablas salariales SC'!$P$148,IF(U116=18,'A.0_Tablas salariales SC'!$P$149,IF(U116=20,'A.0_Tablas salariales SC'!$P$150,IF(U116=22,'A.0_Tablas salariales SC'!$P$151,IF(U116=24,'A.0_Tablas salariales SC'!$P$152,IF(U116=26,'A.0_Tablas salariales SC'!$P$153,IF(U116=28,'A.0_Tablas salariales SC'!$P$154,0)))))))))))</f>
        <v>543.53100000000006</v>
      </c>
      <c r="AC116" s="175">
        <f>IF(V116=2,'A.0_Tablas salariales SC'!$P$173,(IF(V116=6,'A.0_Tablas salariales SC'!$P$174,IF(V116=10,'A.0_Tablas salariales SC'!$P$175,IF(V116=14,'A.0_Tablas salariales SC'!$P$176,IF(V116=18,'A.0_Tablas salariales SC'!$P$177,IF(V116=20,'A.0_Tablas salariales SC'!$P$178,IF(V116=22,'A.0_Tablas salariales SC'!$P$179,IF(V116=24,'A.0_Tablas salariales SC'!$P$180,IF(V116=26,'A.0_Tablas salariales SC'!$P$181,IF(V116=28,'A.0_Tablas salariales SC'!$P$182,0)))))))))))</f>
        <v>559.83693000000005</v>
      </c>
    </row>
    <row r="117" spans="1:29">
      <c r="A117" s="508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2">
        <f t="shared" si="106"/>
        <v>1900</v>
      </c>
      <c r="G117" s="173">
        <f t="shared" si="107"/>
        <v>2026</v>
      </c>
      <c r="H117" s="173">
        <f t="shared" si="107"/>
        <v>2032</v>
      </c>
      <c r="I117" s="173">
        <f t="shared" si="108"/>
        <v>126</v>
      </c>
      <c r="J117" s="173">
        <f t="shared" si="109"/>
        <v>127</v>
      </c>
      <c r="K117" s="173">
        <f t="shared" si="110"/>
        <v>128</v>
      </c>
      <c r="L117" s="173">
        <f t="shared" si="111"/>
        <v>129</v>
      </c>
      <c r="M117" s="173">
        <f t="shared" si="112"/>
        <v>130</v>
      </c>
      <c r="N117" s="173">
        <f t="shared" si="113"/>
        <v>131</v>
      </c>
      <c r="O117" s="173">
        <f t="shared" si="114"/>
        <v>132</v>
      </c>
      <c r="P117" s="173">
        <f t="shared" si="115"/>
        <v>28</v>
      </c>
      <c r="Q117" s="173">
        <f t="shared" si="116"/>
        <v>28</v>
      </c>
      <c r="R117" s="173">
        <f t="shared" si="117"/>
        <v>28</v>
      </c>
      <c r="S117" s="173">
        <f t="shared" si="118"/>
        <v>28</v>
      </c>
      <c r="T117" s="173">
        <f t="shared" si="119"/>
        <v>28</v>
      </c>
      <c r="U117" s="173">
        <f t="shared" si="120"/>
        <v>28</v>
      </c>
      <c r="V117" s="173">
        <f t="shared" si="121"/>
        <v>28</v>
      </c>
      <c r="W117" s="175">
        <f>IF(P117=2,'A.0_Tablas salariales SC'!$P$9,(IF(P117=6,'A.0_Tablas salariales SC'!$P$10,IF(P117=10,'A.0_Tablas salariales SC'!$P$11,IF(P117=14,'A.0_Tablas salariales SC'!$P$12,IF(P117=18,'A.0_Tablas salariales SC'!$P$13,IF(P117=20,'A.0_Tablas salariales SC'!$P$14,IF(P117=22,'A.0_Tablas salariales SC'!$P$15,IF(P117=24,'A.0_Tablas salariales SC'!$P$16,IF(P117=26,'A.0_Tablas salariales SC'!$P$17,IF(P117=28,'A.0_Tablas salariales SC'!$P$18,0)))))))))))</f>
        <v>446.8</v>
      </c>
      <c r="X117" s="175">
        <f>IF(Q117=2,'A.0_Tablas salariales SC'!$P$36,(IF(Q117=6,'A.0_Tablas salariales SC'!$P$37,IF(Q117=10,'A.0_Tablas salariales SC'!$P$38,IF(Q117=14,'A.0_Tablas salariales SC'!$P$39,IF(Q117=18,'A.0_Tablas salariales SC'!$P$40,IF(Q117=20,'A.0_Tablas salariales SC'!$P$41,IF(Q117=22,'A.0_Tablas salariales SC'!$P$42,IF(Q117=24,'A.0_Tablas salariales SC'!$P$43,IF(Q117=26,'A.0_Tablas salariales SC'!$P$44,IF(Q117=28,'A.0_Tablas salariales SC'!$P$45,0)))))))))))</f>
        <v>462.44</v>
      </c>
      <c r="Y117" s="175">
        <f>IF(R117=2,'A.0_Tablas salariales SC'!$P$63,(IF(R117=6,'A.0_Tablas salariales SC'!$P$64,IF(R117=10,'A.0_Tablas salariales SC'!$P$65,IF(R117=14,'A.0_Tablas salariales SC'!$P$66,IF(R117=18,'A.0_Tablas salariales SC'!$P$67,IF(R117=20,'A.0_Tablas salariales SC'!$P$68,IF(R117=22,'A.0_Tablas salariales SC'!$P$69,IF(R117=24,'A.0_Tablas salariales SC'!$P$70,IF(R117=26,'A.0_Tablas salariales SC'!$P$71,IF(R117=28,'A.0_Tablas salariales SC'!$P$72,0)))))))))))</f>
        <v>480.93</v>
      </c>
      <c r="Z117" s="175">
        <f>IF(S117=2,'A.0_Tablas salariales SC'!$P$90,(IF(S117=6,'A.0_Tablas salariales SC'!$P$91,IF(S117=10,'A.0_Tablas salariales SC'!$P$92,IF(S117=14,'A.0_Tablas salariales SC'!$P$93,IF(S117=18,'A.0_Tablas salariales SC'!$P$94,IF(S117=20,'A.0_Tablas salariales SC'!$P$95,IF(S117=22,'A.0_Tablas salariales SC'!$P$96,IF(S117=24,'A.0_Tablas salariales SC'!$P$97,IF(S117=26,'A.0_Tablas salariales SC'!$P$98,IF(S117=28,'A.0_Tablas salariales SC'!$P$99,0)))))))))))</f>
        <v>502.58</v>
      </c>
      <c r="AA117" s="175">
        <f>IF(T117=2,'A.0_Tablas salariales SC'!$P$117,(IF(T117=6,'A.0_Tablas salariales SC'!$P$118,IF(T117=10,'A.0_Tablas salariales SC'!$P$119,IF(T117=14,'A.0_Tablas salariales SC'!$P$120,IF(T117=18,'A.0_Tablas salariales SC'!$P$121,IF(T117=20,'A.0_Tablas salariales SC'!$P$122,IF(T117=22,'A.0_Tablas salariales SC'!$P$123,IF(T117=24,'A.0_Tablas salariales SC'!$P$124,IF(T117=26,'A.0_Tablas salariales SC'!$P$125,IF(T117=28,'A.0_Tablas salariales SC'!$P$126,0)))))))))))</f>
        <v>527.70000000000005</v>
      </c>
      <c r="AB117" s="175">
        <f>IF(U117=2,'A.0_Tablas salariales SC'!$P$145,(IF(U117=6,'A.0_Tablas salariales SC'!$P$146,IF(U117=10,'A.0_Tablas salariales SC'!$P$147,IF(U117=14,'A.0_Tablas salariales SC'!$P$148,IF(U117=18,'A.0_Tablas salariales SC'!$P$149,IF(U117=20,'A.0_Tablas salariales SC'!$P$150,IF(U117=22,'A.0_Tablas salariales SC'!$P$151,IF(U117=24,'A.0_Tablas salariales SC'!$P$152,IF(U117=26,'A.0_Tablas salariales SC'!$P$153,IF(U117=28,'A.0_Tablas salariales SC'!$P$154,0)))))))))))</f>
        <v>543.53100000000006</v>
      </c>
      <c r="AC117" s="175">
        <f>IF(V117=2,'A.0_Tablas salariales SC'!$P$173,(IF(V117=6,'A.0_Tablas salariales SC'!$P$174,IF(V117=10,'A.0_Tablas salariales SC'!$P$175,IF(V117=14,'A.0_Tablas salariales SC'!$P$176,IF(V117=18,'A.0_Tablas salariales SC'!$P$177,IF(V117=20,'A.0_Tablas salariales SC'!$P$178,IF(V117=22,'A.0_Tablas salariales SC'!$P$179,IF(V117=24,'A.0_Tablas salariales SC'!$P$180,IF(V117=26,'A.0_Tablas salariales SC'!$P$181,IF(V117=28,'A.0_Tablas salariales SC'!$P$182,0)))))))))))</f>
        <v>559.83693000000005</v>
      </c>
    </row>
    <row r="118" spans="1:29">
      <c r="A118" s="508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2">
        <f t="shared" si="106"/>
        <v>1900</v>
      </c>
      <c r="G118" s="173">
        <f t="shared" si="107"/>
        <v>2026</v>
      </c>
      <c r="H118" s="173">
        <f t="shared" si="107"/>
        <v>2032</v>
      </c>
      <c r="I118" s="173">
        <f t="shared" si="108"/>
        <v>126</v>
      </c>
      <c r="J118" s="173">
        <f t="shared" si="109"/>
        <v>127</v>
      </c>
      <c r="K118" s="173">
        <f t="shared" si="110"/>
        <v>128</v>
      </c>
      <c r="L118" s="173">
        <f t="shared" si="111"/>
        <v>129</v>
      </c>
      <c r="M118" s="173">
        <f t="shared" si="112"/>
        <v>130</v>
      </c>
      <c r="N118" s="173">
        <f t="shared" si="113"/>
        <v>131</v>
      </c>
      <c r="O118" s="173">
        <f t="shared" si="114"/>
        <v>132</v>
      </c>
      <c r="P118" s="173">
        <f t="shared" si="115"/>
        <v>28</v>
      </c>
      <c r="Q118" s="173">
        <f t="shared" si="116"/>
        <v>28</v>
      </c>
      <c r="R118" s="173">
        <f t="shared" si="117"/>
        <v>28</v>
      </c>
      <c r="S118" s="173">
        <f t="shared" si="118"/>
        <v>28</v>
      </c>
      <c r="T118" s="173">
        <f t="shared" si="119"/>
        <v>28</v>
      </c>
      <c r="U118" s="173">
        <f t="shared" si="120"/>
        <v>28</v>
      </c>
      <c r="V118" s="173">
        <f t="shared" si="121"/>
        <v>28</v>
      </c>
      <c r="W118" s="175">
        <f>IF(P118=2,'A.0_Tablas salariales SC'!$P$9,(IF(P118=6,'A.0_Tablas salariales SC'!$P$10,IF(P118=10,'A.0_Tablas salariales SC'!$P$11,IF(P118=14,'A.0_Tablas salariales SC'!$P$12,IF(P118=18,'A.0_Tablas salariales SC'!$P$13,IF(P118=20,'A.0_Tablas salariales SC'!$P$14,IF(P118=22,'A.0_Tablas salariales SC'!$P$15,IF(P118=24,'A.0_Tablas salariales SC'!$P$16,IF(P118=26,'A.0_Tablas salariales SC'!$P$17,IF(P118=28,'A.0_Tablas salariales SC'!$P$18,0)))))))))))</f>
        <v>446.8</v>
      </c>
      <c r="X118" s="175">
        <f>IF(Q118=2,'A.0_Tablas salariales SC'!$P$36,(IF(Q118=6,'A.0_Tablas salariales SC'!$P$37,IF(Q118=10,'A.0_Tablas salariales SC'!$P$38,IF(Q118=14,'A.0_Tablas salariales SC'!$P$39,IF(Q118=18,'A.0_Tablas salariales SC'!$P$40,IF(Q118=20,'A.0_Tablas salariales SC'!$P$41,IF(Q118=22,'A.0_Tablas salariales SC'!$P$42,IF(Q118=24,'A.0_Tablas salariales SC'!$P$43,IF(Q118=26,'A.0_Tablas salariales SC'!$P$44,IF(Q118=28,'A.0_Tablas salariales SC'!$P$45,0)))))))))))</f>
        <v>462.44</v>
      </c>
      <c r="Y118" s="175">
        <f>IF(R118=2,'A.0_Tablas salariales SC'!$P$63,(IF(R118=6,'A.0_Tablas salariales SC'!$P$64,IF(R118=10,'A.0_Tablas salariales SC'!$P$65,IF(R118=14,'A.0_Tablas salariales SC'!$P$66,IF(R118=18,'A.0_Tablas salariales SC'!$P$67,IF(R118=20,'A.0_Tablas salariales SC'!$P$68,IF(R118=22,'A.0_Tablas salariales SC'!$P$69,IF(R118=24,'A.0_Tablas salariales SC'!$P$70,IF(R118=26,'A.0_Tablas salariales SC'!$P$71,IF(R118=28,'A.0_Tablas salariales SC'!$P$72,0)))))))))))</f>
        <v>480.93</v>
      </c>
      <c r="Z118" s="175">
        <f>IF(S118=2,'A.0_Tablas salariales SC'!$P$90,(IF(S118=6,'A.0_Tablas salariales SC'!$P$91,IF(S118=10,'A.0_Tablas salariales SC'!$P$92,IF(S118=14,'A.0_Tablas salariales SC'!$P$93,IF(S118=18,'A.0_Tablas salariales SC'!$P$94,IF(S118=20,'A.0_Tablas salariales SC'!$P$95,IF(S118=22,'A.0_Tablas salariales SC'!$P$96,IF(S118=24,'A.0_Tablas salariales SC'!$P$97,IF(S118=26,'A.0_Tablas salariales SC'!$P$98,IF(S118=28,'A.0_Tablas salariales SC'!$P$99,0)))))))))))</f>
        <v>502.58</v>
      </c>
      <c r="AA118" s="175">
        <f>IF(T118=2,'A.0_Tablas salariales SC'!$P$117,(IF(T118=6,'A.0_Tablas salariales SC'!$P$118,IF(T118=10,'A.0_Tablas salariales SC'!$P$119,IF(T118=14,'A.0_Tablas salariales SC'!$P$120,IF(T118=18,'A.0_Tablas salariales SC'!$P$121,IF(T118=20,'A.0_Tablas salariales SC'!$P$122,IF(T118=22,'A.0_Tablas salariales SC'!$P$123,IF(T118=24,'A.0_Tablas salariales SC'!$P$124,IF(T118=26,'A.0_Tablas salariales SC'!$P$125,IF(T118=28,'A.0_Tablas salariales SC'!$P$126,0)))))))))))</f>
        <v>527.70000000000005</v>
      </c>
      <c r="AB118" s="175">
        <f>IF(U118=2,'A.0_Tablas salariales SC'!$P$145,(IF(U118=6,'A.0_Tablas salariales SC'!$P$146,IF(U118=10,'A.0_Tablas salariales SC'!$P$147,IF(U118=14,'A.0_Tablas salariales SC'!$P$148,IF(U118=18,'A.0_Tablas salariales SC'!$P$149,IF(U118=20,'A.0_Tablas salariales SC'!$P$150,IF(U118=22,'A.0_Tablas salariales SC'!$P$151,IF(U118=24,'A.0_Tablas salariales SC'!$P$152,IF(U118=26,'A.0_Tablas salariales SC'!$P$153,IF(U118=28,'A.0_Tablas salariales SC'!$P$154,0)))))))))))</f>
        <v>543.53100000000006</v>
      </c>
      <c r="AC118" s="175">
        <f>IF(V118=2,'A.0_Tablas salariales SC'!$P$173,(IF(V118=6,'A.0_Tablas salariales SC'!$P$174,IF(V118=10,'A.0_Tablas salariales SC'!$P$175,IF(V118=14,'A.0_Tablas salariales SC'!$P$176,IF(V118=18,'A.0_Tablas salariales SC'!$P$177,IF(V118=20,'A.0_Tablas salariales SC'!$P$178,IF(V118=22,'A.0_Tablas salariales SC'!$P$179,IF(V118=24,'A.0_Tablas salariales SC'!$P$180,IF(V118=26,'A.0_Tablas salariales SC'!$P$181,IF(V118=28,'A.0_Tablas salariales SC'!$P$182,0)))))))))))</f>
        <v>559.83693000000005</v>
      </c>
    </row>
    <row r="119" spans="1:29">
      <c r="A119" s="508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2">
        <f t="shared" si="106"/>
        <v>1900</v>
      </c>
      <c r="G119" s="173">
        <f t="shared" si="107"/>
        <v>2026</v>
      </c>
      <c r="H119" s="173">
        <f t="shared" si="107"/>
        <v>2032</v>
      </c>
      <c r="I119" s="173">
        <f t="shared" si="108"/>
        <v>126</v>
      </c>
      <c r="J119" s="173">
        <f t="shared" si="109"/>
        <v>127</v>
      </c>
      <c r="K119" s="173">
        <f t="shared" si="110"/>
        <v>128</v>
      </c>
      <c r="L119" s="173">
        <f t="shared" si="111"/>
        <v>129</v>
      </c>
      <c r="M119" s="173">
        <f t="shared" si="112"/>
        <v>130</v>
      </c>
      <c r="N119" s="173">
        <f t="shared" si="113"/>
        <v>131</v>
      </c>
      <c r="O119" s="173">
        <f t="shared" si="114"/>
        <v>132</v>
      </c>
      <c r="P119" s="173">
        <f t="shared" si="115"/>
        <v>28</v>
      </c>
      <c r="Q119" s="173">
        <f t="shared" si="116"/>
        <v>28</v>
      </c>
      <c r="R119" s="173">
        <f t="shared" si="117"/>
        <v>28</v>
      </c>
      <c r="S119" s="173">
        <f t="shared" si="118"/>
        <v>28</v>
      </c>
      <c r="T119" s="173">
        <f t="shared" si="119"/>
        <v>28</v>
      </c>
      <c r="U119" s="173">
        <f t="shared" si="120"/>
        <v>28</v>
      </c>
      <c r="V119" s="173">
        <f t="shared" si="121"/>
        <v>28</v>
      </c>
      <c r="W119" s="175">
        <f>IF(P119=2,'A.0_Tablas salariales SC'!$P$9,(IF(P119=6,'A.0_Tablas salariales SC'!$P$10,IF(P119=10,'A.0_Tablas salariales SC'!$P$11,IF(P119=14,'A.0_Tablas salariales SC'!$P$12,IF(P119=18,'A.0_Tablas salariales SC'!$P$13,IF(P119=20,'A.0_Tablas salariales SC'!$P$14,IF(P119=22,'A.0_Tablas salariales SC'!$P$15,IF(P119=24,'A.0_Tablas salariales SC'!$P$16,IF(P119=26,'A.0_Tablas salariales SC'!$P$17,IF(P119=28,'A.0_Tablas salariales SC'!$P$18,0)))))))))))</f>
        <v>446.8</v>
      </c>
      <c r="X119" s="175">
        <f>IF(Q119=2,'A.0_Tablas salariales SC'!$P$36,(IF(Q119=6,'A.0_Tablas salariales SC'!$P$37,IF(Q119=10,'A.0_Tablas salariales SC'!$P$38,IF(Q119=14,'A.0_Tablas salariales SC'!$P$39,IF(Q119=18,'A.0_Tablas salariales SC'!$P$40,IF(Q119=20,'A.0_Tablas salariales SC'!$P$41,IF(Q119=22,'A.0_Tablas salariales SC'!$P$42,IF(Q119=24,'A.0_Tablas salariales SC'!$P$43,IF(Q119=26,'A.0_Tablas salariales SC'!$P$44,IF(Q119=28,'A.0_Tablas salariales SC'!$P$45,0)))))))))))</f>
        <v>462.44</v>
      </c>
      <c r="Y119" s="175">
        <f>IF(R119=2,'A.0_Tablas salariales SC'!$P$63,(IF(R119=6,'A.0_Tablas salariales SC'!$P$64,IF(R119=10,'A.0_Tablas salariales SC'!$P$65,IF(R119=14,'A.0_Tablas salariales SC'!$P$66,IF(R119=18,'A.0_Tablas salariales SC'!$P$67,IF(R119=20,'A.0_Tablas salariales SC'!$P$68,IF(R119=22,'A.0_Tablas salariales SC'!$P$69,IF(R119=24,'A.0_Tablas salariales SC'!$P$70,IF(R119=26,'A.0_Tablas salariales SC'!$P$71,IF(R119=28,'A.0_Tablas salariales SC'!$P$72,0)))))))))))</f>
        <v>480.93</v>
      </c>
      <c r="Z119" s="175">
        <f>IF(S119=2,'A.0_Tablas salariales SC'!$P$90,(IF(S119=6,'A.0_Tablas salariales SC'!$P$91,IF(S119=10,'A.0_Tablas salariales SC'!$P$92,IF(S119=14,'A.0_Tablas salariales SC'!$P$93,IF(S119=18,'A.0_Tablas salariales SC'!$P$94,IF(S119=20,'A.0_Tablas salariales SC'!$P$95,IF(S119=22,'A.0_Tablas salariales SC'!$P$96,IF(S119=24,'A.0_Tablas salariales SC'!$P$97,IF(S119=26,'A.0_Tablas salariales SC'!$P$98,IF(S119=28,'A.0_Tablas salariales SC'!$P$99,0)))))))))))</f>
        <v>502.58</v>
      </c>
      <c r="AA119" s="175">
        <f>IF(T119=2,'A.0_Tablas salariales SC'!$P$117,(IF(T119=6,'A.0_Tablas salariales SC'!$P$118,IF(T119=10,'A.0_Tablas salariales SC'!$P$119,IF(T119=14,'A.0_Tablas salariales SC'!$P$120,IF(T119=18,'A.0_Tablas salariales SC'!$P$121,IF(T119=20,'A.0_Tablas salariales SC'!$P$122,IF(T119=22,'A.0_Tablas salariales SC'!$P$123,IF(T119=24,'A.0_Tablas salariales SC'!$P$124,IF(T119=26,'A.0_Tablas salariales SC'!$P$125,IF(T119=28,'A.0_Tablas salariales SC'!$P$126,0)))))))))))</f>
        <v>527.70000000000005</v>
      </c>
      <c r="AB119" s="175">
        <f>IF(U119=2,'A.0_Tablas salariales SC'!$P$145,(IF(U119=6,'A.0_Tablas salariales SC'!$P$146,IF(U119=10,'A.0_Tablas salariales SC'!$P$147,IF(U119=14,'A.0_Tablas salariales SC'!$P$148,IF(U119=18,'A.0_Tablas salariales SC'!$P$149,IF(U119=20,'A.0_Tablas salariales SC'!$P$150,IF(U119=22,'A.0_Tablas salariales SC'!$P$151,IF(U119=24,'A.0_Tablas salariales SC'!$P$152,IF(U119=26,'A.0_Tablas salariales SC'!$P$153,IF(U119=28,'A.0_Tablas salariales SC'!$P$154,0)))))))))))</f>
        <v>543.53100000000006</v>
      </c>
      <c r="AC119" s="175">
        <f>IF(V119=2,'A.0_Tablas salariales SC'!$P$173,(IF(V119=6,'A.0_Tablas salariales SC'!$P$174,IF(V119=10,'A.0_Tablas salariales SC'!$P$175,IF(V119=14,'A.0_Tablas salariales SC'!$P$176,IF(V119=18,'A.0_Tablas salariales SC'!$P$177,IF(V119=20,'A.0_Tablas salariales SC'!$P$178,IF(V119=22,'A.0_Tablas salariales SC'!$P$179,IF(V119=24,'A.0_Tablas salariales SC'!$P$180,IF(V119=26,'A.0_Tablas salariales SC'!$P$181,IF(V119=28,'A.0_Tablas salariales SC'!$P$182,0)))))))))))</f>
        <v>559.83693000000005</v>
      </c>
    </row>
    <row r="120" spans="1:29">
      <c r="A120" s="508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2">
        <f t="shared" si="106"/>
        <v>1900</v>
      </c>
      <c r="G120" s="173">
        <f t="shared" si="107"/>
        <v>2026</v>
      </c>
      <c r="H120" s="173">
        <f t="shared" si="107"/>
        <v>2032</v>
      </c>
      <c r="I120" s="173">
        <f t="shared" si="108"/>
        <v>126</v>
      </c>
      <c r="J120" s="173">
        <f t="shared" si="109"/>
        <v>127</v>
      </c>
      <c r="K120" s="173">
        <f t="shared" si="110"/>
        <v>128</v>
      </c>
      <c r="L120" s="173">
        <f t="shared" si="111"/>
        <v>129</v>
      </c>
      <c r="M120" s="173">
        <f t="shared" si="112"/>
        <v>130</v>
      </c>
      <c r="N120" s="173">
        <f t="shared" si="113"/>
        <v>131</v>
      </c>
      <c r="O120" s="173">
        <f t="shared" si="114"/>
        <v>132</v>
      </c>
      <c r="P120" s="173">
        <f t="shared" si="115"/>
        <v>28</v>
      </c>
      <c r="Q120" s="173">
        <f t="shared" si="116"/>
        <v>28</v>
      </c>
      <c r="R120" s="173">
        <f t="shared" si="117"/>
        <v>28</v>
      </c>
      <c r="S120" s="173">
        <f t="shared" si="118"/>
        <v>28</v>
      </c>
      <c r="T120" s="173">
        <f t="shared" si="119"/>
        <v>28</v>
      </c>
      <c r="U120" s="173">
        <f t="shared" si="120"/>
        <v>28</v>
      </c>
      <c r="V120" s="173">
        <f t="shared" si="121"/>
        <v>28</v>
      </c>
      <c r="W120" s="175">
        <f>IF(P120=2,'A.0_Tablas salariales SC'!$P$9,(IF(P120=6,'A.0_Tablas salariales SC'!$P$10,IF(P120=10,'A.0_Tablas salariales SC'!$P$11,IF(P120=14,'A.0_Tablas salariales SC'!$P$12,IF(P120=18,'A.0_Tablas salariales SC'!$P$13,IF(P120=20,'A.0_Tablas salariales SC'!$P$14,IF(P120=22,'A.0_Tablas salariales SC'!$P$15,IF(P120=24,'A.0_Tablas salariales SC'!$P$16,IF(P120=26,'A.0_Tablas salariales SC'!$P$17,IF(P120=28,'A.0_Tablas salariales SC'!$P$18,0)))))))))))</f>
        <v>446.8</v>
      </c>
      <c r="X120" s="175">
        <f>IF(Q120=2,'A.0_Tablas salariales SC'!$P$36,(IF(Q120=6,'A.0_Tablas salariales SC'!$P$37,IF(Q120=10,'A.0_Tablas salariales SC'!$P$38,IF(Q120=14,'A.0_Tablas salariales SC'!$P$39,IF(Q120=18,'A.0_Tablas salariales SC'!$P$40,IF(Q120=20,'A.0_Tablas salariales SC'!$P$41,IF(Q120=22,'A.0_Tablas salariales SC'!$P$42,IF(Q120=24,'A.0_Tablas salariales SC'!$P$43,IF(Q120=26,'A.0_Tablas salariales SC'!$P$44,IF(Q120=28,'A.0_Tablas salariales SC'!$P$45,0)))))))))))</f>
        <v>462.44</v>
      </c>
      <c r="Y120" s="175">
        <f>IF(R120=2,'A.0_Tablas salariales SC'!$P$63,(IF(R120=6,'A.0_Tablas salariales SC'!$P$64,IF(R120=10,'A.0_Tablas salariales SC'!$P$65,IF(R120=14,'A.0_Tablas salariales SC'!$P$66,IF(R120=18,'A.0_Tablas salariales SC'!$P$67,IF(R120=20,'A.0_Tablas salariales SC'!$P$68,IF(R120=22,'A.0_Tablas salariales SC'!$P$69,IF(R120=24,'A.0_Tablas salariales SC'!$P$70,IF(R120=26,'A.0_Tablas salariales SC'!$P$71,IF(R120=28,'A.0_Tablas salariales SC'!$P$72,0)))))))))))</f>
        <v>480.93</v>
      </c>
      <c r="Z120" s="175">
        <f>IF(S120=2,'A.0_Tablas salariales SC'!$P$90,(IF(S120=6,'A.0_Tablas salariales SC'!$P$91,IF(S120=10,'A.0_Tablas salariales SC'!$P$92,IF(S120=14,'A.0_Tablas salariales SC'!$P$93,IF(S120=18,'A.0_Tablas salariales SC'!$P$94,IF(S120=20,'A.0_Tablas salariales SC'!$P$95,IF(S120=22,'A.0_Tablas salariales SC'!$P$96,IF(S120=24,'A.0_Tablas salariales SC'!$P$97,IF(S120=26,'A.0_Tablas salariales SC'!$P$98,IF(S120=28,'A.0_Tablas salariales SC'!$P$99,0)))))))))))</f>
        <v>502.58</v>
      </c>
      <c r="AA120" s="175">
        <f>IF(T120=2,'A.0_Tablas salariales SC'!$P$117,(IF(T120=6,'A.0_Tablas salariales SC'!$P$118,IF(T120=10,'A.0_Tablas salariales SC'!$P$119,IF(T120=14,'A.0_Tablas salariales SC'!$P$120,IF(T120=18,'A.0_Tablas salariales SC'!$P$121,IF(T120=20,'A.0_Tablas salariales SC'!$P$122,IF(T120=22,'A.0_Tablas salariales SC'!$P$123,IF(T120=24,'A.0_Tablas salariales SC'!$P$124,IF(T120=26,'A.0_Tablas salariales SC'!$P$125,IF(T120=28,'A.0_Tablas salariales SC'!$P$126,0)))))))))))</f>
        <v>527.70000000000005</v>
      </c>
      <c r="AB120" s="175">
        <f>IF(U120=2,'A.0_Tablas salariales SC'!$P$145,(IF(U120=6,'A.0_Tablas salariales SC'!$P$146,IF(U120=10,'A.0_Tablas salariales SC'!$P$147,IF(U120=14,'A.0_Tablas salariales SC'!$P$148,IF(U120=18,'A.0_Tablas salariales SC'!$P$149,IF(U120=20,'A.0_Tablas salariales SC'!$P$150,IF(U120=22,'A.0_Tablas salariales SC'!$P$151,IF(U120=24,'A.0_Tablas salariales SC'!$P$152,IF(U120=26,'A.0_Tablas salariales SC'!$P$153,IF(U120=28,'A.0_Tablas salariales SC'!$P$154,0)))))))))))</f>
        <v>543.53100000000006</v>
      </c>
      <c r="AC120" s="175">
        <f>IF(V120=2,'A.0_Tablas salariales SC'!$P$173,(IF(V120=6,'A.0_Tablas salariales SC'!$P$174,IF(V120=10,'A.0_Tablas salariales SC'!$P$175,IF(V120=14,'A.0_Tablas salariales SC'!$P$176,IF(V120=18,'A.0_Tablas salariales SC'!$P$177,IF(V120=20,'A.0_Tablas salariales SC'!$P$178,IF(V120=22,'A.0_Tablas salariales SC'!$P$179,IF(V120=24,'A.0_Tablas salariales SC'!$P$180,IF(V120=26,'A.0_Tablas salariales SC'!$P$181,IF(V120=28,'A.0_Tablas salariales SC'!$P$182,0)))))))))))</f>
        <v>559.83693000000005</v>
      </c>
    </row>
    <row r="121" spans="1:29">
      <c r="A121" s="508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2">
        <f t="shared" si="106"/>
        <v>1900</v>
      </c>
      <c r="G121" s="173">
        <f t="shared" si="107"/>
        <v>2026</v>
      </c>
      <c r="H121" s="173">
        <f t="shared" si="107"/>
        <v>2032</v>
      </c>
      <c r="I121" s="173">
        <f t="shared" si="108"/>
        <v>126</v>
      </c>
      <c r="J121" s="173">
        <f t="shared" si="109"/>
        <v>127</v>
      </c>
      <c r="K121" s="173">
        <f t="shared" si="110"/>
        <v>128</v>
      </c>
      <c r="L121" s="173">
        <f t="shared" si="111"/>
        <v>129</v>
      </c>
      <c r="M121" s="173">
        <f t="shared" si="112"/>
        <v>130</v>
      </c>
      <c r="N121" s="173">
        <f t="shared" si="113"/>
        <v>131</v>
      </c>
      <c r="O121" s="173">
        <f t="shared" si="114"/>
        <v>132</v>
      </c>
      <c r="P121" s="173">
        <f t="shared" si="115"/>
        <v>28</v>
      </c>
      <c r="Q121" s="173">
        <f t="shared" si="116"/>
        <v>28</v>
      </c>
      <c r="R121" s="173">
        <f t="shared" si="117"/>
        <v>28</v>
      </c>
      <c r="S121" s="173">
        <f t="shared" si="118"/>
        <v>28</v>
      </c>
      <c r="T121" s="173">
        <f t="shared" si="119"/>
        <v>28</v>
      </c>
      <c r="U121" s="173">
        <f t="shared" si="120"/>
        <v>28</v>
      </c>
      <c r="V121" s="173">
        <f t="shared" si="121"/>
        <v>28</v>
      </c>
      <c r="W121" s="175">
        <f>IF(P121=2,'A.0_Tablas salariales SC'!$P$9,(IF(P121=6,'A.0_Tablas salariales SC'!$P$10,IF(P121=10,'A.0_Tablas salariales SC'!$P$11,IF(P121=14,'A.0_Tablas salariales SC'!$P$12,IF(P121=18,'A.0_Tablas salariales SC'!$P$13,IF(P121=20,'A.0_Tablas salariales SC'!$P$14,IF(P121=22,'A.0_Tablas salariales SC'!$P$15,IF(P121=24,'A.0_Tablas salariales SC'!$P$16,IF(P121=26,'A.0_Tablas salariales SC'!$P$17,IF(P121=28,'A.0_Tablas salariales SC'!$P$18,0)))))))))))</f>
        <v>446.8</v>
      </c>
      <c r="X121" s="175">
        <f>IF(Q121=2,'A.0_Tablas salariales SC'!$P$36,(IF(Q121=6,'A.0_Tablas salariales SC'!$P$37,IF(Q121=10,'A.0_Tablas salariales SC'!$P$38,IF(Q121=14,'A.0_Tablas salariales SC'!$P$39,IF(Q121=18,'A.0_Tablas salariales SC'!$P$40,IF(Q121=20,'A.0_Tablas salariales SC'!$P$41,IF(Q121=22,'A.0_Tablas salariales SC'!$P$42,IF(Q121=24,'A.0_Tablas salariales SC'!$P$43,IF(Q121=26,'A.0_Tablas salariales SC'!$P$44,IF(Q121=28,'A.0_Tablas salariales SC'!$P$45,0)))))))))))</f>
        <v>462.44</v>
      </c>
      <c r="Y121" s="175">
        <f>IF(R121=2,'A.0_Tablas salariales SC'!$P$63,(IF(R121=6,'A.0_Tablas salariales SC'!$P$64,IF(R121=10,'A.0_Tablas salariales SC'!$P$65,IF(R121=14,'A.0_Tablas salariales SC'!$P$66,IF(R121=18,'A.0_Tablas salariales SC'!$P$67,IF(R121=20,'A.0_Tablas salariales SC'!$P$68,IF(R121=22,'A.0_Tablas salariales SC'!$P$69,IF(R121=24,'A.0_Tablas salariales SC'!$P$70,IF(R121=26,'A.0_Tablas salariales SC'!$P$71,IF(R121=28,'A.0_Tablas salariales SC'!$P$72,0)))))))))))</f>
        <v>480.93</v>
      </c>
      <c r="Z121" s="175">
        <f>IF(S121=2,'A.0_Tablas salariales SC'!$P$90,(IF(S121=6,'A.0_Tablas salariales SC'!$P$91,IF(S121=10,'A.0_Tablas salariales SC'!$P$92,IF(S121=14,'A.0_Tablas salariales SC'!$P$93,IF(S121=18,'A.0_Tablas salariales SC'!$P$94,IF(S121=20,'A.0_Tablas salariales SC'!$P$95,IF(S121=22,'A.0_Tablas salariales SC'!$P$96,IF(S121=24,'A.0_Tablas salariales SC'!$P$97,IF(S121=26,'A.0_Tablas salariales SC'!$P$98,IF(S121=28,'A.0_Tablas salariales SC'!$P$99,0)))))))))))</f>
        <v>502.58</v>
      </c>
      <c r="AA121" s="175">
        <f>IF(T121=2,'A.0_Tablas salariales SC'!$P$117,(IF(T121=6,'A.0_Tablas salariales SC'!$P$118,IF(T121=10,'A.0_Tablas salariales SC'!$P$119,IF(T121=14,'A.0_Tablas salariales SC'!$P$120,IF(T121=18,'A.0_Tablas salariales SC'!$P$121,IF(T121=20,'A.0_Tablas salariales SC'!$P$122,IF(T121=22,'A.0_Tablas salariales SC'!$P$123,IF(T121=24,'A.0_Tablas salariales SC'!$P$124,IF(T121=26,'A.0_Tablas salariales SC'!$P$125,IF(T121=28,'A.0_Tablas salariales SC'!$P$126,0)))))))))))</f>
        <v>527.70000000000005</v>
      </c>
      <c r="AB121" s="175">
        <f>IF(U121=2,'A.0_Tablas salariales SC'!$P$145,(IF(U121=6,'A.0_Tablas salariales SC'!$P$146,IF(U121=10,'A.0_Tablas salariales SC'!$P$147,IF(U121=14,'A.0_Tablas salariales SC'!$P$148,IF(U121=18,'A.0_Tablas salariales SC'!$P$149,IF(U121=20,'A.0_Tablas salariales SC'!$P$150,IF(U121=22,'A.0_Tablas salariales SC'!$P$151,IF(U121=24,'A.0_Tablas salariales SC'!$P$152,IF(U121=26,'A.0_Tablas salariales SC'!$P$153,IF(U121=28,'A.0_Tablas salariales SC'!$P$154,0)))))))))))</f>
        <v>543.53100000000006</v>
      </c>
      <c r="AC121" s="175">
        <f>IF(V121=2,'A.0_Tablas salariales SC'!$P$173,(IF(V121=6,'A.0_Tablas salariales SC'!$P$174,IF(V121=10,'A.0_Tablas salariales SC'!$P$175,IF(V121=14,'A.0_Tablas salariales SC'!$P$176,IF(V121=18,'A.0_Tablas salariales SC'!$P$177,IF(V121=20,'A.0_Tablas salariales SC'!$P$178,IF(V121=22,'A.0_Tablas salariales SC'!$P$179,IF(V121=24,'A.0_Tablas salariales SC'!$P$180,IF(V121=26,'A.0_Tablas salariales SC'!$P$181,IF(V121=28,'A.0_Tablas salariales SC'!$P$182,0)))))))))))</f>
        <v>559.83693000000005</v>
      </c>
    </row>
    <row r="122" spans="1:29">
      <c r="A122" s="508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2">
        <f t="shared" si="106"/>
        <v>1900</v>
      </c>
      <c r="G122" s="173">
        <f t="shared" si="107"/>
        <v>2026</v>
      </c>
      <c r="H122" s="173">
        <f t="shared" si="107"/>
        <v>2032</v>
      </c>
      <c r="I122" s="173">
        <f t="shared" si="108"/>
        <v>126</v>
      </c>
      <c r="J122" s="173">
        <f t="shared" si="109"/>
        <v>127</v>
      </c>
      <c r="K122" s="173">
        <f t="shared" si="110"/>
        <v>128</v>
      </c>
      <c r="L122" s="173">
        <f t="shared" si="111"/>
        <v>129</v>
      </c>
      <c r="M122" s="173">
        <f t="shared" si="112"/>
        <v>130</v>
      </c>
      <c r="N122" s="173">
        <f t="shared" si="113"/>
        <v>131</v>
      </c>
      <c r="O122" s="173">
        <f t="shared" si="114"/>
        <v>132</v>
      </c>
      <c r="P122" s="173">
        <f t="shared" si="115"/>
        <v>28</v>
      </c>
      <c r="Q122" s="173">
        <f t="shared" si="116"/>
        <v>28</v>
      </c>
      <c r="R122" s="173">
        <f t="shared" si="117"/>
        <v>28</v>
      </c>
      <c r="S122" s="173">
        <f t="shared" si="118"/>
        <v>28</v>
      </c>
      <c r="T122" s="173">
        <f t="shared" si="119"/>
        <v>28</v>
      </c>
      <c r="U122" s="173">
        <f t="shared" si="120"/>
        <v>28</v>
      </c>
      <c r="V122" s="173">
        <f t="shared" si="121"/>
        <v>28</v>
      </c>
      <c r="W122" s="175">
        <f>IF(P122=2,'A.0_Tablas salariales SC'!$P$9,(IF(P122=6,'A.0_Tablas salariales SC'!$P$10,IF(P122=10,'A.0_Tablas salariales SC'!$P$11,IF(P122=14,'A.0_Tablas salariales SC'!$P$12,IF(P122=18,'A.0_Tablas salariales SC'!$P$13,IF(P122=20,'A.0_Tablas salariales SC'!$P$14,IF(P122=22,'A.0_Tablas salariales SC'!$P$15,IF(P122=24,'A.0_Tablas salariales SC'!$P$16,IF(P122=26,'A.0_Tablas salariales SC'!$P$17,IF(P122=28,'A.0_Tablas salariales SC'!$P$18,0)))))))))))</f>
        <v>446.8</v>
      </c>
      <c r="X122" s="175">
        <f>IF(Q122=2,'A.0_Tablas salariales SC'!$P$36,(IF(Q122=6,'A.0_Tablas salariales SC'!$P$37,IF(Q122=10,'A.0_Tablas salariales SC'!$P$38,IF(Q122=14,'A.0_Tablas salariales SC'!$P$39,IF(Q122=18,'A.0_Tablas salariales SC'!$P$40,IF(Q122=20,'A.0_Tablas salariales SC'!$P$41,IF(Q122=22,'A.0_Tablas salariales SC'!$P$42,IF(Q122=24,'A.0_Tablas salariales SC'!$P$43,IF(Q122=26,'A.0_Tablas salariales SC'!$P$44,IF(Q122=28,'A.0_Tablas salariales SC'!$P$45,0)))))))))))</f>
        <v>462.44</v>
      </c>
      <c r="Y122" s="175">
        <f>IF(R122=2,'A.0_Tablas salariales SC'!$P$63,(IF(R122=6,'A.0_Tablas salariales SC'!$P$64,IF(R122=10,'A.0_Tablas salariales SC'!$P$65,IF(R122=14,'A.0_Tablas salariales SC'!$P$66,IF(R122=18,'A.0_Tablas salariales SC'!$P$67,IF(R122=20,'A.0_Tablas salariales SC'!$P$68,IF(R122=22,'A.0_Tablas salariales SC'!$P$69,IF(R122=24,'A.0_Tablas salariales SC'!$P$70,IF(R122=26,'A.0_Tablas salariales SC'!$P$71,IF(R122=28,'A.0_Tablas salariales SC'!$P$72,0)))))))))))</f>
        <v>480.93</v>
      </c>
      <c r="Z122" s="175">
        <f>IF(S122=2,'A.0_Tablas salariales SC'!$P$90,(IF(S122=6,'A.0_Tablas salariales SC'!$P$91,IF(S122=10,'A.0_Tablas salariales SC'!$P$92,IF(S122=14,'A.0_Tablas salariales SC'!$P$93,IF(S122=18,'A.0_Tablas salariales SC'!$P$94,IF(S122=20,'A.0_Tablas salariales SC'!$P$95,IF(S122=22,'A.0_Tablas salariales SC'!$P$96,IF(S122=24,'A.0_Tablas salariales SC'!$P$97,IF(S122=26,'A.0_Tablas salariales SC'!$P$98,IF(S122=28,'A.0_Tablas salariales SC'!$P$99,0)))))))))))</f>
        <v>502.58</v>
      </c>
      <c r="AA122" s="175">
        <f>IF(T122=2,'A.0_Tablas salariales SC'!$P$117,(IF(T122=6,'A.0_Tablas salariales SC'!$P$118,IF(T122=10,'A.0_Tablas salariales SC'!$P$119,IF(T122=14,'A.0_Tablas salariales SC'!$P$120,IF(T122=18,'A.0_Tablas salariales SC'!$P$121,IF(T122=20,'A.0_Tablas salariales SC'!$P$122,IF(T122=22,'A.0_Tablas salariales SC'!$P$123,IF(T122=24,'A.0_Tablas salariales SC'!$P$124,IF(T122=26,'A.0_Tablas salariales SC'!$P$125,IF(T122=28,'A.0_Tablas salariales SC'!$P$126,0)))))))))))</f>
        <v>527.70000000000005</v>
      </c>
      <c r="AB122" s="175">
        <f>IF(U122=2,'A.0_Tablas salariales SC'!$P$145,(IF(U122=6,'A.0_Tablas salariales SC'!$P$146,IF(U122=10,'A.0_Tablas salariales SC'!$P$147,IF(U122=14,'A.0_Tablas salariales SC'!$P$148,IF(U122=18,'A.0_Tablas salariales SC'!$P$149,IF(U122=20,'A.0_Tablas salariales SC'!$P$150,IF(U122=22,'A.0_Tablas salariales SC'!$P$151,IF(U122=24,'A.0_Tablas salariales SC'!$P$152,IF(U122=26,'A.0_Tablas salariales SC'!$P$153,IF(U122=28,'A.0_Tablas salariales SC'!$P$154,0)))))))))))</f>
        <v>543.53100000000006</v>
      </c>
      <c r="AC122" s="175">
        <f>IF(V122=2,'A.0_Tablas salariales SC'!$P$173,(IF(V122=6,'A.0_Tablas salariales SC'!$P$174,IF(V122=10,'A.0_Tablas salariales SC'!$P$175,IF(V122=14,'A.0_Tablas salariales SC'!$P$176,IF(V122=18,'A.0_Tablas salariales SC'!$P$177,IF(V122=20,'A.0_Tablas salariales SC'!$P$178,IF(V122=22,'A.0_Tablas salariales SC'!$P$179,IF(V122=24,'A.0_Tablas salariales SC'!$P$180,IF(V122=26,'A.0_Tablas salariales SC'!$P$181,IF(V122=28,'A.0_Tablas salariales SC'!$P$182,0)))))))))))</f>
        <v>559.83693000000005</v>
      </c>
    </row>
    <row r="123" spans="1:29">
      <c r="A123" s="508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2">
        <f t="shared" ref="F123:F137" si="122">YEAR(E123)</f>
        <v>1900</v>
      </c>
      <c r="G123" s="173">
        <f t="shared" si="107"/>
        <v>2026</v>
      </c>
      <c r="H123" s="173">
        <f t="shared" si="107"/>
        <v>2032</v>
      </c>
      <c r="I123" s="173">
        <f t="shared" ref="I123:I137" si="123">($I$3-F123)*$I$4</f>
        <v>126</v>
      </c>
      <c r="J123" s="173">
        <f t="shared" ref="J123:J137" si="124">($J$3-F123)*$J$4</f>
        <v>127</v>
      </c>
      <c r="K123" s="173">
        <f t="shared" ref="K123:K137" si="125">($K$3-F123)*$K$4</f>
        <v>128</v>
      </c>
      <c r="L123" s="173">
        <f t="shared" ref="L123:L137" si="126">($L$3-F123)*$L$4</f>
        <v>129</v>
      </c>
      <c r="M123" s="173">
        <f t="shared" ref="M123:M137" si="127">($M$3-F123)*$M$4</f>
        <v>130</v>
      </c>
      <c r="N123" s="173">
        <f t="shared" ref="N123:N137" si="128">($N$3-F123)*$N$4</f>
        <v>131</v>
      </c>
      <c r="O123" s="173">
        <f t="shared" ref="O123:O137" si="129">($O$3-F123)*$O$4</f>
        <v>132</v>
      </c>
      <c r="P123" s="173">
        <f t="shared" ref="P123:P137" si="130">IF(I123&gt;=28,28,IF(I123&gt;=26,26,(IF(I123&gt;=24,24,IF(I123&gt;=22,22,IF(I123&gt;=20,20,IF(I123&gt;=18,18,IF(I123&gt;=14,14,(IF(I123&gt;=10,10,(IF(I123&gt;=6,6,(IF(I123&gt;=2,2,0))))))))))))))</f>
        <v>28</v>
      </c>
      <c r="Q123" s="173">
        <f t="shared" ref="Q123:Q137" si="131">IF(J123&gt;=28,28,IF(J123&gt;=26,26,(IF(J123&gt;=24,24,IF(J123&gt;=22,22,IF(J123&gt;=20,20,IF(J123&gt;=18,18,IF(J123&gt;=14,14,(IF(J123&gt;=10,10,(IF(J123&gt;=6,6,(IF(J123&gt;=2,2,0))))))))))))))</f>
        <v>28</v>
      </c>
      <c r="R123" s="173">
        <f t="shared" ref="R123:R137" si="132">IF(K123&gt;=28,28,IF(K123&gt;=26,26,(IF(K123&gt;=24,24,IF(K123&gt;=22,22,IF(K123&gt;=20,20,IF(K123&gt;=18,18,IF(K123&gt;=14,14,(IF(K123&gt;=10,10,(IF(K123&gt;=6,6,(IF(K123&gt;=2,2,0))))))))))))))</f>
        <v>28</v>
      </c>
      <c r="S123" s="173">
        <f t="shared" ref="S123:S137" si="133">IF(L123&gt;=28,28,IF(L123&gt;=26,26,(IF(L123&gt;=24,24,IF(L123&gt;=22,22,IF(L123&gt;=20,20,IF(L123&gt;=18,18,IF(L123&gt;=14,14,(IF(L123&gt;=10,10,(IF(L123&gt;=6,6,(IF(L123&gt;=2,2,0))))))))))))))</f>
        <v>28</v>
      </c>
      <c r="T123" s="173">
        <f t="shared" ref="T123:T137" si="134">IF(M123&gt;=28,28,IF(M123&gt;=26,26,(IF(M123&gt;=24,24,IF(M123&gt;=22,22,IF(M123&gt;=20,20,IF(M123&gt;=18,18,IF(M123&gt;=14,14,(IF(M123&gt;=10,10,(IF(M123&gt;=6,6,(IF(M123&gt;=2,2,0))))))))))))))</f>
        <v>28</v>
      </c>
      <c r="U123" s="173">
        <f t="shared" ref="U123:U137" si="135">IF(N123&gt;=28,28,IF(N123&gt;=26,26,(IF(N123&gt;=24,24,IF(N123&gt;=22,22,IF(N123&gt;=20,20,IF(N123&gt;=18,18,IF(N123&gt;=14,14,(IF(N123&gt;=10,10,(IF(N123&gt;=6,6,(IF(N123&gt;=2,2,0))))))))))))))</f>
        <v>28</v>
      </c>
      <c r="V123" s="173">
        <f t="shared" ref="V123:V137" si="136">IF(O123&gt;=28,28,IF(O123&gt;=26,26,(IF(O123&gt;=24,24,IF(O123&gt;=22,22,IF(O123&gt;=20,20,IF(O123&gt;=18,18,IF(O123&gt;=14,14,(IF(O123&gt;=10,10,(IF(O123&gt;=6,6,(IF(O123&gt;=2,2,0))))))))))))))</f>
        <v>28</v>
      </c>
      <c r="W123" s="175">
        <f>IF(P123=2,'A.0_Tablas salariales SC'!$P$9,(IF(P123=6,'A.0_Tablas salariales SC'!$P$10,IF(P123=10,'A.0_Tablas salariales SC'!$P$11,IF(P123=14,'A.0_Tablas salariales SC'!$P$12,IF(P123=18,'A.0_Tablas salariales SC'!$P$13,IF(P123=20,'A.0_Tablas salariales SC'!$P$14,IF(P123=22,'A.0_Tablas salariales SC'!$P$15,IF(P123=24,'A.0_Tablas salariales SC'!$P$16,IF(P123=26,'A.0_Tablas salariales SC'!$P$17,IF(P123=28,'A.0_Tablas salariales SC'!$P$18,0)))))))))))</f>
        <v>446.8</v>
      </c>
      <c r="X123" s="175">
        <f>IF(Q123=2,'A.0_Tablas salariales SC'!$P$36,(IF(Q123=6,'A.0_Tablas salariales SC'!$P$37,IF(Q123=10,'A.0_Tablas salariales SC'!$P$38,IF(Q123=14,'A.0_Tablas salariales SC'!$P$39,IF(Q123=18,'A.0_Tablas salariales SC'!$P$40,IF(Q123=20,'A.0_Tablas salariales SC'!$P$41,IF(Q123=22,'A.0_Tablas salariales SC'!$P$42,IF(Q123=24,'A.0_Tablas salariales SC'!$P$43,IF(Q123=26,'A.0_Tablas salariales SC'!$P$44,IF(Q123=28,'A.0_Tablas salariales SC'!$P$45,0)))))))))))</f>
        <v>462.44</v>
      </c>
      <c r="Y123" s="175">
        <f>IF(R123=2,'A.0_Tablas salariales SC'!$P$63,(IF(R123=6,'A.0_Tablas salariales SC'!$P$64,IF(R123=10,'A.0_Tablas salariales SC'!$P$65,IF(R123=14,'A.0_Tablas salariales SC'!$P$66,IF(R123=18,'A.0_Tablas salariales SC'!$P$67,IF(R123=20,'A.0_Tablas salariales SC'!$P$68,IF(R123=22,'A.0_Tablas salariales SC'!$P$69,IF(R123=24,'A.0_Tablas salariales SC'!$P$70,IF(R123=26,'A.0_Tablas salariales SC'!$P$71,IF(R123=28,'A.0_Tablas salariales SC'!$P$72,0)))))))))))</f>
        <v>480.93</v>
      </c>
      <c r="Z123" s="175">
        <f>IF(S123=2,'A.0_Tablas salariales SC'!$P$90,(IF(S123=6,'A.0_Tablas salariales SC'!$P$91,IF(S123=10,'A.0_Tablas salariales SC'!$P$92,IF(S123=14,'A.0_Tablas salariales SC'!$P$93,IF(S123=18,'A.0_Tablas salariales SC'!$P$94,IF(S123=20,'A.0_Tablas salariales SC'!$P$95,IF(S123=22,'A.0_Tablas salariales SC'!$P$96,IF(S123=24,'A.0_Tablas salariales SC'!$P$97,IF(S123=26,'A.0_Tablas salariales SC'!$P$98,IF(S123=28,'A.0_Tablas salariales SC'!$P$99,0)))))))))))</f>
        <v>502.58</v>
      </c>
      <c r="AA123" s="175">
        <f>IF(T123=2,'A.0_Tablas salariales SC'!$P$117,(IF(T123=6,'A.0_Tablas salariales SC'!$P$118,IF(T123=10,'A.0_Tablas salariales SC'!$P$119,IF(T123=14,'A.0_Tablas salariales SC'!$P$120,IF(T123=18,'A.0_Tablas salariales SC'!$P$121,IF(T123=20,'A.0_Tablas salariales SC'!$P$122,IF(T123=22,'A.0_Tablas salariales SC'!$P$123,IF(T123=24,'A.0_Tablas salariales SC'!$P$124,IF(T123=26,'A.0_Tablas salariales SC'!$P$125,IF(T123=28,'A.0_Tablas salariales SC'!$P$126,0)))))))))))</f>
        <v>527.70000000000005</v>
      </c>
      <c r="AB123" s="175">
        <f>IF(U123=2,'A.0_Tablas salariales SC'!$P$145,(IF(U123=6,'A.0_Tablas salariales SC'!$P$146,IF(U123=10,'A.0_Tablas salariales SC'!$P$147,IF(U123=14,'A.0_Tablas salariales SC'!$P$148,IF(U123=18,'A.0_Tablas salariales SC'!$P$149,IF(U123=20,'A.0_Tablas salariales SC'!$P$150,IF(U123=22,'A.0_Tablas salariales SC'!$P$151,IF(U123=24,'A.0_Tablas salariales SC'!$P$152,IF(U123=26,'A.0_Tablas salariales SC'!$P$153,IF(U123=28,'A.0_Tablas salariales SC'!$P$154,0)))))))))))</f>
        <v>543.53100000000006</v>
      </c>
      <c r="AC123" s="175">
        <f>IF(V123=2,'A.0_Tablas salariales SC'!$P$173,(IF(V123=6,'A.0_Tablas salariales SC'!$P$174,IF(V123=10,'A.0_Tablas salariales SC'!$P$175,IF(V123=14,'A.0_Tablas salariales SC'!$P$176,IF(V123=18,'A.0_Tablas salariales SC'!$P$177,IF(V123=20,'A.0_Tablas salariales SC'!$P$178,IF(V123=22,'A.0_Tablas salariales SC'!$P$179,IF(V123=24,'A.0_Tablas salariales SC'!$P$180,IF(V123=26,'A.0_Tablas salariales SC'!$P$181,IF(V123=28,'A.0_Tablas salariales SC'!$P$182,0)))))))))))</f>
        <v>559.83693000000005</v>
      </c>
    </row>
    <row r="124" spans="1:29">
      <c r="A124" s="508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2">
        <f t="shared" si="122"/>
        <v>1900</v>
      </c>
      <c r="G124" s="173">
        <f t="shared" si="107"/>
        <v>2026</v>
      </c>
      <c r="H124" s="173">
        <f t="shared" si="107"/>
        <v>2032</v>
      </c>
      <c r="I124" s="173">
        <f t="shared" si="123"/>
        <v>126</v>
      </c>
      <c r="J124" s="173">
        <f t="shared" si="124"/>
        <v>127</v>
      </c>
      <c r="K124" s="173">
        <f t="shared" si="125"/>
        <v>128</v>
      </c>
      <c r="L124" s="173">
        <f t="shared" si="126"/>
        <v>129</v>
      </c>
      <c r="M124" s="173">
        <f t="shared" si="127"/>
        <v>130</v>
      </c>
      <c r="N124" s="173">
        <f t="shared" si="128"/>
        <v>131</v>
      </c>
      <c r="O124" s="173">
        <f t="shared" si="129"/>
        <v>132</v>
      </c>
      <c r="P124" s="173">
        <f t="shared" si="130"/>
        <v>28</v>
      </c>
      <c r="Q124" s="173">
        <f t="shared" si="131"/>
        <v>28</v>
      </c>
      <c r="R124" s="173">
        <f t="shared" si="132"/>
        <v>28</v>
      </c>
      <c r="S124" s="173">
        <f t="shared" si="133"/>
        <v>28</v>
      </c>
      <c r="T124" s="173">
        <f t="shared" si="134"/>
        <v>28</v>
      </c>
      <c r="U124" s="173">
        <f t="shared" si="135"/>
        <v>28</v>
      </c>
      <c r="V124" s="173">
        <f t="shared" si="136"/>
        <v>28</v>
      </c>
      <c r="W124" s="175">
        <f>IF(P124=2,'A.0_Tablas salariales SC'!$P$9,(IF(P124=6,'A.0_Tablas salariales SC'!$P$10,IF(P124=10,'A.0_Tablas salariales SC'!$P$11,IF(P124=14,'A.0_Tablas salariales SC'!$P$12,IF(P124=18,'A.0_Tablas salariales SC'!$P$13,IF(P124=20,'A.0_Tablas salariales SC'!$P$14,IF(P124=22,'A.0_Tablas salariales SC'!$P$15,IF(P124=24,'A.0_Tablas salariales SC'!$P$16,IF(P124=26,'A.0_Tablas salariales SC'!$P$17,IF(P124=28,'A.0_Tablas salariales SC'!$P$18,0)))))))))))</f>
        <v>446.8</v>
      </c>
      <c r="X124" s="175">
        <f>IF(Q124=2,'A.0_Tablas salariales SC'!$P$36,(IF(Q124=6,'A.0_Tablas salariales SC'!$P$37,IF(Q124=10,'A.0_Tablas salariales SC'!$P$38,IF(Q124=14,'A.0_Tablas salariales SC'!$P$39,IF(Q124=18,'A.0_Tablas salariales SC'!$P$40,IF(Q124=20,'A.0_Tablas salariales SC'!$P$41,IF(Q124=22,'A.0_Tablas salariales SC'!$P$42,IF(Q124=24,'A.0_Tablas salariales SC'!$P$43,IF(Q124=26,'A.0_Tablas salariales SC'!$P$44,IF(Q124=28,'A.0_Tablas salariales SC'!$P$45,0)))))))))))</f>
        <v>462.44</v>
      </c>
      <c r="Y124" s="175">
        <f>IF(R124=2,'A.0_Tablas salariales SC'!$P$63,(IF(R124=6,'A.0_Tablas salariales SC'!$P$64,IF(R124=10,'A.0_Tablas salariales SC'!$P$65,IF(R124=14,'A.0_Tablas salariales SC'!$P$66,IF(R124=18,'A.0_Tablas salariales SC'!$P$67,IF(R124=20,'A.0_Tablas salariales SC'!$P$68,IF(R124=22,'A.0_Tablas salariales SC'!$P$69,IF(R124=24,'A.0_Tablas salariales SC'!$P$70,IF(R124=26,'A.0_Tablas salariales SC'!$P$71,IF(R124=28,'A.0_Tablas salariales SC'!$P$72,0)))))))))))</f>
        <v>480.93</v>
      </c>
      <c r="Z124" s="175">
        <f>IF(S124=2,'A.0_Tablas salariales SC'!$P$90,(IF(S124=6,'A.0_Tablas salariales SC'!$P$91,IF(S124=10,'A.0_Tablas salariales SC'!$P$92,IF(S124=14,'A.0_Tablas salariales SC'!$P$93,IF(S124=18,'A.0_Tablas salariales SC'!$P$94,IF(S124=20,'A.0_Tablas salariales SC'!$P$95,IF(S124=22,'A.0_Tablas salariales SC'!$P$96,IF(S124=24,'A.0_Tablas salariales SC'!$P$97,IF(S124=26,'A.0_Tablas salariales SC'!$P$98,IF(S124=28,'A.0_Tablas salariales SC'!$P$99,0)))))))))))</f>
        <v>502.58</v>
      </c>
      <c r="AA124" s="175">
        <f>IF(T124=2,'A.0_Tablas salariales SC'!$P$117,(IF(T124=6,'A.0_Tablas salariales SC'!$P$118,IF(T124=10,'A.0_Tablas salariales SC'!$P$119,IF(T124=14,'A.0_Tablas salariales SC'!$P$120,IF(T124=18,'A.0_Tablas salariales SC'!$P$121,IF(T124=20,'A.0_Tablas salariales SC'!$P$122,IF(T124=22,'A.0_Tablas salariales SC'!$P$123,IF(T124=24,'A.0_Tablas salariales SC'!$P$124,IF(T124=26,'A.0_Tablas salariales SC'!$P$125,IF(T124=28,'A.0_Tablas salariales SC'!$P$126,0)))))))))))</f>
        <v>527.70000000000005</v>
      </c>
      <c r="AB124" s="175">
        <f>IF(U124=2,'A.0_Tablas salariales SC'!$P$145,(IF(U124=6,'A.0_Tablas salariales SC'!$P$146,IF(U124=10,'A.0_Tablas salariales SC'!$P$147,IF(U124=14,'A.0_Tablas salariales SC'!$P$148,IF(U124=18,'A.0_Tablas salariales SC'!$P$149,IF(U124=20,'A.0_Tablas salariales SC'!$P$150,IF(U124=22,'A.0_Tablas salariales SC'!$P$151,IF(U124=24,'A.0_Tablas salariales SC'!$P$152,IF(U124=26,'A.0_Tablas salariales SC'!$P$153,IF(U124=28,'A.0_Tablas salariales SC'!$P$154,0)))))))))))</f>
        <v>543.53100000000006</v>
      </c>
      <c r="AC124" s="175">
        <f>IF(V124=2,'A.0_Tablas salariales SC'!$P$173,(IF(V124=6,'A.0_Tablas salariales SC'!$P$174,IF(V124=10,'A.0_Tablas salariales SC'!$P$175,IF(V124=14,'A.0_Tablas salariales SC'!$P$176,IF(V124=18,'A.0_Tablas salariales SC'!$P$177,IF(V124=20,'A.0_Tablas salariales SC'!$P$178,IF(V124=22,'A.0_Tablas salariales SC'!$P$179,IF(V124=24,'A.0_Tablas salariales SC'!$P$180,IF(V124=26,'A.0_Tablas salariales SC'!$P$181,IF(V124=28,'A.0_Tablas salariales SC'!$P$182,0)))))))))))</f>
        <v>559.83693000000005</v>
      </c>
    </row>
    <row r="125" spans="1:29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2">
        <f t="shared" si="122"/>
        <v>1900</v>
      </c>
      <c r="G125" s="173">
        <f t="shared" si="107"/>
        <v>2026</v>
      </c>
      <c r="H125" s="173">
        <f t="shared" si="107"/>
        <v>2032</v>
      </c>
      <c r="I125" s="173">
        <f t="shared" si="123"/>
        <v>126</v>
      </c>
      <c r="J125" s="173">
        <f t="shared" si="124"/>
        <v>127</v>
      </c>
      <c r="K125" s="173">
        <f t="shared" si="125"/>
        <v>128</v>
      </c>
      <c r="L125" s="173">
        <f t="shared" si="126"/>
        <v>129</v>
      </c>
      <c r="M125" s="173">
        <f t="shared" si="127"/>
        <v>130</v>
      </c>
      <c r="N125" s="173">
        <f t="shared" si="128"/>
        <v>131</v>
      </c>
      <c r="O125" s="173">
        <f t="shared" si="129"/>
        <v>132</v>
      </c>
      <c r="P125" s="173">
        <f t="shared" si="130"/>
        <v>28</v>
      </c>
      <c r="Q125" s="173">
        <f t="shared" si="131"/>
        <v>28</v>
      </c>
      <c r="R125" s="173">
        <f t="shared" si="132"/>
        <v>28</v>
      </c>
      <c r="S125" s="173">
        <f t="shared" si="133"/>
        <v>28</v>
      </c>
      <c r="T125" s="173">
        <f t="shared" si="134"/>
        <v>28</v>
      </c>
      <c r="U125" s="173">
        <f t="shared" si="135"/>
        <v>28</v>
      </c>
      <c r="V125" s="173">
        <f t="shared" si="136"/>
        <v>28</v>
      </c>
      <c r="W125" s="175">
        <f>IF(P125=2,'A.0_Tablas salariales SC'!$P$9,(IF(P125=6,'A.0_Tablas salariales SC'!$P$10,IF(P125=10,'A.0_Tablas salariales SC'!$P$11,IF(P125=14,'A.0_Tablas salariales SC'!$P$12,IF(P125=18,'A.0_Tablas salariales SC'!$P$13,IF(P125=20,'A.0_Tablas salariales SC'!$P$14,IF(P125=22,'A.0_Tablas salariales SC'!$P$15,IF(P125=24,'A.0_Tablas salariales SC'!$P$16,IF(P125=26,'A.0_Tablas salariales SC'!$P$17,IF(P125=28,'A.0_Tablas salariales SC'!$P$18,0)))))))))))</f>
        <v>446.8</v>
      </c>
      <c r="X125" s="175">
        <f>IF(Q125=2,'A.0_Tablas salariales SC'!$P$36,(IF(Q125=6,'A.0_Tablas salariales SC'!$P$37,IF(Q125=10,'A.0_Tablas salariales SC'!$P$38,IF(Q125=14,'A.0_Tablas salariales SC'!$P$39,IF(Q125=18,'A.0_Tablas salariales SC'!$P$40,IF(Q125=20,'A.0_Tablas salariales SC'!$P$41,IF(Q125=22,'A.0_Tablas salariales SC'!$P$42,IF(Q125=24,'A.0_Tablas salariales SC'!$P$43,IF(Q125=26,'A.0_Tablas salariales SC'!$P$44,IF(Q125=28,'A.0_Tablas salariales SC'!$P$45,0)))))))))))</f>
        <v>462.44</v>
      </c>
      <c r="Y125" s="175">
        <f>IF(R125=2,'A.0_Tablas salariales SC'!$P$63,(IF(R125=6,'A.0_Tablas salariales SC'!$P$64,IF(R125=10,'A.0_Tablas salariales SC'!$P$65,IF(R125=14,'A.0_Tablas salariales SC'!$P$66,IF(R125=18,'A.0_Tablas salariales SC'!$P$67,IF(R125=20,'A.0_Tablas salariales SC'!$P$68,IF(R125=22,'A.0_Tablas salariales SC'!$P$69,IF(R125=24,'A.0_Tablas salariales SC'!$P$70,IF(R125=26,'A.0_Tablas salariales SC'!$P$71,IF(R125=28,'A.0_Tablas salariales SC'!$P$72,0)))))))))))</f>
        <v>480.93</v>
      </c>
      <c r="Z125" s="175">
        <f>IF(S125=2,'A.0_Tablas salariales SC'!$P$90,(IF(S125=6,'A.0_Tablas salariales SC'!$P$91,IF(S125=10,'A.0_Tablas salariales SC'!$P$92,IF(S125=14,'A.0_Tablas salariales SC'!$P$93,IF(S125=18,'A.0_Tablas salariales SC'!$P$94,IF(S125=20,'A.0_Tablas salariales SC'!$P$95,IF(S125=22,'A.0_Tablas salariales SC'!$P$96,IF(S125=24,'A.0_Tablas salariales SC'!$P$97,IF(S125=26,'A.0_Tablas salariales SC'!$P$98,IF(S125=28,'A.0_Tablas salariales SC'!$P$99,0)))))))))))</f>
        <v>502.58</v>
      </c>
      <c r="AA125" s="175">
        <f>IF(T125=2,'A.0_Tablas salariales SC'!$P$117,(IF(T125=6,'A.0_Tablas salariales SC'!$P$118,IF(T125=10,'A.0_Tablas salariales SC'!$P$119,IF(T125=14,'A.0_Tablas salariales SC'!$P$120,IF(T125=18,'A.0_Tablas salariales SC'!$P$121,IF(T125=20,'A.0_Tablas salariales SC'!$P$122,IF(T125=22,'A.0_Tablas salariales SC'!$P$123,IF(T125=24,'A.0_Tablas salariales SC'!$P$124,IF(T125=26,'A.0_Tablas salariales SC'!$P$125,IF(T125=28,'A.0_Tablas salariales SC'!$P$126,0)))))))))))</f>
        <v>527.70000000000005</v>
      </c>
      <c r="AB125" s="175">
        <f>IF(U125=2,'A.0_Tablas salariales SC'!$P$145,(IF(U125=6,'A.0_Tablas salariales SC'!$P$146,IF(U125=10,'A.0_Tablas salariales SC'!$P$147,IF(U125=14,'A.0_Tablas salariales SC'!$P$148,IF(U125=18,'A.0_Tablas salariales SC'!$P$149,IF(U125=20,'A.0_Tablas salariales SC'!$P$150,IF(U125=22,'A.0_Tablas salariales SC'!$P$151,IF(U125=24,'A.0_Tablas salariales SC'!$P$152,IF(U125=26,'A.0_Tablas salariales SC'!$P$153,IF(U125=28,'A.0_Tablas salariales SC'!$P$154,0)))))))))))</f>
        <v>543.53100000000006</v>
      </c>
      <c r="AC125" s="175">
        <f>IF(V125=2,'A.0_Tablas salariales SC'!$P$173,(IF(V125=6,'A.0_Tablas salariales SC'!$P$174,IF(V125=10,'A.0_Tablas salariales SC'!$P$175,IF(V125=14,'A.0_Tablas salariales SC'!$P$176,IF(V125=18,'A.0_Tablas salariales SC'!$P$177,IF(V125=20,'A.0_Tablas salariales SC'!$P$178,IF(V125=22,'A.0_Tablas salariales SC'!$P$179,IF(V125=24,'A.0_Tablas salariales SC'!$P$180,IF(V125=26,'A.0_Tablas salariales SC'!$P$181,IF(V125=28,'A.0_Tablas salariales SC'!$P$182,0)))))))))))</f>
        <v>559.83693000000005</v>
      </c>
    </row>
    <row r="126" spans="1:29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2">
        <f t="shared" si="122"/>
        <v>1900</v>
      </c>
      <c r="G126" s="173">
        <f t="shared" si="107"/>
        <v>2026</v>
      </c>
      <c r="H126" s="173">
        <f t="shared" si="107"/>
        <v>2032</v>
      </c>
      <c r="I126" s="173">
        <f t="shared" si="123"/>
        <v>126</v>
      </c>
      <c r="J126" s="173">
        <f t="shared" si="124"/>
        <v>127</v>
      </c>
      <c r="K126" s="173">
        <f t="shared" si="125"/>
        <v>128</v>
      </c>
      <c r="L126" s="173">
        <f t="shared" si="126"/>
        <v>129</v>
      </c>
      <c r="M126" s="173">
        <f t="shared" si="127"/>
        <v>130</v>
      </c>
      <c r="N126" s="173">
        <f t="shared" si="128"/>
        <v>131</v>
      </c>
      <c r="O126" s="173">
        <f t="shared" si="129"/>
        <v>132</v>
      </c>
      <c r="P126" s="173">
        <f t="shared" si="130"/>
        <v>28</v>
      </c>
      <c r="Q126" s="173">
        <f t="shared" si="131"/>
        <v>28</v>
      </c>
      <c r="R126" s="173">
        <f t="shared" si="132"/>
        <v>28</v>
      </c>
      <c r="S126" s="173">
        <f t="shared" si="133"/>
        <v>28</v>
      </c>
      <c r="T126" s="173">
        <f t="shared" si="134"/>
        <v>28</v>
      </c>
      <c r="U126" s="173">
        <f t="shared" si="135"/>
        <v>28</v>
      </c>
      <c r="V126" s="173">
        <f t="shared" si="136"/>
        <v>28</v>
      </c>
      <c r="W126" s="175">
        <f>IF(P126=2,'A.0_Tablas salariales SC'!$P$9,(IF(P126=6,'A.0_Tablas salariales SC'!$P$10,IF(P126=10,'A.0_Tablas salariales SC'!$P$11,IF(P126=14,'A.0_Tablas salariales SC'!$P$12,IF(P126=18,'A.0_Tablas salariales SC'!$P$13,IF(P126=20,'A.0_Tablas salariales SC'!$P$14,IF(P126=22,'A.0_Tablas salariales SC'!$P$15,IF(P126=24,'A.0_Tablas salariales SC'!$P$16,IF(P126=26,'A.0_Tablas salariales SC'!$P$17,IF(P126=28,'A.0_Tablas salariales SC'!$P$18,0)))))))))))</f>
        <v>446.8</v>
      </c>
      <c r="X126" s="175">
        <f>IF(Q126=2,'A.0_Tablas salariales SC'!$P$36,(IF(Q126=6,'A.0_Tablas salariales SC'!$P$37,IF(Q126=10,'A.0_Tablas salariales SC'!$P$38,IF(Q126=14,'A.0_Tablas salariales SC'!$P$39,IF(Q126=18,'A.0_Tablas salariales SC'!$P$40,IF(Q126=20,'A.0_Tablas salariales SC'!$P$41,IF(Q126=22,'A.0_Tablas salariales SC'!$P$42,IF(Q126=24,'A.0_Tablas salariales SC'!$P$43,IF(Q126=26,'A.0_Tablas salariales SC'!$P$44,IF(Q126=28,'A.0_Tablas salariales SC'!$P$45,0)))))))))))</f>
        <v>462.44</v>
      </c>
      <c r="Y126" s="175">
        <f>IF(R126=2,'A.0_Tablas salariales SC'!$P$63,(IF(R126=6,'A.0_Tablas salariales SC'!$P$64,IF(R126=10,'A.0_Tablas salariales SC'!$P$65,IF(R126=14,'A.0_Tablas salariales SC'!$P$66,IF(R126=18,'A.0_Tablas salariales SC'!$P$67,IF(R126=20,'A.0_Tablas salariales SC'!$P$68,IF(R126=22,'A.0_Tablas salariales SC'!$P$69,IF(R126=24,'A.0_Tablas salariales SC'!$P$70,IF(R126=26,'A.0_Tablas salariales SC'!$P$71,IF(R126=28,'A.0_Tablas salariales SC'!$P$72,0)))))))))))</f>
        <v>480.93</v>
      </c>
      <c r="Z126" s="175">
        <f>IF(S126=2,'A.0_Tablas salariales SC'!$P$90,(IF(S126=6,'A.0_Tablas salariales SC'!$P$91,IF(S126=10,'A.0_Tablas salariales SC'!$P$92,IF(S126=14,'A.0_Tablas salariales SC'!$P$93,IF(S126=18,'A.0_Tablas salariales SC'!$P$94,IF(S126=20,'A.0_Tablas salariales SC'!$P$95,IF(S126=22,'A.0_Tablas salariales SC'!$P$96,IF(S126=24,'A.0_Tablas salariales SC'!$P$97,IF(S126=26,'A.0_Tablas salariales SC'!$P$98,IF(S126=28,'A.0_Tablas salariales SC'!$P$99,0)))))))))))</f>
        <v>502.58</v>
      </c>
      <c r="AA126" s="175">
        <f>IF(T126=2,'A.0_Tablas salariales SC'!$P$117,(IF(T126=6,'A.0_Tablas salariales SC'!$P$118,IF(T126=10,'A.0_Tablas salariales SC'!$P$119,IF(T126=14,'A.0_Tablas salariales SC'!$P$120,IF(T126=18,'A.0_Tablas salariales SC'!$P$121,IF(T126=20,'A.0_Tablas salariales SC'!$P$122,IF(T126=22,'A.0_Tablas salariales SC'!$P$123,IF(T126=24,'A.0_Tablas salariales SC'!$P$124,IF(T126=26,'A.0_Tablas salariales SC'!$P$125,IF(T126=28,'A.0_Tablas salariales SC'!$P$126,0)))))))))))</f>
        <v>527.70000000000005</v>
      </c>
      <c r="AB126" s="175">
        <f>IF(U126=2,'A.0_Tablas salariales SC'!$P$145,(IF(U126=6,'A.0_Tablas salariales SC'!$P$146,IF(U126=10,'A.0_Tablas salariales SC'!$P$147,IF(U126=14,'A.0_Tablas salariales SC'!$P$148,IF(U126=18,'A.0_Tablas salariales SC'!$P$149,IF(U126=20,'A.0_Tablas salariales SC'!$P$150,IF(U126=22,'A.0_Tablas salariales SC'!$P$151,IF(U126=24,'A.0_Tablas salariales SC'!$P$152,IF(U126=26,'A.0_Tablas salariales SC'!$P$153,IF(U126=28,'A.0_Tablas salariales SC'!$P$154,0)))))))))))</f>
        <v>543.53100000000006</v>
      </c>
      <c r="AC126" s="175">
        <f>IF(V126=2,'A.0_Tablas salariales SC'!$P$173,(IF(V126=6,'A.0_Tablas salariales SC'!$P$174,IF(V126=10,'A.0_Tablas salariales SC'!$P$175,IF(V126=14,'A.0_Tablas salariales SC'!$P$176,IF(V126=18,'A.0_Tablas salariales SC'!$P$177,IF(V126=20,'A.0_Tablas salariales SC'!$P$178,IF(V126=22,'A.0_Tablas salariales SC'!$P$179,IF(V126=24,'A.0_Tablas salariales SC'!$P$180,IF(V126=26,'A.0_Tablas salariales SC'!$P$181,IF(V126=28,'A.0_Tablas salariales SC'!$P$182,0)))))))))))</f>
        <v>559.83693000000005</v>
      </c>
    </row>
    <row r="127" spans="1:29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2">
        <f t="shared" si="122"/>
        <v>1900</v>
      </c>
      <c r="G127" s="173">
        <f t="shared" si="107"/>
        <v>2026</v>
      </c>
      <c r="H127" s="173">
        <f t="shared" si="107"/>
        <v>2032</v>
      </c>
      <c r="I127" s="173">
        <f t="shared" si="123"/>
        <v>126</v>
      </c>
      <c r="J127" s="173">
        <f t="shared" si="124"/>
        <v>127</v>
      </c>
      <c r="K127" s="173">
        <f t="shared" si="125"/>
        <v>128</v>
      </c>
      <c r="L127" s="173">
        <f t="shared" si="126"/>
        <v>129</v>
      </c>
      <c r="M127" s="173">
        <f t="shared" si="127"/>
        <v>130</v>
      </c>
      <c r="N127" s="173">
        <f t="shared" si="128"/>
        <v>131</v>
      </c>
      <c r="O127" s="173">
        <f t="shared" si="129"/>
        <v>132</v>
      </c>
      <c r="P127" s="173">
        <f t="shared" si="130"/>
        <v>28</v>
      </c>
      <c r="Q127" s="173">
        <f t="shared" si="131"/>
        <v>28</v>
      </c>
      <c r="R127" s="173">
        <f t="shared" si="132"/>
        <v>28</v>
      </c>
      <c r="S127" s="173">
        <f t="shared" si="133"/>
        <v>28</v>
      </c>
      <c r="T127" s="173">
        <f t="shared" si="134"/>
        <v>28</v>
      </c>
      <c r="U127" s="173">
        <f t="shared" si="135"/>
        <v>28</v>
      </c>
      <c r="V127" s="173">
        <f t="shared" si="136"/>
        <v>28</v>
      </c>
      <c r="W127" s="175">
        <f>IF(P127=2,'A.0_Tablas salariales SC'!$P$9,(IF(P127=6,'A.0_Tablas salariales SC'!$P$10,IF(P127=10,'A.0_Tablas salariales SC'!$P$11,IF(P127=14,'A.0_Tablas salariales SC'!$P$12,IF(P127=18,'A.0_Tablas salariales SC'!$P$13,IF(P127=20,'A.0_Tablas salariales SC'!$P$14,IF(P127=22,'A.0_Tablas salariales SC'!$P$15,IF(P127=24,'A.0_Tablas salariales SC'!$P$16,IF(P127=26,'A.0_Tablas salariales SC'!$P$17,IF(P127=28,'A.0_Tablas salariales SC'!$P$18,0)))))))))))</f>
        <v>446.8</v>
      </c>
      <c r="X127" s="175">
        <f>IF(Q127=2,'A.0_Tablas salariales SC'!$P$36,(IF(Q127=6,'A.0_Tablas salariales SC'!$P$37,IF(Q127=10,'A.0_Tablas salariales SC'!$P$38,IF(Q127=14,'A.0_Tablas salariales SC'!$P$39,IF(Q127=18,'A.0_Tablas salariales SC'!$P$40,IF(Q127=20,'A.0_Tablas salariales SC'!$P$41,IF(Q127=22,'A.0_Tablas salariales SC'!$P$42,IF(Q127=24,'A.0_Tablas salariales SC'!$P$43,IF(Q127=26,'A.0_Tablas salariales SC'!$P$44,IF(Q127=28,'A.0_Tablas salariales SC'!$P$45,0)))))))))))</f>
        <v>462.44</v>
      </c>
      <c r="Y127" s="175">
        <f>IF(R127=2,'A.0_Tablas salariales SC'!$P$63,(IF(R127=6,'A.0_Tablas salariales SC'!$P$64,IF(R127=10,'A.0_Tablas salariales SC'!$P$65,IF(R127=14,'A.0_Tablas salariales SC'!$P$66,IF(R127=18,'A.0_Tablas salariales SC'!$P$67,IF(R127=20,'A.0_Tablas salariales SC'!$P$68,IF(R127=22,'A.0_Tablas salariales SC'!$P$69,IF(R127=24,'A.0_Tablas salariales SC'!$P$70,IF(R127=26,'A.0_Tablas salariales SC'!$P$71,IF(R127=28,'A.0_Tablas salariales SC'!$P$72,0)))))))))))</f>
        <v>480.93</v>
      </c>
      <c r="Z127" s="175">
        <f>IF(S127=2,'A.0_Tablas salariales SC'!$P$90,(IF(S127=6,'A.0_Tablas salariales SC'!$P$91,IF(S127=10,'A.0_Tablas salariales SC'!$P$92,IF(S127=14,'A.0_Tablas salariales SC'!$P$93,IF(S127=18,'A.0_Tablas salariales SC'!$P$94,IF(S127=20,'A.0_Tablas salariales SC'!$P$95,IF(S127=22,'A.0_Tablas salariales SC'!$P$96,IF(S127=24,'A.0_Tablas salariales SC'!$P$97,IF(S127=26,'A.0_Tablas salariales SC'!$P$98,IF(S127=28,'A.0_Tablas salariales SC'!$P$99,0)))))))))))</f>
        <v>502.58</v>
      </c>
      <c r="AA127" s="175">
        <f>IF(T127=2,'A.0_Tablas salariales SC'!$P$117,(IF(T127=6,'A.0_Tablas salariales SC'!$P$118,IF(T127=10,'A.0_Tablas salariales SC'!$P$119,IF(T127=14,'A.0_Tablas salariales SC'!$P$120,IF(T127=18,'A.0_Tablas salariales SC'!$P$121,IF(T127=20,'A.0_Tablas salariales SC'!$P$122,IF(T127=22,'A.0_Tablas salariales SC'!$P$123,IF(T127=24,'A.0_Tablas salariales SC'!$P$124,IF(T127=26,'A.0_Tablas salariales SC'!$P$125,IF(T127=28,'A.0_Tablas salariales SC'!$P$126,0)))))))))))</f>
        <v>527.70000000000005</v>
      </c>
      <c r="AB127" s="175">
        <f>IF(U127=2,'A.0_Tablas salariales SC'!$P$145,(IF(U127=6,'A.0_Tablas salariales SC'!$P$146,IF(U127=10,'A.0_Tablas salariales SC'!$P$147,IF(U127=14,'A.0_Tablas salariales SC'!$P$148,IF(U127=18,'A.0_Tablas salariales SC'!$P$149,IF(U127=20,'A.0_Tablas salariales SC'!$P$150,IF(U127=22,'A.0_Tablas salariales SC'!$P$151,IF(U127=24,'A.0_Tablas salariales SC'!$P$152,IF(U127=26,'A.0_Tablas salariales SC'!$P$153,IF(U127=28,'A.0_Tablas salariales SC'!$P$154,0)))))))))))</f>
        <v>543.53100000000006</v>
      </c>
      <c r="AC127" s="175">
        <f>IF(V127=2,'A.0_Tablas salariales SC'!$P$173,(IF(V127=6,'A.0_Tablas salariales SC'!$P$174,IF(V127=10,'A.0_Tablas salariales SC'!$P$175,IF(V127=14,'A.0_Tablas salariales SC'!$P$176,IF(V127=18,'A.0_Tablas salariales SC'!$P$177,IF(V127=20,'A.0_Tablas salariales SC'!$P$178,IF(V127=22,'A.0_Tablas salariales SC'!$P$179,IF(V127=24,'A.0_Tablas salariales SC'!$P$180,IF(V127=26,'A.0_Tablas salariales SC'!$P$181,IF(V127=28,'A.0_Tablas salariales SC'!$P$182,0)))))))))))</f>
        <v>559.83693000000005</v>
      </c>
    </row>
    <row r="128" spans="1:29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2">
        <f t="shared" si="122"/>
        <v>1900</v>
      </c>
      <c r="G128" s="173">
        <f t="shared" si="107"/>
        <v>2026</v>
      </c>
      <c r="H128" s="173">
        <f t="shared" si="107"/>
        <v>2032</v>
      </c>
      <c r="I128" s="173">
        <f t="shared" si="123"/>
        <v>126</v>
      </c>
      <c r="J128" s="173">
        <f t="shared" si="124"/>
        <v>127</v>
      </c>
      <c r="K128" s="173">
        <f t="shared" si="125"/>
        <v>128</v>
      </c>
      <c r="L128" s="173">
        <f t="shared" si="126"/>
        <v>129</v>
      </c>
      <c r="M128" s="173">
        <f t="shared" si="127"/>
        <v>130</v>
      </c>
      <c r="N128" s="173">
        <f t="shared" si="128"/>
        <v>131</v>
      </c>
      <c r="O128" s="173">
        <f t="shared" si="129"/>
        <v>132</v>
      </c>
      <c r="P128" s="173">
        <f t="shared" si="130"/>
        <v>28</v>
      </c>
      <c r="Q128" s="173">
        <f t="shared" si="131"/>
        <v>28</v>
      </c>
      <c r="R128" s="173">
        <f t="shared" si="132"/>
        <v>28</v>
      </c>
      <c r="S128" s="173">
        <f t="shared" si="133"/>
        <v>28</v>
      </c>
      <c r="T128" s="173">
        <f t="shared" si="134"/>
        <v>28</v>
      </c>
      <c r="U128" s="173">
        <f t="shared" si="135"/>
        <v>28</v>
      </c>
      <c r="V128" s="173">
        <f t="shared" si="136"/>
        <v>28</v>
      </c>
      <c r="W128" s="175">
        <f>IF(P128=2,'A.0_Tablas salariales SC'!$P$9,(IF(P128=6,'A.0_Tablas salariales SC'!$P$10,IF(P128=10,'A.0_Tablas salariales SC'!$P$11,IF(P128=14,'A.0_Tablas salariales SC'!$P$12,IF(P128=18,'A.0_Tablas salariales SC'!$P$13,IF(P128=20,'A.0_Tablas salariales SC'!$P$14,IF(P128=22,'A.0_Tablas salariales SC'!$P$15,IF(P128=24,'A.0_Tablas salariales SC'!$P$16,IF(P128=26,'A.0_Tablas salariales SC'!$P$17,IF(P128=28,'A.0_Tablas salariales SC'!$P$18,0)))))))))))</f>
        <v>446.8</v>
      </c>
      <c r="X128" s="175">
        <f>IF(Q128=2,'A.0_Tablas salariales SC'!$P$36,(IF(Q128=6,'A.0_Tablas salariales SC'!$P$37,IF(Q128=10,'A.0_Tablas salariales SC'!$P$38,IF(Q128=14,'A.0_Tablas salariales SC'!$P$39,IF(Q128=18,'A.0_Tablas salariales SC'!$P$40,IF(Q128=20,'A.0_Tablas salariales SC'!$P$41,IF(Q128=22,'A.0_Tablas salariales SC'!$P$42,IF(Q128=24,'A.0_Tablas salariales SC'!$P$43,IF(Q128=26,'A.0_Tablas salariales SC'!$P$44,IF(Q128=28,'A.0_Tablas salariales SC'!$P$45,0)))))))))))</f>
        <v>462.44</v>
      </c>
      <c r="Y128" s="175">
        <f>IF(R128=2,'A.0_Tablas salariales SC'!$P$63,(IF(R128=6,'A.0_Tablas salariales SC'!$P$64,IF(R128=10,'A.0_Tablas salariales SC'!$P$65,IF(R128=14,'A.0_Tablas salariales SC'!$P$66,IF(R128=18,'A.0_Tablas salariales SC'!$P$67,IF(R128=20,'A.0_Tablas salariales SC'!$P$68,IF(R128=22,'A.0_Tablas salariales SC'!$P$69,IF(R128=24,'A.0_Tablas salariales SC'!$P$70,IF(R128=26,'A.0_Tablas salariales SC'!$P$71,IF(R128=28,'A.0_Tablas salariales SC'!$P$72,0)))))))))))</f>
        <v>480.93</v>
      </c>
      <c r="Z128" s="175">
        <f>IF(S128=2,'A.0_Tablas salariales SC'!$P$90,(IF(S128=6,'A.0_Tablas salariales SC'!$P$91,IF(S128=10,'A.0_Tablas salariales SC'!$P$92,IF(S128=14,'A.0_Tablas salariales SC'!$P$93,IF(S128=18,'A.0_Tablas salariales SC'!$P$94,IF(S128=20,'A.0_Tablas salariales SC'!$P$95,IF(S128=22,'A.0_Tablas salariales SC'!$P$96,IF(S128=24,'A.0_Tablas salariales SC'!$P$97,IF(S128=26,'A.0_Tablas salariales SC'!$P$98,IF(S128=28,'A.0_Tablas salariales SC'!$P$99,0)))))))))))</f>
        <v>502.58</v>
      </c>
      <c r="AA128" s="175">
        <f>IF(T128=2,'A.0_Tablas salariales SC'!$P$117,(IF(T128=6,'A.0_Tablas salariales SC'!$P$118,IF(T128=10,'A.0_Tablas salariales SC'!$P$119,IF(T128=14,'A.0_Tablas salariales SC'!$P$120,IF(T128=18,'A.0_Tablas salariales SC'!$P$121,IF(T128=20,'A.0_Tablas salariales SC'!$P$122,IF(T128=22,'A.0_Tablas salariales SC'!$P$123,IF(T128=24,'A.0_Tablas salariales SC'!$P$124,IF(T128=26,'A.0_Tablas salariales SC'!$P$125,IF(T128=28,'A.0_Tablas salariales SC'!$P$126,0)))))))))))</f>
        <v>527.70000000000005</v>
      </c>
      <c r="AB128" s="175">
        <f>IF(U128=2,'A.0_Tablas salariales SC'!$P$145,(IF(U128=6,'A.0_Tablas salariales SC'!$P$146,IF(U128=10,'A.0_Tablas salariales SC'!$P$147,IF(U128=14,'A.0_Tablas salariales SC'!$P$148,IF(U128=18,'A.0_Tablas salariales SC'!$P$149,IF(U128=20,'A.0_Tablas salariales SC'!$P$150,IF(U128=22,'A.0_Tablas salariales SC'!$P$151,IF(U128=24,'A.0_Tablas salariales SC'!$P$152,IF(U128=26,'A.0_Tablas salariales SC'!$P$153,IF(U128=28,'A.0_Tablas salariales SC'!$P$154,0)))))))))))</f>
        <v>543.53100000000006</v>
      </c>
      <c r="AC128" s="175">
        <f>IF(V128=2,'A.0_Tablas salariales SC'!$P$173,(IF(V128=6,'A.0_Tablas salariales SC'!$P$174,IF(V128=10,'A.0_Tablas salariales SC'!$P$175,IF(V128=14,'A.0_Tablas salariales SC'!$P$176,IF(V128=18,'A.0_Tablas salariales SC'!$P$177,IF(V128=20,'A.0_Tablas salariales SC'!$P$178,IF(V128=22,'A.0_Tablas salariales SC'!$P$179,IF(V128=24,'A.0_Tablas salariales SC'!$P$180,IF(V128=26,'A.0_Tablas salariales SC'!$P$181,IF(V128=28,'A.0_Tablas salariales SC'!$P$182,0)))))))))))</f>
        <v>559.83693000000005</v>
      </c>
    </row>
    <row r="129" spans="1:29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2">
        <f t="shared" si="122"/>
        <v>1900</v>
      </c>
      <c r="G129" s="173">
        <f t="shared" si="107"/>
        <v>2026</v>
      </c>
      <c r="H129" s="173">
        <f t="shared" si="107"/>
        <v>2032</v>
      </c>
      <c r="I129" s="173">
        <f t="shared" si="123"/>
        <v>126</v>
      </c>
      <c r="J129" s="173">
        <f t="shared" si="124"/>
        <v>127</v>
      </c>
      <c r="K129" s="173">
        <f t="shared" si="125"/>
        <v>128</v>
      </c>
      <c r="L129" s="173">
        <f t="shared" si="126"/>
        <v>129</v>
      </c>
      <c r="M129" s="173">
        <f t="shared" si="127"/>
        <v>130</v>
      </c>
      <c r="N129" s="173">
        <f t="shared" si="128"/>
        <v>131</v>
      </c>
      <c r="O129" s="173">
        <f t="shared" si="129"/>
        <v>132</v>
      </c>
      <c r="P129" s="173">
        <f t="shared" si="130"/>
        <v>28</v>
      </c>
      <c r="Q129" s="173">
        <f t="shared" si="131"/>
        <v>28</v>
      </c>
      <c r="R129" s="173">
        <f t="shared" si="132"/>
        <v>28</v>
      </c>
      <c r="S129" s="173">
        <f t="shared" si="133"/>
        <v>28</v>
      </c>
      <c r="T129" s="173">
        <f t="shared" si="134"/>
        <v>28</v>
      </c>
      <c r="U129" s="173">
        <f t="shared" si="135"/>
        <v>28</v>
      </c>
      <c r="V129" s="173">
        <f t="shared" si="136"/>
        <v>28</v>
      </c>
      <c r="W129" s="175">
        <f>IF(P129=2,'A.0_Tablas salariales SC'!$P$9,(IF(P129=6,'A.0_Tablas salariales SC'!$P$10,IF(P129=10,'A.0_Tablas salariales SC'!$P$11,IF(P129=14,'A.0_Tablas salariales SC'!$P$12,IF(P129=18,'A.0_Tablas salariales SC'!$P$13,IF(P129=20,'A.0_Tablas salariales SC'!$P$14,IF(P129=22,'A.0_Tablas salariales SC'!$P$15,IF(P129=24,'A.0_Tablas salariales SC'!$P$16,IF(P129=26,'A.0_Tablas salariales SC'!$P$17,IF(P129=28,'A.0_Tablas salariales SC'!$P$18,0)))))))))))</f>
        <v>446.8</v>
      </c>
      <c r="X129" s="175">
        <f>IF(Q129=2,'A.0_Tablas salariales SC'!$P$36,(IF(Q129=6,'A.0_Tablas salariales SC'!$P$37,IF(Q129=10,'A.0_Tablas salariales SC'!$P$38,IF(Q129=14,'A.0_Tablas salariales SC'!$P$39,IF(Q129=18,'A.0_Tablas salariales SC'!$P$40,IF(Q129=20,'A.0_Tablas salariales SC'!$P$41,IF(Q129=22,'A.0_Tablas salariales SC'!$P$42,IF(Q129=24,'A.0_Tablas salariales SC'!$P$43,IF(Q129=26,'A.0_Tablas salariales SC'!$P$44,IF(Q129=28,'A.0_Tablas salariales SC'!$P$45,0)))))))))))</f>
        <v>462.44</v>
      </c>
      <c r="Y129" s="175">
        <f>IF(R129=2,'A.0_Tablas salariales SC'!$P$63,(IF(R129=6,'A.0_Tablas salariales SC'!$P$64,IF(R129=10,'A.0_Tablas salariales SC'!$P$65,IF(R129=14,'A.0_Tablas salariales SC'!$P$66,IF(R129=18,'A.0_Tablas salariales SC'!$P$67,IF(R129=20,'A.0_Tablas salariales SC'!$P$68,IF(R129=22,'A.0_Tablas salariales SC'!$P$69,IF(R129=24,'A.0_Tablas salariales SC'!$P$70,IF(R129=26,'A.0_Tablas salariales SC'!$P$71,IF(R129=28,'A.0_Tablas salariales SC'!$P$72,0)))))))))))</f>
        <v>480.93</v>
      </c>
      <c r="Z129" s="175">
        <f>IF(S129=2,'A.0_Tablas salariales SC'!$P$90,(IF(S129=6,'A.0_Tablas salariales SC'!$P$91,IF(S129=10,'A.0_Tablas salariales SC'!$P$92,IF(S129=14,'A.0_Tablas salariales SC'!$P$93,IF(S129=18,'A.0_Tablas salariales SC'!$P$94,IF(S129=20,'A.0_Tablas salariales SC'!$P$95,IF(S129=22,'A.0_Tablas salariales SC'!$P$96,IF(S129=24,'A.0_Tablas salariales SC'!$P$97,IF(S129=26,'A.0_Tablas salariales SC'!$P$98,IF(S129=28,'A.0_Tablas salariales SC'!$P$99,0)))))))))))</f>
        <v>502.58</v>
      </c>
      <c r="AA129" s="175">
        <f>IF(T129=2,'A.0_Tablas salariales SC'!$P$117,(IF(T129=6,'A.0_Tablas salariales SC'!$P$118,IF(T129=10,'A.0_Tablas salariales SC'!$P$119,IF(T129=14,'A.0_Tablas salariales SC'!$P$120,IF(T129=18,'A.0_Tablas salariales SC'!$P$121,IF(T129=20,'A.0_Tablas salariales SC'!$P$122,IF(T129=22,'A.0_Tablas salariales SC'!$P$123,IF(T129=24,'A.0_Tablas salariales SC'!$P$124,IF(T129=26,'A.0_Tablas salariales SC'!$P$125,IF(T129=28,'A.0_Tablas salariales SC'!$P$126,0)))))))))))</f>
        <v>527.70000000000005</v>
      </c>
      <c r="AB129" s="175">
        <f>IF(U129=2,'A.0_Tablas salariales SC'!$P$145,(IF(U129=6,'A.0_Tablas salariales SC'!$P$146,IF(U129=10,'A.0_Tablas salariales SC'!$P$147,IF(U129=14,'A.0_Tablas salariales SC'!$P$148,IF(U129=18,'A.0_Tablas salariales SC'!$P$149,IF(U129=20,'A.0_Tablas salariales SC'!$P$150,IF(U129=22,'A.0_Tablas salariales SC'!$P$151,IF(U129=24,'A.0_Tablas salariales SC'!$P$152,IF(U129=26,'A.0_Tablas salariales SC'!$P$153,IF(U129=28,'A.0_Tablas salariales SC'!$P$154,0)))))))))))</f>
        <v>543.53100000000006</v>
      </c>
      <c r="AC129" s="175">
        <f>IF(V129=2,'A.0_Tablas salariales SC'!$P$173,(IF(V129=6,'A.0_Tablas salariales SC'!$P$174,IF(V129=10,'A.0_Tablas salariales SC'!$P$175,IF(V129=14,'A.0_Tablas salariales SC'!$P$176,IF(V129=18,'A.0_Tablas salariales SC'!$P$177,IF(V129=20,'A.0_Tablas salariales SC'!$P$178,IF(V129=22,'A.0_Tablas salariales SC'!$P$179,IF(V129=24,'A.0_Tablas salariales SC'!$P$180,IF(V129=26,'A.0_Tablas salariales SC'!$P$181,IF(V129=28,'A.0_Tablas salariales SC'!$P$182,0)))))))))))</f>
        <v>559.83693000000005</v>
      </c>
    </row>
    <row r="130" spans="1:29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2">
        <f t="shared" si="122"/>
        <v>1900</v>
      </c>
      <c r="G130" s="173">
        <f t="shared" si="107"/>
        <v>2026</v>
      </c>
      <c r="H130" s="173">
        <f t="shared" si="107"/>
        <v>2032</v>
      </c>
      <c r="I130" s="173">
        <f t="shared" si="123"/>
        <v>126</v>
      </c>
      <c r="J130" s="173">
        <f t="shared" si="124"/>
        <v>127</v>
      </c>
      <c r="K130" s="173">
        <f t="shared" si="125"/>
        <v>128</v>
      </c>
      <c r="L130" s="173">
        <f t="shared" si="126"/>
        <v>129</v>
      </c>
      <c r="M130" s="173">
        <f t="shared" si="127"/>
        <v>130</v>
      </c>
      <c r="N130" s="173">
        <f t="shared" si="128"/>
        <v>131</v>
      </c>
      <c r="O130" s="173">
        <f t="shared" si="129"/>
        <v>132</v>
      </c>
      <c r="P130" s="173">
        <f t="shared" si="130"/>
        <v>28</v>
      </c>
      <c r="Q130" s="173">
        <f t="shared" si="131"/>
        <v>28</v>
      </c>
      <c r="R130" s="173">
        <f t="shared" si="132"/>
        <v>28</v>
      </c>
      <c r="S130" s="173">
        <f t="shared" si="133"/>
        <v>28</v>
      </c>
      <c r="T130" s="173">
        <f t="shared" si="134"/>
        <v>28</v>
      </c>
      <c r="U130" s="173">
        <f t="shared" si="135"/>
        <v>28</v>
      </c>
      <c r="V130" s="173">
        <f t="shared" si="136"/>
        <v>28</v>
      </c>
      <c r="W130" s="175">
        <f>IF(P130=2,'A.0_Tablas salariales SC'!$P$9,(IF(P130=6,'A.0_Tablas salariales SC'!$P$10,IF(P130=10,'A.0_Tablas salariales SC'!$P$11,IF(P130=14,'A.0_Tablas salariales SC'!$P$12,IF(P130=18,'A.0_Tablas salariales SC'!$P$13,IF(P130=20,'A.0_Tablas salariales SC'!$P$14,IF(P130=22,'A.0_Tablas salariales SC'!$P$15,IF(P130=24,'A.0_Tablas salariales SC'!$P$16,IF(P130=26,'A.0_Tablas salariales SC'!$P$17,IF(P130=28,'A.0_Tablas salariales SC'!$P$18,0)))))))))))</f>
        <v>446.8</v>
      </c>
      <c r="X130" s="175">
        <f>IF(Q130=2,'A.0_Tablas salariales SC'!$P$36,(IF(Q130=6,'A.0_Tablas salariales SC'!$P$37,IF(Q130=10,'A.0_Tablas salariales SC'!$P$38,IF(Q130=14,'A.0_Tablas salariales SC'!$P$39,IF(Q130=18,'A.0_Tablas salariales SC'!$P$40,IF(Q130=20,'A.0_Tablas salariales SC'!$P$41,IF(Q130=22,'A.0_Tablas salariales SC'!$P$42,IF(Q130=24,'A.0_Tablas salariales SC'!$P$43,IF(Q130=26,'A.0_Tablas salariales SC'!$P$44,IF(Q130=28,'A.0_Tablas salariales SC'!$P$45,0)))))))))))</f>
        <v>462.44</v>
      </c>
      <c r="Y130" s="175">
        <f>IF(R130=2,'A.0_Tablas salariales SC'!$P$63,(IF(R130=6,'A.0_Tablas salariales SC'!$P$64,IF(R130=10,'A.0_Tablas salariales SC'!$P$65,IF(R130=14,'A.0_Tablas salariales SC'!$P$66,IF(R130=18,'A.0_Tablas salariales SC'!$P$67,IF(R130=20,'A.0_Tablas salariales SC'!$P$68,IF(R130=22,'A.0_Tablas salariales SC'!$P$69,IF(R130=24,'A.0_Tablas salariales SC'!$P$70,IF(R130=26,'A.0_Tablas salariales SC'!$P$71,IF(R130=28,'A.0_Tablas salariales SC'!$P$72,0)))))))))))</f>
        <v>480.93</v>
      </c>
      <c r="Z130" s="175">
        <f>IF(S130=2,'A.0_Tablas salariales SC'!$P$90,(IF(S130=6,'A.0_Tablas salariales SC'!$P$91,IF(S130=10,'A.0_Tablas salariales SC'!$P$92,IF(S130=14,'A.0_Tablas salariales SC'!$P$93,IF(S130=18,'A.0_Tablas salariales SC'!$P$94,IF(S130=20,'A.0_Tablas salariales SC'!$P$95,IF(S130=22,'A.0_Tablas salariales SC'!$P$96,IF(S130=24,'A.0_Tablas salariales SC'!$P$97,IF(S130=26,'A.0_Tablas salariales SC'!$P$98,IF(S130=28,'A.0_Tablas salariales SC'!$P$99,0)))))))))))</f>
        <v>502.58</v>
      </c>
      <c r="AA130" s="175">
        <f>IF(T130=2,'A.0_Tablas salariales SC'!$P$117,(IF(T130=6,'A.0_Tablas salariales SC'!$P$118,IF(T130=10,'A.0_Tablas salariales SC'!$P$119,IF(T130=14,'A.0_Tablas salariales SC'!$P$120,IF(T130=18,'A.0_Tablas salariales SC'!$P$121,IF(T130=20,'A.0_Tablas salariales SC'!$P$122,IF(T130=22,'A.0_Tablas salariales SC'!$P$123,IF(T130=24,'A.0_Tablas salariales SC'!$P$124,IF(T130=26,'A.0_Tablas salariales SC'!$P$125,IF(T130=28,'A.0_Tablas salariales SC'!$P$126,0)))))))))))</f>
        <v>527.70000000000005</v>
      </c>
      <c r="AB130" s="175">
        <f>IF(U130=2,'A.0_Tablas salariales SC'!$P$145,(IF(U130=6,'A.0_Tablas salariales SC'!$P$146,IF(U130=10,'A.0_Tablas salariales SC'!$P$147,IF(U130=14,'A.0_Tablas salariales SC'!$P$148,IF(U130=18,'A.0_Tablas salariales SC'!$P$149,IF(U130=20,'A.0_Tablas salariales SC'!$P$150,IF(U130=22,'A.0_Tablas salariales SC'!$P$151,IF(U130=24,'A.0_Tablas salariales SC'!$P$152,IF(U130=26,'A.0_Tablas salariales SC'!$P$153,IF(U130=28,'A.0_Tablas salariales SC'!$P$154,0)))))))))))</f>
        <v>543.53100000000006</v>
      </c>
      <c r="AC130" s="175">
        <f>IF(V130=2,'A.0_Tablas salariales SC'!$P$173,(IF(V130=6,'A.0_Tablas salariales SC'!$P$174,IF(V130=10,'A.0_Tablas salariales SC'!$P$175,IF(V130=14,'A.0_Tablas salariales SC'!$P$176,IF(V130=18,'A.0_Tablas salariales SC'!$P$177,IF(V130=20,'A.0_Tablas salariales SC'!$P$178,IF(V130=22,'A.0_Tablas salariales SC'!$P$179,IF(V130=24,'A.0_Tablas salariales SC'!$P$180,IF(V130=26,'A.0_Tablas salariales SC'!$P$181,IF(V130=28,'A.0_Tablas salariales SC'!$P$182,0)))))))))))</f>
        <v>559.83693000000005</v>
      </c>
    </row>
    <row r="131" spans="1:29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2">
        <f t="shared" si="122"/>
        <v>1900</v>
      </c>
      <c r="G131" s="173">
        <f t="shared" si="107"/>
        <v>2026</v>
      </c>
      <c r="H131" s="173">
        <f t="shared" si="107"/>
        <v>2032</v>
      </c>
      <c r="I131" s="173">
        <f t="shared" si="123"/>
        <v>126</v>
      </c>
      <c r="J131" s="173">
        <f t="shared" si="124"/>
        <v>127</v>
      </c>
      <c r="K131" s="173">
        <f t="shared" si="125"/>
        <v>128</v>
      </c>
      <c r="L131" s="173">
        <f t="shared" si="126"/>
        <v>129</v>
      </c>
      <c r="M131" s="173">
        <f t="shared" si="127"/>
        <v>130</v>
      </c>
      <c r="N131" s="173">
        <f t="shared" si="128"/>
        <v>131</v>
      </c>
      <c r="O131" s="173">
        <f t="shared" si="129"/>
        <v>132</v>
      </c>
      <c r="P131" s="173">
        <f t="shared" si="130"/>
        <v>28</v>
      </c>
      <c r="Q131" s="173">
        <f t="shared" si="131"/>
        <v>28</v>
      </c>
      <c r="R131" s="173">
        <f t="shared" si="132"/>
        <v>28</v>
      </c>
      <c r="S131" s="173">
        <f t="shared" si="133"/>
        <v>28</v>
      </c>
      <c r="T131" s="173">
        <f t="shared" si="134"/>
        <v>28</v>
      </c>
      <c r="U131" s="173">
        <f t="shared" si="135"/>
        <v>28</v>
      </c>
      <c r="V131" s="173">
        <f t="shared" si="136"/>
        <v>28</v>
      </c>
      <c r="W131" s="175">
        <f>IF(P131=2,'A.0_Tablas salariales SC'!$P$9,(IF(P131=6,'A.0_Tablas salariales SC'!$P$10,IF(P131=10,'A.0_Tablas salariales SC'!$P$11,IF(P131=14,'A.0_Tablas salariales SC'!$P$12,IF(P131=18,'A.0_Tablas salariales SC'!$P$13,IF(P131=20,'A.0_Tablas salariales SC'!$P$14,IF(P131=22,'A.0_Tablas salariales SC'!$P$15,IF(P131=24,'A.0_Tablas salariales SC'!$P$16,IF(P131=26,'A.0_Tablas salariales SC'!$P$17,IF(P131=28,'A.0_Tablas salariales SC'!$P$18,0)))))))))))</f>
        <v>446.8</v>
      </c>
      <c r="X131" s="175">
        <f>IF(Q131=2,'A.0_Tablas salariales SC'!$P$36,(IF(Q131=6,'A.0_Tablas salariales SC'!$P$37,IF(Q131=10,'A.0_Tablas salariales SC'!$P$38,IF(Q131=14,'A.0_Tablas salariales SC'!$P$39,IF(Q131=18,'A.0_Tablas salariales SC'!$P$40,IF(Q131=20,'A.0_Tablas salariales SC'!$P$41,IF(Q131=22,'A.0_Tablas salariales SC'!$P$42,IF(Q131=24,'A.0_Tablas salariales SC'!$P$43,IF(Q131=26,'A.0_Tablas salariales SC'!$P$44,IF(Q131=28,'A.0_Tablas salariales SC'!$P$45,0)))))))))))</f>
        <v>462.44</v>
      </c>
      <c r="Y131" s="175">
        <f>IF(R131=2,'A.0_Tablas salariales SC'!$P$63,(IF(R131=6,'A.0_Tablas salariales SC'!$P$64,IF(R131=10,'A.0_Tablas salariales SC'!$P$65,IF(R131=14,'A.0_Tablas salariales SC'!$P$66,IF(R131=18,'A.0_Tablas salariales SC'!$P$67,IF(R131=20,'A.0_Tablas salariales SC'!$P$68,IF(R131=22,'A.0_Tablas salariales SC'!$P$69,IF(R131=24,'A.0_Tablas salariales SC'!$P$70,IF(R131=26,'A.0_Tablas salariales SC'!$P$71,IF(R131=28,'A.0_Tablas salariales SC'!$P$72,0)))))))))))</f>
        <v>480.93</v>
      </c>
      <c r="Z131" s="175">
        <f>IF(S131=2,'A.0_Tablas salariales SC'!$P$90,(IF(S131=6,'A.0_Tablas salariales SC'!$P$91,IF(S131=10,'A.0_Tablas salariales SC'!$P$92,IF(S131=14,'A.0_Tablas salariales SC'!$P$93,IF(S131=18,'A.0_Tablas salariales SC'!$P$94,IF(S131=20,'A.0_Tablas salariales SC'!$P$95,IF(S131=22,'A.0_Tablas salariales SC'!$P$96,IF(S131=24,'A.0_Tablas salariales SC'!$P$97,IF(S131=26,'A.0_Tablas salariales SC'!$P$98,IF(S131=28,'A.0_Tablas salariales SC'!$P$99,0)))))))))))</f>
        <v>502.58</v>
      </c>
      <c r="AA131" s="175">
        <f>IF(T131=2,'A.0_Tablas salariales SC'!$P$117,(IF(T131=6,'A.0_Tablas salariales SC'!$P$118,IF(T131=10,'A.0_Tablas salariales SC'!$P$119,IF(T131=14,'A.0_Tablas salariales SC'!$P$120,IF(T131=18,'A.0_Tablas salariales SC'!$P$121,IF(T131=20,'A.0_Tablas salariales SC'!$P$122,IF(T131=22,'A.0_Tablas salariales SC'!$P$123,IF(T131=24,'A.0_Tablas salariales SC'!$P$124,IF(T131=26,'A.0_Tablas salariales SC'!$P$125,IF(T131=28,'A.0_Tablas salariales SC'!$P$126,0)))))))))))</f>
        <v>527.70000000000005</v>
      </c>
      <c r="AB131" s="175">
        <f>IF(U131=2,'A.0_Tablas salariales SC'!$P$145,(IF(U131=6,'A.0_Tablas salariales SC'!$P$146,IF(U131=10,'A.0_Tablas salariales SC'!$P$147,IF(U131=14,'A.0_Tablas salariales SC'!$P$148,IF(U131=18,'A.0_Tablas salariales SC'!$P$149,IF(U131=20,'A.0_Tablas salariales SC'!$P$150,IF(U131=22,'A.0_Tablas salariales SC'!$P$151,IF(U131=24,'A.0_Tablas salariales SC'!$P$152,IF(U131=26,'A.0_Tablas salariales SC'!$P$153,IF(U131=28,'A.0_Tablas salariales SC'!$P$154,0)))))))))))</f>
        <v>543.53100000000006</v>
      </c>
      <c r="AC131" s="175">
        <f>IF(V131=2,'A.0_Tablas salariales SC'!$P$173,(IF(V131=6,'A.0_Tablas salariales SC'!$P$174,IF(V131=10,'A.0_Tablas salariales SC'!$P$175,IF(V131=14,'A.0_Tablas salariales SC'!$P$176,IF(V131=18,'A.0_Tablas salariales SC'!$P$177,IF(V131=20,'A.0_Tablas salariales SC'!$P$178,IF(V131=22,'A.0_Tablas salariales SC'!$P$179,IF(V131=24,'A.0_Tablas salariales SC'!$P$180,IF(V131=26,'A.0_Tablas salariales SC'!$P$181,IF(V131=28,'A.0_Tablas salariales SC'!$P$182,0)))))))))))</f>
        <v>559.83693000000005</v>
      </c>
    </row>
    <row r="132" spans="1:29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2">
        <f t="shared" si="122"/>
        <v>1900</v>
      </c>
      <c r="G132" s="173">
        <f t="shared" si="107"/>
        <v>2026</v>
      </c>
      <c r="H132" s="173">
        <f t="shared" si="107"/>
        <v>2032</v>
      </c>
      <c r="I132" s="173">
        <f t="shared" si="123"/>
        <v>126</v>
      </c>
      <c r="J132" s="173">
        <f t="shared" si="124"/>
        <v>127</v>
      </c>
      <c r="K132" s="173">
        <f t="shared" si="125"/>
        <v>128</v>
      </c>
      <c r="L132" s="173">
        <f t="shared" si="126"/>
        <v>129</v>
      </c>
      <c r="M132" s="173">
        <f t="shared" si="127"/>
        <v>130</v>
      </c>
      <c r="N132" s="173">
        <f t="shared" si="128"/>
        <v>131</v>
      </c>
      <c r="O132" s="173">
        <f t="shared" si="129"/>
        <v>132</v>
      </c>
      <c r="P132" s="173">
        <f t="shared" si="130"/>
        <v>28</v>
      </c>
      <c r="Q132" s="173">
        <f t="shared" si="131"/>
        <v>28</v>
      </c>
      <c r="R132" s="173">
        <f t="shared" si="132"/>
        <v>28</v>
      </c>
      <c r="S132" s="173">
        <f t="shared" si="133"/>
        <v>28</v>
      </c>
      <c r="T132" s="173">
        <f t="shared" si="134"/>
        <v>28</v>
      </c>
      <c r="U132" s="173">
        <f t="shared" si="135"/>
        <v>28</v>
      </c>
      <c r="V132" s="173">
        <f t="shared" si="136"/>
        <v>28</v>
      </c>
      <c r="W132" s="175">
        <f>IF(P132=2,'A.0_Tablas salariales SC'!$P$9,(IF(P132=6,'A.0_Tablas salariales SC'!$P$10,IF(P132=10,'A.0_Tablas salariales SC'!$P$11,IF(P132=14,'A.0_Tablas salariales SC'!$P$12,IF(P132=18,'A.0_Tablas salariales SC'!$P$13,IF(P132=20,'A.0_Tablas salariales SC'!$P$14,IF(P132=22,'A.0_Tablas salariales SC'!$P$15,IF(P132=24,'A.0_Tablas salariales SC'!$P$16,IF(P132=26,'A.0_Tablas salariales SC'!$P$17,IF(P132=28,'A.0_Tablas salariales SC'!$P$18,0)))))))))))</f>
        <v>446.8</v>
      </c>
      <c r="X132" s="175">
        <f>IF(Q132=2,'A.0_Tablas salariales SC'!$P$36,(IF(Q132=6,'A.0_Tablas salariales SC'!$P$37,IF(Q132=10,'A.0_Tablas salariales SC'!$P$38,IF(Q132=14,'A.0_Tablas salariales SC'!$P$39,IF(Q132=18,'A.0_Tablas salariales SC'!$P$40,IF(Q132=20,'A.0_Tablas salariales SC'!$P$41,IF(Q132=22,'A.0_Tablas salariales SC'!$P$42,IF(Q132=24,'A.0_Tablas salariales SC'!$P$43,IF(Q132=26,'A.0_Tablas salariales SC'!$P$44,IF(Q132=28,'A.0_Tablas salariales SC'!$P$45,0)))))))))))</f>
        <v>462.44</v>
      </c>
      <c r="Y132" s="175">
        <f>IF(R132=2,'A.0_Tablas salariales SC'!$P$63,(IF(R132=6,'A.0_Tablas salariales SC'!$P$64,IF(R132=10,'A.0_Tablas salariales SC'!$P$65,IF(R132=14,'A.0_Tablas salariales SC'!$P$66,IF(R132=18,'A.0_Tablas salariales SC'!$P$67,IF(R132=20,'A.0_Tablas salariales SC'!$P$68,IF(R132=22,'A.0_Tablas salariales SC'!$P$69,IF(R132=24,'A.0_Tablas salariales SC'!$P$70,IF(R132=26,'A.0_Tablas salariales SC'!$P$71,IF(R132=28,'A.0_Tablas salariales SC'!$P$72,0)))))))))))</f>
        <v>480.93</v>
      </c>
      <c r="Z132" s="175">
        <f>IF(S132=2,'A.0_Tablas salariales SC'!$P$90,(IF(S132=6,'A.0_Tablas salariales SC'!$P$91,IF(S132=10,'A.0_Tablas salariales SC'!$P$92,IF(S132=14,'A.0_Tablas salariales SC'!$P$93,IF(S132=18,'A.0_Tablas salariales SC'!$P$94,IF(S132=20,'A.0_Tablas salariales SC'!$P$95,IF(S132=22,'A.0_Tablas salariales SC'!$P$96,IF(S132=24,'A.0_Tablas salariales SC'!$P$97,IF(S132=26,'A.0_Tablas salariales SC'!$P$98,IF(S132=28,'A.0_Tablas salariales SC'!$P$99,0)))))))))))</f>
        <v>502.58</v>
      </c>
      <c r="AA132" s="175">
        <f>IF(T132=2,'A.0_Tablas salariales SC'!$P$117,(IF(T132=6,'A.0_Tablas salariales SC'!$P$118,IF(T132=10,'A.0_Tablas salariales SC'!$P$119,IF(T132=14,'A.0_Tablas salariales SC'!$P$120,IF(T132=18,'A.0_Tablas salariales SC'!$P$121,IF(T132=20,'A.0_Tablas salariales SC'!$P$122,IF(T132=22,'A.0_Tablas salariales SC'!$P$123,IF(T132=24,'A.0_Tablas salariales SC'!$P$124,IF(T132=26,'A.0_Tablas salariales SC'!$P$125,IF(T132=28,'A.0_Tablas salariales SC'!$P$126,0)))))))))))</f>
        <v>527.70000000000005</v>
      </c>
      <c r="AB132" s="175">
        <f>IF(U132=2,'A.0_Tablas salariales SC'!$P$145,(IF(U132=6,'A.0_Tablas salariales SC'!$P$146,IF(U132=10,'A.0_Tablas salariales SC'!$P$147,IF(U132=14,'A.0_Tablas salariales SC'!$P$148,IF(U132=18,'A.0_Tablas salariales SC'!$P$149,IF(U132=20,'A.0_Tablas salariales SC'!$P$150,IF(U132=22,'A.0_Tablas salariales SC'!$P$151,IF(U132=24,'A.0_Tablas salariales SC'!$P$152,IF(U132=26,'A.0_Tablas salariales SC'!$P$153,IF(U132=28,'A.0_Tablas salariales SC'!$P$154,0)))))))))))</f>
        <v>543.53100000000006</v>
      </c>
      <c r="AC132" s="175">
        <f>IF(V132=2,'A.0_Tablas salariales SC'!$P$173,(IF(V132=6,'A.0_Tablas salariales SC'!$P$174,IF(V132=10,'A.0_Tablas salariales SC'!$P$175,IF(V132=14,'A.0_Tablas salariales SC'!$P$176,IF(V132=18,'A.0_Tablas salariales SC'!$P$177,IF(V132=20,'A.0_Tablas salariales SC'!$P$178,IF(V132=22,'A.0_Tablas salariales SC'!$P$179,IF(V132=24,'A.0_Tablas salariales SC'!$P$180,IF(V132=26,'A.0_Tablas salariales SC'!$P$181,IF(V132=28,'A.0_Tablas salariales SC'!$P$182,0)))))))))))</f>
        <v>559.83693000000005</v>
      </c>
    </row>
    <row r="133" spans="1:29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2">
        <f t="shared" si="122"/>
        <v>1900</v>
      </c>
      <c r="G133" s="173">
        <f t="shared" si="107"/>
        <v>2026</v>
      </c>
      <c r="H133" s="173">
        <f t="shared" si="107"/>
        <v>2032</v>
      </c>
      <c r="I133" s="173">
        <f t="shared" si="123"/>
        <v>126</v>
      </c>
      <c r="J133" s="173">
        <f t="shared" si="124"/>
        <v>127</v>
      </c>
      <c r="K133" s="173">
        <f t="shared" si="125"/>
        <v>128</v>
      </c>
      <c r="L133" s="173">
        <f t="shared" si="126"/>
        <v>129</v>
      </c>
      <c r="M133" s="173">
        <f t="shared" si="127"/>
        <v>130</v>
      </c>
      <c r="N133" s="173">
        <f t="shared" si="128"/>
        <v>131</v>
      </c>
      <c r="O133" s="173">
        <f t="shared" si="129"/>
        <v>132</v>
      </c>
      <c r="P133" s="173">
        <f t="shared" si="130"/>
        <v>28</v>
      </c>
      <c r="Q133" s="173">
        <f t="shared" si="131"/>
        <v>28</v>
      </c>
      <c r="R133" s="173">
        <f t="shared" si="132"/>
        <v>28</v>
      </c>
      <c r="S133" s="173">
        <f t="shared" si="133"/>
        <v>28</v>
      </c>
      <c r="T133" s="173">
        <f t="shared" si="134"/>
        <v>28</v>
      </c>
      <c r="U133" s="173">
        <f t="shared" si="135"/>
        <v>28</v>
      </c>
      <c r="V133" s="173">
        <f t="shared" si="136"/>
        <v>28</v>
      </c>
      <c r="W133" s="175">
        <f>IF(P133=2,'A.0_Tablas salariales SC'!$P$9,(IF(P133=6,'A.0_Tablas salariales SC'!$P$10,IF(P133=10,'A.0_Tablas salariales SC'!$P$11,IF(P133=14,'A.0_Tablas salariales SC'!$P$12,IF(P133=18,'A.0_Tablas salariales SC'!$P$13,IF(P133=20,'A.0_Tablas salariales SC'!$P$14,IF(P133=22,'A.0_Tablas salariales SC'!$P$15,IF(P133=24,'A.0_Tablas salariales SC'!$P$16,IF(P133=26,'A.0_Tablas salariales SC'!$P$17,IF(P133=28,'A.0_Tablas salariales SC'!$P$18,0)))))))))))</f>
        <v>446.8</v>
      </c>
      <c r="X133" s="175">
        <f>IF(Q133=2,'A.0_Tablas salariales SC'!$P$36,(IF(Q133=6,'A.0_Tablas salariales SC'!$P$37,IF(Q133=10,'A.0_Tablas salariales SC'!$P$38,IF(Q133=14,'A.0_Tablas salariales SC'!$P$39,IF(Q133=18,'A.0_Tablas salariales SC'!$P$40,IF(Q133=20,'A.0_Tablas salariales SC'!$P$41,IF(Q133=22,'A.0_Tablas salariales SC'!$P$42,IF(Q133=24,'A.0_Tablas salariales SC'!$P$43,IF(Q133=26,'A.0_Tablas salariales SC'!$P$44,IF(Q133=28,'A.0_Tablas salariales SC'!$P$45,0)))))))))))</f>
        <v>462.44</v>
      </c>
      <c r="Y133" s="175">
        <f>IF(R133=2,'A.0_Tablas salariales SC'!$P$63,(IF(R133=6,'A.0_Tablas salariales SC'!$P$64,IF(R133=10,'A.0_Tablas salariales SC'!$P$65,IF(R133=14,'A.0_Tablas salariales SC'!$P$66,IF(R133=18,'A.0_Tablas salariales SC'!$P$67,IF(R133=20,'A.0_Tablas salariales SC'!$P$68,IF(R133=22,'A.0_Tablas salariales SC'!$P$69,IF(R133=24,'A.0_Tablas salariales SC'!$P$70,IF(R133=26,'A.0_Tablas salariales SC'!$P$71,IF(R133=28,'A.0_Tablas salariales SC'!$P$72,0)))))))))))</f>
        <v>480.93</v>
      </c>
      <c r="Z133" s="175">
        <f>IF(S133=2,'A.0_Tablas salariales SC'!$P$90,(IF(S133=6,'A.0_Tablas salariales SC'!$P$91,IF(S133=10,'A.0_Tablas salariales SC'!$P$92,IF(S133=14,'A.0_Tablas salariales SC'!$P$93,IF(S133=18,'A.0_Tablas salariales SC'!$P$94,IF(S133=20,'A.0_Tablas salariales SC'!$P$95,IF(S133=22,'A.0_Tablas salariales SC'!$P$96,IF(S133=24,'A.0_Tablas salariales SC'!$P$97,IF(S133=26,'A.0_Tablas salariales SC'!$P$98,IF(S133=28,'A.0_Tablas salariales SC'!$P$99,0)))))))))))</f>
        <v>502.58</v>
      </c>
      <c r="AA133" s="175">
        <f>IF(T133=2,'A.0_Tablas salariales SC'!$P$117,(IF(T133=6,'A.0_Tablas salariales SC'!$P$118,IF(T133=10,'A.0_Tablas salariales SC'!$P$119,IF(T133=14,'A.0_Tablas salariales SC'!$P$120,IF(T133=18,'A.0_Tablas salariales SC'!$P$121,IF(T133=20,'A.0_Tablas salariales SC'!$P$122,IF(T133=22,'A.0_Tablas salariales SC'!$P$123,IF(T133=24,'A.0_Tablas salariales SC'!$P$124,IF(T133=26,'A.0_Tablas salariales SC'!$P$125,IF(T133=28,'A.0_Tablas salariales SC'!$P$126,0)))))))))))</f>
        <v>527.70000000000005</v>
      </c>
      <c r="AB133" s="175">
        <f>IF(U133=2,'A.0_Tablas salariales SC'!$P$145,(IF(U133=6,'A.0_Tablas salariales SC'!$P$146,IF(U133=10,'A.0_Tablas salariales SC'!$P$147,IF(U133=14,'A.0_Tablas salariales SC'!$P$148,IF(U133=18,'A.0_Tablas salariales SC'!$P$149,IF(U133=20,'A.0_Tablas salariales SC'!$P$150,IF(U133=22,'A.0_Tablas salariales SC'!$P$151,IF(U133=24,'A.0_Tablas salariales SC'!$P$152,IF(U133=26,'A.0_Tablas salariales SC'!$P$153,IF(U133=28,'A.0_Tablas salariales SC'!$P$154,0)))))))))))</f>
        <v>543.53100000000006</v>
      </c>
      <c r="AC133" s="175">
        <f>IF(V133=2,'A.0_Tablas salariales SC'!$P$173,(IF(V133=6,'A.0_Tablas salariales SC'!$P$174,IF(V133=10,'A.0_Tablas salariales SC'!$P$175,IF(V133=14,'A.0_Tablas salariales SC'!$P$176,IF(V133=18,'A.0_Tablas salariales SC'!$P$177,IF(V133=20,'A.0_Tablas salariales SC'!$P$178,IF(V133=22,'A.0_Tablas salariales SC'!$P$179,IF(V133=24,'A.0_Tablas salariales SC'!$P$180,IF(V133=26,'A.0_Tablas salariales SC'!$P$181,IF(V133=28,'A.0_Tablas salariales SC'!$P$182,0)))))))))))</f>
        <v>559.83693000000005</v>
      </c>
    </row>
    <row r="134" spans="1:29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2">
        <f t="shared" si="122"/>
        <v>1900</v>
      </c>
      <c r="G134" s="173">
        <f t="shared" si="107"/>
        <v>2026</v>
      </c>
      <c r="H134" s="173">
        <f t="shared" si="107"/>
        <v>2032</v>
      </c>
      <c r="I134" s="173">
        <f t="shared" si="123"/>
        <v>126</v>
      </c>
      <c r="J134" s="173">
        <f t="shared" si="124"/>
        <v>127</v>
      </c>
      <c r="K134" s="173">
        <f t="shared" si="125"/>
        <v>128</v>
      </c>
      <c r="L134" s="173">
        <f t="shared" si="126"/>
        <v>129</v>
      </c>
      <c r="M134" s="173">
        <f t="shared" si="127"/>
        <v>130</v>
      </c>
      <c r="N134" s="173">
        <f t="shared" si="128"/>
        <v>131</v>
      </c>
      <c r="O134" s="173">
        <f t="shared" si="129"/>
        <v>132</v>
      </c>
      <c r="P134" s="173">
        <f t="shared" si="130"/>
        <v>28</v>
      </c>
      <c r="Q134" s="173">
        <f t="shared" si="131"/>
        <v>28</v>
      </c>
      <c r="R134" s="173">
        <f t="shared" si="132"/>
        <v>28</v>
      </c>
      <c r="S134" s="173">
        <f t="shared" si="133"/>
        <v>28</v>
      </c>
      <c r="T134" s="173">
        <f t="shared" si="134"/>
        <v>28</v>
      </c>
      <c r="U134" s="173">
        <f t="shared" si="135"/>
        <v>28</v>
      </c>
      <c r="V134" s="173">
        <f t="shared" si="136"/>
        <v>28</v>
      </c>
      <c r="W134" s="175">
        <f>IF(P134=2,'A.0_Tablas salariales SC'!$P$9,(IF(P134=6,'A.0_Tablas salariales SC'!$P$10,IF(P134=10,'A.0_Tablas salariales SC'!$P$11,IF(P134=14,'A.0_Tablas salariales SC'!$P$12,IF(P134=18,'A.0_Tablas salariales SC'!$P$13,IF(P134=20,'A.0_Tablas salariales SC'!$P$14,IF(P134=22,'A.0_Tablas salariales SC'!$P$15,IF(P134=24,'A.0_Tablas salariales SC'!$P$16,IF(P134=26,'A.0_Tablas salariales SC'!$P$17,IF(P134=28,'A.0_Tablas salariales SC'!$P$18,0)))))))))))</f>
        <v>446.8</v>
      </c>
      <c r="X134" s="175">
        <f>IF(Q134=2,'A.0_Tablas salariales SC'!$P$36,(IF(Q134=6,'A.0_Tablas salariales SC'!$P$37,IF(Q134=10,'A.0_Tablas salariales SC'!$P$38,IF(Q134=14,'A.0_Tablas salariales SC'!$P$39,IF(Q134=18,'A.0_Tablas salariales SC'!$P$40,IF(Q134=20,'A.0_Tablas salariales SC'!$P$41,IF(Q134=22,'A.0_Tablas salariales SC'!$P$42,IF(Q134=24,'A.0_Tablas salariales SC'!$P$43,IF(Q134=26,'A.0_Tablas salariales SC'!$P$44,IF(Q134=28,'A.0_Tablas salariales SC'!$P$45,0)))))))))))</f>
        <v>462.44</v>
      </c>
      <c r="Y134" s="175">
        <f>IF(R134=2,'A.0_Tablas salariales SC'!$P$63,(IF(R134=6,'A.0_Tablas salariales SC'!$P$64,IF(R134=10,'A.0_Tablas salariales SC'!$P$65,IF(R134=14,'A.0_Tablas salariales SC'!$P$66,IF(R134=18,'A.0_Tablas salariales SC'!$P$67,IF(R134=20,'A.0_Tablas salariales SC'!$P$68,IF(R134=22,'A.0_Tablas salariales SC'!$P$69,IF(R134=24,'A.0_Tablas salariales SC'!$P$70,IF(R134=26,'A.0_Tablas salariales SC'!$P$71,IF(R134=28,'A.0_Tablas salariales SC'!$P$72,0)))))))))))</f>
        <v>480.93</v>
      </c>
      <c r="Z134" s="175">
        <f>IF(S134=2,'A.0_Tablas salariales SC'!$P$90,(IF(S134=6,'A.0_Tablas salariales SC'!$P$91,IF(S134=10,'A.0_Tablas salariales SC'!$P$92,IF(S134=14,'A.0_Tablas salariales SC'!$P$93,IF(S134=18,'A.0_Tablas salariales SC'!$P$94,IF(S134=20,'A.0_Tablas salariales SC'!$P$95,IF(S134=22,'A.0_Tablas salariales SC'!$P$96,IF(S134=24,'A.0_Tablas salariales SC'!$P$97,IF(S134=26,'A.0_Tablas salariales SC'!$P$98,IF(S134=28,'A.0_Tablas salariales SC'!$P$99,0)))))))))))</f>
        <v>502.58</v>
      </c>
      <c r="AA134" s="175">
        <f>IF(T134=2,'A.0_Tablas salariales SC'!$P$117,(IF(T134=6,'A.0_Tablas salariales SC'!$P$118,IF(T134=10,'A.0_Tablas salariales SC'!$P$119,IF(T134=14,'A.0_Tablas salariales SC'!$P$120,IF(T134=18,'A.0_Tablas salariales SC'!$P$121,IF(T134=20,'A.0_Tablas salariales SC'!$P$122,IF(T134=22,'A.0_Tablas salariales SC'!$P$123,IF(T134=24,'A.0_Tablas salariales SC'!$P$124,IF(T134=26,'A.0_Tablas salariales SC'!$P$125,IF(T134=28,'A.0_Tablas salariales SC'!$P$126,0)))))))))))</f>
        <v>527.70000000000005</v>
      </c>
      <c r="AB134" s="175">
        <f>IF(U134=2,'A.0_Tablas salariales SC'!$P$145,(IF(U134=6,'A.0_Tablas salariales SC'!$P$146,IF(U134=10,'A.0_Tablas salariales SC'!$P$147,IF(U134=14,'A.0_Tablas salariales SC'!$P$148,IF(U134=18,'A.0_Tablas salariales SC'!$P$149,IF(U134=20,'A.0_Tablas salariales SC'!$P$150,IF(U134=22,'A.0_Tablas salariales SC'!$P$151,IF(U134=24,'A.0_Tablas salariales SC'!$P$152,IF(U134=26,'A.0_Tablas salariales SC'!$P$153,IF(U134=28,'A.0_Tablas salariales SC'!$P$154,0)))))))))))</f>
        <v>543.53100000000006</v>
      </c>
      <c r="AC134" s="175">
        <f>IF(V134=2,'A.0_Tablas salariales SC'!$P$173,(IF(V134=6,'A.0_Tablas salariales SC'!$P$174,IF(V134=10,'A.0_Tablas salariales SC'!$P$175,IF(V134=14,'A.0_Tablas salariales SC'!$P$176,IF(V134=18,'A.0_Tablas salariales SC'!$P$177,IF(V134=20,'A.0_Tablas salariales SC'!$P$178,IF(V134=22,'A.0_Tablas salariales SC'!$P$179,IF(V134=24,'A.0_Tablas salariales SC'!$P$180,IF(V134=26,'A.0_Tablas salariales SC'!$P$181,IF(V134=28,'A.0_Tablas salariales SC'!$P$182,0)))))))))))</f>
        <v>559.83693000000005</v>
      </c>
    </row>
    <row r="135" spans="1:29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2">
        <f t="shared" si="122"/>
        <v>1900</v>
      </c>
      <c r="G135" s="173">
        <f t="shared" si="107"/>
        <v>2026</v>
      </c>
      <c r="H135" s="173">
        <f t="shared" si="107"/>
        <v>2032</v>
      </c>
      <c r="I135" s="173">
        <f t="shared" si="123"/>
        <v>126</v>
      </c>
      <c r="J135" s="173">
        <f t="shared" si="124"/>
        <v>127</v>
      </c>
      <c r="K135" s="173">
        <f t="shared" si="125"/>
        <v>128</v>
      </c>
      <c r="L135" s="173">
        <f t="shared" si="126"/>
        <v>129</v>
      </c>
      <c r="M135" s="173">
        <f t="shared" si="127"/>
        <v>130</v>
      </c>
      <c r="N135" s="173">
        <f t="shared" si="128"/>
        <v>131</v>
      </c>
      <c r="O135" s="173">
        <f t="shared" si="129"/>
        <v>132</v>
      </c>
      <c r="P135" s="173">
        <f t="shared" si="130"/>
        <v>28</v>
      </c>
      <c r="Q135" s="173">
        <f t="shared" si="131"/>
        <v>28</v>
      </c>
      <c r="R135" s="173">
        <f t="shared" si="132"/>
        <v>28</v>
      </c>
      <c r="S135" s="173">
        <f t="shared" si="133"/>
        <v>28</v>
      </c>
      <c r="T135" s="173">
        <f t="shared" si="134"/>
        <v>28</v>
      </c>
      <c r="U135" s="173">
        <f t="shared" si="135"/>
        <v>28</v>
      </c>
      <c r="V135" s="173">
        <f t="shared" si="136"/>
        <v>28</v>
      </c>
      <c r="W135" s="175">
        <f>IF(P135=2,'A.0_Tablas salariales SC'!$P$9,(IF(P135=6,'A.0_Tablas salariales SC'!$P$10,IF(P135=10,'A.0_Tablas salariales SC'!$P$11,IF(P135=14,'A.0_Tablas salariales SC'!$P$12,IF(P135=18,'A.0_Tablas salariales SC'!$P$13,IF(P135=20,'A.0_Tablas salariales SC'!$P$14,IF(P135=22,'A.0_Tablas salariales SC'!$P$15,IF(P135=24,'A.0_Tablas salariales SC'!$P$16,IF(P135=26,'A.0_Tablas salariales SC'!$P$17,IF(P135=28,'A.0_Tablas salariales SC'!$P$18,0)))))))))))</f>
        <v>446.8</v>
      </c>
      <c r="X135" s="175">
        <f>IF(Q135=2,'A.0_Tablas salariales SC'!$P$36,(IF(Q135=6,'A.0_Tablas salariales SC'!$P$37,IF(Q135=10,'A.0_Tablas salariales SC'!$P$38,IF(Q135=14,'A.0_Tablas salariales SC'!$P$39,IF(Q135=18,'A.0_Tablas salariales SC'!$P$40,IF(Q135=20,'A.0_Tablas salariales SC'!$P$41,IF(Q135=22,'A.0_Tablas salariales SC'!$P$42,IF(Q135=24,'A.0_Tablas salariales SC'!$P$43,IF(Q135=26,'A.0_Tablas salariales SC'!$P$44,IF(Q135=28,'A.0_Tablas salariales SC'!$P$45,0)))))))))))</f>
        <v>462.44</v>
      </c>
      <c r="Y135" s="175">
        <f>IF(R135=2,'A.0_Tablas salariales SC'!$P$63,(IF(R135=6,'A.0_Tablas salariales SC'!$P$64,IF(R135=10,'A.0_Tablas salariales SC'!$P$65,IF(R135=14,'A.0_Tablas salariales SC'!$P$66,IF(R135=18,'A.0_Tablas salariales SC'!$P$67,IF(R135=20,'A.0_Tablas salariales SC'!$P$68,IF(R135=22,'A.0_Tablas salariales SC'!$P$69,IF(R135=24,'A.0_Tablas salariales SC'!$P$70,IF(R135=26,'A.0_Tablas salariales SC'!$P$71,IF(R135=28,'A.0_Tablas salariales SC'!$P$72,0)))))))))))</f>
        <v>480.93</v>
      </c>
      <c r="Z135" s="175">
        <f>IF(S135=2,'A.0_Tablas salariales SC'!$P$90,(IF(S135=6,'A.0_Tablas salariales SC'!$P$91,IF(S135=10,'A.0_Tablas salariales SC'!$P$92,IF(S135=14,'A.0_Tablas salariales SC'!$P$93,IF(S135=18,'A.0_Tablas salariales SC'!$P$94,IF(S135=20,'A.0_Tablas salariales SC'!$P$95,IF(S135=22,'A.0_Tablas salariales SC'!$P$96,IF(S135=24,'A.0_Tablas salariales SC'!$P$97,IF(S135=26,'A.0_Tablas salariales SC'!$P$98,IF(S135=28,'A.0_Tablas salariales SC'!$P$99,0)))))))))))</f>
        <v>502.58</v>
      </c>
      <c r="AA135" s="175">
        <f>IF(T135=2,'A.0_Tablas salariales SC'!$P$117,(IF(T135=6,'A.0_Tablas salariales SC'!$P$118,IF(T135=10,'A.0_Tablas salariales SC'!$P$119,IF(T135=14,'A.0_Tablas salariales SC'!$P$120,IF(T135=18,'A.0_Tablas salariales SC'!$P$121,IF(T135=20,'A.0_Tablas salariales SC'!$P$122,IF(T135=22,'A.0_Tablas salariales SC'!$P$123,IF(T135=24,'A.0_Tablas salariales SC'!$P$124,IF(T135=26,'A.0_Tablas salariales SC'!$P$125,IF(T135=28,'A.0_Tablas salariales SC'!$P$126,0)))))))))))</f>
        <v>527.70000000000005</v>
      </c>
      <c r="AB135" s="175">
        <f>IF(U135=2,'A.0_Tablas salariales SC'!$P$145,(IF(U135=6,'A.0_Tablas salariales SC'!$P$146,IF(U135=10,'A.0_Tablas salariales SC'!$P$147,IF(U135=14,'A.0_Tablas salariales SC'!$P$148,IF(U135=18,'A.0_Tablas salariales SC'!$P$149,IF(U135=20,'A.0_Tablas salariales SC'!$P$150,IF(U135=22,'A.0_Tablas salariales SC'!$P$151,IF(U135=24,'A.0_Tablas salariales SC'!$P$152,IF(U135=26,'A.0_Tablas salariales SC'!$P$153,IF(U135=28,'A.0_Tablas salariales SC'!$P$154,0)))))))))))</f>
        <v>543.53100000000006</v>
      </c>
      <c r="AC135" s="175">
        <f>IF(V135=2,'A.0_Tablas salariales SC'!$P$173,(IF(V135=6,'A.0_Tablas salariales SC'!$P$174,IF(V135=10,'A.0_Tablas salariales SC'!$P$175,IF(V135=14,'A.0_Tablas salariales SC'!$P$176,IF(V135=18,'A.0_Tablas salariales SC'!$P$177,IF(V135=20,'A.0_Tablas salariales SC'!$P$178,IF(V135=22,'A.0_Tablas salariales SC'!$P$179,IF(V135=24,'A.0_Tablas salariales SC'!$P$180,IF(V135=26,'A.0_Tablas salariales SC'!$P$181,IF(V135=28,'A.0_Tablas salariales SC'!$P$182,0)))))))))))</f>
        <v>559.83693000000005</v>
      </c>
    </row>
    <row r="136" spans="1:29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2">
        <f t="shared" si="122"/>
        <v>1900</v>
      </c>
      <c r="G136" s="173">
        <f t="shared" si="107"/>
        <v>2026</v>
      </c>
      <c r="H136" s="173">
        <f t="shared" si="107"/>
        <v>2032</v>
      </c>
      <c r="I136" s="173">
        <f t="shared" si="123"/>
        <v>126</v>
      </c>
      <c r="J136" s="173">
        <f t="shared" si="124"/>
        <v>127</v>
      </c>
      <c r="K136" s="173">
        <f t="shared" si="125"/>
        <v>128</v>
      </c>
      <c r="L136" s="173">
        <f t="shared" si="126"/>
        <v>129</v>
      </c>
      <c r="M136" s="173">
        <f t="shared" si="127"/>
        <v>130</v>
      </c>
      <c r="N136" s="173">
        <f t="shared" si="128"/>
        <v>131</v>
      </c>
      <c r="O136" s="173">
        <f t="shared" si="129"/>
        <v>132</v>
      </c>
      <c r="P136" s="173">
        <f t="shared" si="130"/>
        <v>28</v>
      </c>
      <c r="Q136" s="173">
        <f t="shared" si="131"/>
        <v>28</v>
      </c>
      <c r="R136" s="173">
        <f t="shared" si="132"/>
        <v>28</v>
      </c>
      <c r="S136" s="173">
        <f t="shared" si="133"/>
        <v>28</v>
      </c>
      <c r="T136" s="173">
        <f t="shared" si="134"/>
        <v>28</v>
      </c>
      <c r="U136" s="173">
        <f t="shared" si="135"/>
        <v>28</v>
      </c>
      <c r="V136" s="173">
        <f t="shared" si="136"/>
        <v>28</v>
      </c>
      <c r="W136" s="175">
        <f>IF(P136=2,'A.0_Tablas salariales SC'!$P$9,(IF(P136=6,'A.0_Tablas salariales SC'!$P$10,IF(P136=10,'A.0_Tablas salariales SC'!$P$11,IF(P136=14,'A.0_Tablas salariales SC'!$P$12,IF(P136=18,'A.0_Tablas salariales SC'!$P$13,IF(P136=20,'A.0_Tablas salariales SC'!$P$14,IF(P136=22,'A.0_Tablas salariales SC'!$P$15,IF(P136=24,'A.0_Tablas salariales SC'!$P$16,IF(P136=26,'A.0_Tablas salariales SC'!$P$17,IF(P136=28,'A.0_Tablas salariales SC'!$P$18,0)))))))))))</f>
        <v>446.8</v>
      </c>
      <c r="X136" s="175">
        <f>IF(Q136=2,'A.0_Tablas salariales SC'!$P$36,(IF(Q136=6,'A.0_Tablas salariales SC'!$P$37,IF(Q136=10,'A.0_Tablas salariales SC'!$P$38,IF(Q136=14,'A.0_Tablas salariales SC'!$P$39,IF(Q136=18,'A.0_Tablas salariales SC'!$P$40,IF(Q136=20,'A.0_Tablas salariales SC'!$P$41,IF(Q136=22,'A.0_Tablas salariales SC'!$P$42,IF(Q136=24,'A.0_Tablas salariales SC'!$P$43,IF(Q136=26,'A.0_Tablas salariales SC'!$P$44,IF(Q136=28,'A.0_Tablas salariales SC'!$P$45,0)))))))))))</f>
        <v>462.44</v>
      </c>
      <c r="Y136" s="175">
        <f>IF(R136=2,'A.0_Tablas salariales SC'!$P$63,(IF(R136=6,'A.0_Tablas salariales SC'!$P$64,IF(R136=10,'A.0_Tablas salariales SC'!$P$65,IF(R136=14,'A.0_Tablas salariales SC'!$P$66,IF(R136=18,'A.0_Tablas salariales SC'!$P$67,IF(R136=20,'A.0_Tablas salariales SC'!$P$68,IF(R136=22,'A.0_Tablas salariales SC'!$P$69,IF(R136=24,'A.0_Tablas salariales SC'!$P$70,IF(R136=26,'A.0_Tablas salariales SC'!$P$71,IF(R136=28,'A.0_Tablas salariales SC'!$P$72,0)))))))))))</f>
        <v>480.93</v>
      </c>
      <c r="Z136" s="175">
        <f>IF(S136=2,'A.0_Tablas salariales SC'!$P$90,(IF(S136=6,'A.0_Tablas salariales SC'!$P$91,IF(S136=10,'A.0_Tablas salariales SC'!$P$92,IF(S136=14,'A.0_Tablas salariales SC'!$P$93,IF(S136=18,'A.0_Tablas salariales SC'!$P$94,IF(S136=20,'A.0_Tablas salariales SC'!$P$95,IF(S136=22,'A.0_Tablas salariales SC'!$P$96,IF(S136=24,'A.0_Tablas salariales SC'!$P$97,IF(S136=26,'A.0_Tablas salariales SC'!$P$98,IF(S136=28,'A.0_Tablas salariales SC'!$P$99,0)))))))))))</f>
        <v>502.58</v>
      </c>
      <c r="AA136" s="175">
        <f>IF(T136=2,'A.0_Tablas salariales SC'!$P$117,(IF(T136=6,'A.0_Tablas salariales SC'!$P$118,IF(T136=10,'A.0_Tablas salariales SC'!$P$119,IF(T136=14,'A.0_Tablas salariales SC'!$P$120,IF(T136=18,'A.0_Tablas salariales SC'!$P$121,IF(T136=20,'A.0_Tablas salariales SC'!$P$122,IF(T136=22,'A.0_Tablas salariales SC'!$P$123,IF(T136=24,'A.0_Tablas salariales SC'!$P$124,IF(T136=26,'A.0_Tablas salariales SC'!$P$125,IF(T136=28,'A.0_Tablas salariales SC'!$P$126,0)))))))))))</f>
        <v>527.70000000000005</v>
      </c>
      <c r="AB136" s="175">
        <f>IF(U136=2,'A.0_Tablas salariales SC'!$P$145,(IF(U136=6,'A.0_Tablas salariales SC'!$P$146,IF(U136=10,'A.0_Tablas salariales SC'!$P$147,IF(U136=14,'A.0_Tablas salariales SC'!$P$148,IF(U136=18,'A.0_Tablas salariales SC'!$P$149,IF(U136=20,'A.0_Tablas salariales SC'!$P$150,IF(U136=22,'A.0_Tablas salariales SC'!$P$151,IF(U136=24,'A.0_Tablas salariales SC'!$P$152,IF(U136=26,'A.0_Tablas salariales SC'!$P$153,IF(U136=28,'A.0_Tablas salariales SC'!$P$154,0)))))))))))</f>
        <v>543.53100000000006</v>
      </c>
      <c r="AC136" s="175">
        <f>IF(V136=2,'A.0_Tablas salariales SC'!$P$173,(IF(V136=6,'A.0_Tablas salariales SC'!$P$174,IF(V136=10,'A.0_Tablas salariales SC'!$P$175,IF(V136=14,'A.0_Tablas salariales SC'!$P$176,IF(V136=18,'A.0_Tablas salariales SC'!$P$177,IF(V136=20,'A.0_Tablas salariales SC'!$P$178,IF(V136=22,'A.0_Tablas salariales SC'!$P$179,IF(V136=24,'A.0_Tablas salariales SC'!$P$180,IF(V136=26,'A.0_Tablas salariales SC'!$P$181,IF(V136=28,'A.0_Tablas salariales SC'!$P$182,0)))))))))))</f>
        <v>559.83693000000005</v>
      </c>
    </row>
    <row r="137" spans="1:29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2">
        <f t="shared" si="122"/>
        <v>1900</v>
      </c>
      <c r="G137" s="173">
        <f t="shared" si="107"/>
        <v>2026</v>
      </c>
      <c r="H137" s="173">
        <f t="shared" si="107"/>
        <v>2032</v>
      </c>
      <c r="I137" s="173">
        <f t="shared" si="123"/>
        <v>126</v>
      </c>
      <c r="J137" s="173">
        <f t="shared" si="124"/>
        <v>127</v>
      </c>
      <c r="K137" s="173">
        <f t="shared" si="125"/>
        <v>128</v>
      </c>
      <c r="L137" s="173">
        <f t="shared" si="126"/>
        <v>129</v>
      </c>
      <c r="M137" s="173">
        <f t="shared" si="127"/>
        <v>130</v>
      </c>
      <c r="N137" s="173">
        <f t="shared" si="128"/>
        <v>131</v>
      </c>
      <c r="O137" s="173">
        <f t="shared" si="129"/>
        <v>132</v>
      </c>
      <c r="P137" s="173">
        <f t="shared" si="130"/>
        <v>28</v>
      </c>
      <c r="Q137" s="173">
        <f t="shared" si="131"/>
        <v>28</v>
      </c>
      <c r="R137" s="173">
        <f t="shared" si="132"/>
        <v>28</v>
      </c>
      <c r="S137" s="173">
        <f t="shared" si="133"/>
        <v>28</v>
      </c>
      <c r="T137" s="173">
        <f t="shared" si="134"/>
        <v>28</v>
      </c>
      <c r="U137" s="173">
        <f t="shared" si="135"/>
        <v>28</v>
      </c>
      <c r="V137" s="173">
        <f t="shared" si="136"/>
        <v>28</v>
      </c>
      <c r="W137" s="175">
        <f>IF(P137=2,'A.0_Tablas salariales SC'!$P$9,(IF(P137=6,'A.0_Tablas salariales SC'!$P$10,IF(P137=10,'A.0_Tablas salariales SC'!$P$11,IF(P137=14,'A.0_Tablas salariales SC'!$P$12,IF(P137=18,'A.0_Tablas salariales SC'!$P$13,IF(P137=20,'A.0_Tablas salariales SC'!$P$14,IF(P137=22,'A.0_Tablas salariales SC'!$P$15,IF(P137=24,'A.0_Tablas salariales SC'!$P$16,IF(P137=26,'A.0_Tablas salariales SC'!$P$17,IF(P137=28,'A.0_Tablas salariales SC'!$P$18,0)))))))))))</f>
        <v>446.8</v>
      </c>
      <c r="X137" s="175">
        <f>IF(Q137=2,'A.0_Tablas salariales SC'!$P$36,(IF(Q137=6,'A.0_Tablas salariales SC'!$P$37,IF(Q137=10,'A.0_Tablas salariales SC'!$P$38,IF(Q137=14,'A.0_Tablas salariales SC'!$P$39,IF(Q137=18,'A.0_Tablas salariales SC'!$P$40,IF(Q137=20,'A.0_Tablas salariales SC'!$P$41,IF(Q137=22,'A.0_Tablas salariales SC'!$P$42,IF(Q137=24,'A.0_Tablas salariales SC'!$P$43,IF(Q137=26,'A.0_Tablas salariales SC'!$P$44,IF(Q137=28,'A.0_Tablas salariales SC'!$P$45,0)))))))))))</f>
        <v>462.44</v>
      </c>
      <c r="Y137" s="175">
        <f>IF(R137=2,'A.0_Tablas salariales SC'!$P$63,(IF(R137=6,'A.0_Tablas salariales SC'!$P$64,IF(R137=10,'A.0_Tablas salariales SC'!$P$65,IF(R137=14,'A.0_Tablas salariales SC'!$P$66,IF(R137=18,'A.0_Tablas salariales SC'!$P$67,IF(R137=20,'A.0_Tablas salariales SC'!$P$68,IF(R137=22,'A.0_Tablas salariales SC'!$P$69,IF(R137=24,'A.0_Tablas salariales SC'!$P$70,IF(R137=26,'A.0_Tablas salariales SC'!$P$71,IF(R137=28,'A.0_Tablas salariales SC'!$P$72,0)))))))))))</f>
        <v>480.93</v>
      </c>
      <c r="Z137" s="175">
        <f>IF(S137=2,'A.0_Tablas salariales SC'!$P$90,(IF(S137=6,'A.0_Tablas salariales SC'!$P$91,IF(S137=10,'A.0_Tablas salariales SC'!$P$92,IF(S137=14,'A.0_Tablas salariales SC'!$P$93,IF(S137=18,'A.0_Tablas salariales SC'!$P$94,IF(S137=20,'A.0_Tablas salariales SC'!$P$95,IF(S137=22,'A.0_Tablas salariales SC'!$P$96,IF(S137=24,'A.0_Tablas salariales SC'!$P$97,IF(S137=26,'A.0_Tablas salariales SC'!$P$98,IF(S137=28,'A.0_Tablas salariales SC'!$P$99,0)))))))))))</f>
        <v>502.58</v>
      </c>
      <c r="AA137" s="175">
        <f>IF(T137=2,'A.0_Tablas salariales SC'!$P$117,(IF(T137=6,'A.0_Tablas salariales SC'!$P$118,IF(T137=10,'A.0_Tablas salariales SC'!$P$119,IF(T137=14,'A.0_Tablas salariales SC'!$P$120,IF(T137=18,'A.0_Tablas salariales SC'!$P$121,IF(T137=20,'A.0_Tablas salariales SC'!$P$122,IF(T137=22,'A.0_Tablas salariales SC'!$P$123,IF(T137=24,'A.0_Tablas salariales SC'!$P$124,IF(T137=26,'A.0_Tablas salariales SC'!$P$125,IF(T137=28,'A.0_Tablas salariales SC'!$P$126,0)))))))))))</f>
        <v>527.70000000000005</v>
      </c>
      <c r="AB137" s="175">
        <f>IF(U137=2,'A.0_Tablas salariales SC'!$P$145,(IF(U137=6,'A.0_Tablas salariales SC'!$P$146,IF(U137=10,'A.0_Tablas salariales SC'!$P$147,IF(U137=14,'A.0_Tablas salariales SC'!$P$148,IF(U137=18,'A.0_Tablas salariales SC'!$P$149,IF(U137=20,'A.0_Tablas salariales SC'!$P$150,IF(U137=22,'A.0_Tablas salariales SC'!$P$151,IF(U137=24,'A.0_Tablas salariales SC'!$P$152,IF(U137=26,'A.0_Tablas salariales SC'!$P$153,IF(U137=28,'A.0_Tablas salariales SC'!$P$154,0)))))))))))</f>
        <v>543.53100000000006</v>
      </c>
      <c r="AC137" s="175">
        <f>IF(V137=2,'A.0_Tablas salariales SC'!$P$173,(IF(V137=6,'A.0_Tablas salariales SC'!$P$174,IF(V137=10,'A.0_Tablas salariales SC'!$P$175,IF(V137=14,'A.0_Tablas salariales SC'!$P$176,IF(V137=18,'A.0_Tablas salariales SC'!$P$177,IF(V137=20,'A.0_Tablas salariales SC'!$P$178,IF(V137=22,'A.0_Tablas salariales SC'!$P$179,IF(V137=24,'A.0_Tablas salariales SC'!$P$180,IF(V137=26,'A.0_Tablas salariales SC'!$P$181,IF(V137=28,'A.0_Tablas salariales SC'!$P$182,0)))))))))))</f>
        <v>559.83693000000005</v>
      </c>
    </row>
    <row r="138" spans="1:29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2">
        <f t="shared" si="106"/>
        <v>1900</v>
      </c>
      <c r="G138" s="173">
        <f t="shared" si="107"/>
        <v>2026</v>
      </c>
      <c r="H138" s="173">
        <f t="shared" si="107"/>
        <v>2032</v>
      </c>
      <c r="I138" s="173">
        <f t="shared" si="108"/>
        <v>126</v>
      </c>
      <c r="J138" s="173">
        <f t="shared" si="109"/>
        <v>127</v>
      </c>
      <c r="K138" s="173">
        <f t="shared" si="110"/>
        <v>128</v>
      </c>
      <c r="L138" s="173">
        <f t="shared" si="111"/>
        <v>129</v>
      </c>
      <c r="M138" s="173">
        <f t="shared" si="112"/>
        <v>130</v>
      </c>
      <c r="N138" s="173">
        <f t="shared" si="113"/>
        <v>131</v>
      </c>
      <c r="O138" s="173">
        <f t="shared" si="114"/>
        <v>132</v>
      </c>
      <c r="P138" s="173">
        <f t="shared" si="115"/>
        <v>28</v>
      </c>
      <c r="Q138" s="173">
        <f t="shared" si="116"/>
        <v>28</v>
      </c>
      <c r="R138" s="173">
        <f t="shared" si="117"/>
        <v>28</v>
      </c>
      <c r="S138" s="173">
        <f t="shared" si="118"/>
        <v>28</v>
      </c>
      <c r="T138" s="173">
        <f t="shared" si="119"/>
        <v>28</v>
      </c>
      <c r="U138" s="173">
        <f t="shared" si="120"/>
        <v>28</v>
      </c>
      <c r="V138" s="173">
        <f t="shared" si="121"/>
        <v>28</v>
      </c>
      <c r="W138" s="175">
        <f>IF(P138=2,'A.0_Tablas salariales SC'!$P$9,(IF(P138=6,'A.0_Tablas salariales SC'!$P$10,IF(P138=10,'A.0_Tablas salariales SC'!$P$11,IF(P138=14,'A.0_Tablas salariales SC'!$P$12,IF(P138=18,'A.0_Tablas salariales SC'!$P$13,IF(P138=20,'A.0_Tablas salariales SC'!$P$14,IF(P138=22,'A.0_Tablas salariales SC'!$P$15,IF(P138=24,'A.0_Tablas salariales SC'!$P$16,IF(P138=26,'A.0_Tablas salariales SC'!$P$17,IF(P138=28,'A.0_Tablas salariales SC'!$P$18,0)))))))))))</f>
        <v>446.8</v>
      </c>
      <c r="X138" s="175">
        <f>IF(Q138=2,'A.0_Tablas salariales SC'!$P$36,(IF(Q138=6,'A.0_Tablas salariales SC'!$P$37,IF(Q138=10,'A.0_Tablas salariales SC'!$P$38,IF(Q138=14,'A.0_Tablas salariales SC'!$P$39,IF(Q138=18,'A.0_Tablas salariales SC'!$P$40,IF(Q138=20,'A.0_Tablas salariales SC'!$P$41,IF(Q138=22,'A.0_Tablas salariales SC'!$P$42,IF(Q138=24,'A.0_Tablas salariales SC'!$P$43,IF(Q138=26,'A.0_Tablas salariales SC'!$P$44,IF(Q138=28,'A.0_Tablas salariales SC'!$P$45,0)))))))))))</f>
        <v>462.44</v>
      </c>
      <c r="Y138" s="175">
        <f>IF(R138=2,'A.0_Tablas salariales SC'!$P$63,(IF(R138=6,'A.0_Tablas salariales SC'!$P$64,IF(R138=10,'A.0_Tablas salariales SC'!$P$65,IF(R138=14,'A.0_Tablas salariales SC'!$P$66,IF(R138=18,'A.0_Tablas salariales SC'!$P$67,IF(R138=20,'A.0_Tablas salariales SC'!$P$68,IF(R138=22,'A.0_Tablas salariales SC'!$P$69,IF(R138=24,'A.0_Tablas salariales SC'!$P$70,IF(R138=26,'A.0_Tablas salariales SC'!$P$71,IF(R138=28,'A.0_Tablas salariales SC'!$P$72,0)))))))))))</f>
        <v>480.93</v>
      </c>
      <c r="Z138" s="175">
        <f>IF(S138=2,'A.0_Tablas salariales SC'!$P$90,(IF(S138=6,'A.0_Tablas salariales SC'!$P$91,IF(S138=10,'A.0_Tablas salariales SC'!$P$92,IF(S138=14,'A.0_Tablas salariales SC'!$P$93,IF(S138=18,'A.0_Tablas salariales SC'!$P$94,IF(S138=20,'A.0_Tablas salariales SC'!$P$95,IF(S138=22,'A.0_Tablas salariales SC'!$P$96,IF(S138=24,'A.0_Tablas salariales SC'!$P$97,IF(S138=26,'A.0_Tablas salariales SC'!$P$98,IF(S138=28,'A.0_Tablas salariales SC'!$P$99,0)))))))))))</f>
        <v>502.58</v>
      </c>
      <c r="AA138" s="175">
        <f>IF(T138=2,'A.0_Tablas salariales SC'!$P$117,(IF(T138=6,'A.0_Tablas salariales SC'!$P$118,IF(T138=10,'A.0_Tablas salariales SC'!$P$119,IF(T138=14,'A.0_Tablas salariales SC'!$P$120,IF(T138=18,'A.0_Tablas salariales SC'!$P$121,IF(T138=20,'A.0_Tablas salariales SC'!$P$122,IF(T138=22,'A.0_Tablas salariales SC'!$P$123,IF(T138=24,'A.0_Tablas salariales SC'!$P$124,IF(T138=26,'A.0_Tablas salariales SC'!$P$125,IF(T138=28,'A.0_Tablas salariales SC'!$P$126,0)))))))))))</f>
        <v>527.70000000000005</v>
      </c>
      <c r="AB138" s="175">
        <f>IF(U138=2,'A.0_Tablas salariales SC'!$P$145,(IF(U138=6,'A.0_Tablas salariales SC'!$P$146,IF(U138=10,'A.0_Tablas salariales SC'!$P$147,IF(U138=14,'A.0_Tablas salariales SC'!$P$148,IF(U138=18,'A.0_Tablas salariales SC'!$P$149,IF(U138=20,'A.0_Tablas salariales SC'!$P$150,IF(U138=22,'A.0_Tablas salariales SC'!$P$151,IF(U138=24,'A.0_Tablas salariales SC'!$P$152,IF(U138=26,'A.0_Tablas salariales SC'!$P$153,IF(U138=28,'A.0_Tablas salariales SC'!$P$154,0)))))))))))</f>
        <v>543.53100000000006</v>
      </c>
      <c r="AC138" s="175">
        <f>IF(V138=2,'A.0_Tablas salariales SC'!$P$173,(IF(V138=6,'A.0_Tablas salariales SC'!$P$174,IF(V138=10,'A.0_Tablas salariales SC'!$P$175,IF(V138=14,'A.0_Tablas salariales SC'!$P$176,IF(V138=18,'A.0_Tablas salariales SC'!$P$177,IF(V138=20,'A.0_Tablas salariales SC'!$P$178,IF(V138=22,'A.0_Tablas salariales SC'!$P$179,IF(V138=24,'A.0_Tablas salariales SC'!$P$180,IF(V138=26,'A.0_Tablas salariales SC'!$P$181,IF(V138=28,'A.0_Tablas salariales SC'!$P$182,0)))))))))))</f>
        <v>559.83693000000005</v>
      </c>
    </row>
    <row r="139" spans="1:29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416"/>
      <c r="X139" s="416"/>
      <c r="Y139" s="416"/>
      <c r="Z139" s="416"/>
      <c r="AA139" s="416"/>
      <c r="AB139" s="416"/>
      <c r="AC139" s="416"/>
    </row>
    <row r="140" spans="1:29">
      <c r="A140" s="508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2">
        <f t="shared" si="106"/>
        <v>1900</v>
      </c>
      <c r="G140" s="173">
        <f t="shared" si="107"/>
        <v>2026</v>
      </c>
      <c r="H140" s="173">
        <f t="shared" si="107"/>
        <v>2032</v>
      </c>
      <c r="I140" s="173">
        <f t="shared" si="108"/>
        <v>126</v>
      </c>
      <c r="J140" s="173">
        <f t="shared" si="109"/>
        <v>127</v>
      </c>
      <c r="K140" s="173">
        <f t="shared" si="110"/>
        <v>128</v>
      </c>
      <c r="L140" s="173">
        <f t="shared" si="111"/>
        <v>129</v>
      </c>
      <c r="M140" s="173">
        <f t="shared" si="112"/>
        <v>130</v>
      </c>
      <c r="N140" s="173">
        <f t="shared" si="113"/>
        <v>131</v>
      </c>
      <c r="O140" s="173">
        <f t="shared" si="114"/>
        <v>132</v>
      </c>
      <c r="P140" s="173">
        <f t="shared" si="115"/>
        <v>28</v>
      </c>
      <c r="Q140" s="173">
        <f t="shared" si="116"/>
        <v>28</v>
      </c>
      <c r="R140" s="173">
        <f t="shared" si="117"/>
        <v>28</v>
      </c>
      <c r="S140" s="173">
        <f t="shared" si="118"/>
        <v>28</v>
      </c>
      <c r="T140" s="173">
        <f t="shared" si="119"/>
        <v>28</v>
      </c>
      <c r="U140" s="173">
        <f t="shared" si="120"/>
        <v>28</v>
      </c>
      <c r="V140" s="173">
        <f t="shared" si="121"/>
        <v>28</v>
      </c>
      <c r="W140" s="175">
        <f>IF(P140=2,'A.0_Tablas salariales SC'!$P$9,(IF(P140=6,'A.0_Tablas salariales SC'!$P$10,IF(P140=10,'A.0_Tablas salariales SC'!$P$11,IF(P140=14,'A.0_Tablas salariales SC'!$P$12,IF(P140=18,'A.0_Tablas salariales SC'!$P$13,IF(P140=20,'A.0_Tablas salariales SC'!$P$14,IF(P140=22,'A.0_Tablas salariales SC'!$P$15,IF(P140=24,'A.0_Tablas salariales SC'!$P$16,IF(P140=26,'A.0_Tablas salariales SC'!$P$17,IF(P140=28,'A.0_Tablas salariales SC'!$P$18,0)))))))))))</f>
        <v>446.8</v>
      </c>
      <c r="X140" s="175">
        <f>IF(Q140=2,'A.0_Tablas salariales SC'!$P$36,(IF(Q140=6,'A.0_Tablas salariales SC'!$P$37,IF(Q140=10,'A.0_Tablas salariales SC'!$P$38,IF(Q140=14,'A.0_Tablas salariales SC'!$P$39,IF(Q140=18,'A.0_Tablas salariales SC'!$P$40,IF(Q140=20,'A.0_Tablas salariales SC'!$P$41,IF(Q140=22,'A.0_Tablas salariales SC'!$P$42,IF(Q140=24,'A.0_Tablas salariales SC'!$P$43,IF(Q140=26,'A.0_Tablas salariales SC'!$P$44,IF(Q140=28,'A.0_Tablas salariales SC'!$P$45,0)))))))))))</f>
        <v>462.44</v>
      </c>
      <c r="Y140" s="175">
        <f>IF(R140=2,'A.0_Tablas salariales SC'!$P$63,(IF(R140=6,'A.0_Tablas salariales SC'!$P$64,IF(R140=10,'A.0_Tablas salariales SC'!$P$65,IF(R140=14,'A.0_Tablas salariales SC'!$P$66,IF(R140=18,'A.0_Tablas salariales SC'!$P$67,IF(R140=20,'A.0_Tablas salariales SC'!$P$68,IF(R140=22,'A.0_Tablas salariales SC'!$P$69,IF(R140=24,'A.0_Tablas salariales SC'!$P$70,IF(R140=26,'A.0_Tablas salariales SC'!$P$71,IF(R140=28,'A.0_Tablas salariales SC'!$P$72,0)))))))))))</f>
        <v>480.93</v>
      </c>
      <c r="Z140" s="175">
        <f>IF(S140=2,'A.0_Tablas salariales SC'!$P$90,(IF(S140=6,'A.0_Tablas salariales SC'!$P$91,IF(S140=10,'A.0_Tablas salariales SC'!$P$92,IF(S140=14,'A.0_Tablas salariales SC'!$P$93,IF(S140=18,'A.0_Tablas salariales SC'!$P$94,IF(S140=20,'A.0_Tablas salariales SC'!$P$95,IF(S140=22,'A.0_Tablas salariales SC'!$P$96,IF(S140=24,'A.0_Tablas salariales SC'!$P$97,IF(S140=26,'A.0_Tablas salariales SC'!$P$98,IF(S140=28,'A.0_Tablas salariales SC'!$P$99,0)))))))))))</f>
        <v>502.58</v>
      </c>
      <c r="AA140" s="175">
        <f>IF(T140=2,'A.0_Tablas salariales SC'!$P$117,(IF(T140=6,'A.0_Tablas salariales SC'!$P$118,IF(T140=10,'A.0_Tablas salariales SC'!$P$119,IF(T140=14,'A.0_Tablas salariales SC'!$P$120,IF(T140=18,'A.0_Tablas salariales SC'!$P$121,IF(T140=20,'A.0_Tablas salariales SC'!$P$122,IF(T140=22,'A.0_Tablas salariales SC'!$P$123,IF(T140=24,'A.0_Tablas salariales SC'!$P$124,IF(T140=26,'A.0_Tablas salariales SC'!$P$125,IF(T140=28,'A.0_Tablas salariales SC'!$P$126,0)))))))))))</f>
        <v>527.70000000000005</v>
      </c>
      <c r="AB140" s="175">
        <f>IF(U140=2,'A.0_Tablas salariales SC'!$P$145,(IF(U140=6,'A.0_Tablas salariales SC'!$P$146,IF(U140=10,'A.0_Tablas salariales SC'!$P$147,IF(U140=14,'A.0_Tablas salariales SC'!$P$148,IF(U140=18,'A.0_Tablas salariales SC'!$P$149,IF(U140=20,'A.0_Tablas salariales SC'!$P$150,IF(U140=22,'A.0_Tablas salariales SC'!$P$151,IF(U140=24,'A.0_Tablas salariales SC'!$P$152,IF(U140=26,'A.0_Tablas salariales SC'!$P$153,IF(U140=28,'A.0_Tablas salariales SC'!$P$154,0)))))))))))</f>
        <v>543.53100000000006</v>
      </c>
      <c r="AC140" s="175">
        <f>IF(V140=2,'A.0_Tablas salariales SC'!$P$173,(IF(V140=6,'A.0_Tablas salariales SC'!$P$174,IF(V140=10,'A.0_Tablas salariales SC'!$P$175,IF(V140=14,'A.0_Tablas salariales SC'!$P$176,IF(V140=18,'A.0_Tablas salariales SC'!$P$177,IF(V140=20,'A.0_Tablas salariales SC'!$P$178,IF(V140=22,'A.0_Tablas salariales SC'!$P$179,IF(V140=24,'A.0_Tablas salariales SC'!$P$180,IF(V140=26,'A.0_Tablas salariales SC'!$P$181,IF(V140=28,'A.0_Tablas salariales SC'!$P$182,0)))))))))))</f>
        <v>559.83693000000005</v>
      </c>
    </row>
    <row r="141" spans="1:29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2">
        <f t="shared" si="106"/>
        <v>1900</v>
      </c>
      <c r="G141" s="173">
        <f t="shared" si="107"/>
        <v>2026</v>
      </c>
      <c r="H141" s="173">
        <f t="shared" si="107"/>
        <v>2032</v>
      </c>
      <c r="I141" s="173">
        <f t="shared" si="108"/>
        <v>126</v>
      </c>
      <c r="J141" s="173">
        <f t="shared" si="109"/>
        <v>127</v>
      </c>
      <c r="K141" s="173">
        <f t="shared" si="110"/>
        <v>128</v>
      </c>
      <c r="L141" s="173">
        <f t="shared" si="111"/>
        <v>129</v>
      </c>
      <c r="M141" s="173">
        <f t="shared" si="112"/>
        <v>130</v>
      </c>
      <c r="N141" s="173">
        <f t="shared" si="113"/>
        <v>131</v>
      </c>
      <c r="O141" s="173">
        <f t="shared" si="114"/>
        <v>132</v>
      </c>
      <c r="P141" s="173">
        <f t="shared" si="115"/>
        <v>28</v>
      </c>
      <c r="Q141" s="173">
        <f t="shared" si="116"/>
        <v>28</v>
      </c>
      <c r="R141" s="173">
        <f t="shared" si="117"/>
        <v>28</v>
      </c>
      <c r="S141" s="173">
        <f t="shared" si="118"/>
        <v>28</v>
      </c>
      <c r="T141" s="173">
        <f t="shared" si="119"/>
        <v>28</v>
      </c>
      <c r="U141" s="173">
        <f t="shared" si="120"/>
        <v>28</v>
      </c>
      <c r="V141" s="173">
        <f t="shared" si="121"/>
        <v>28</v>
      </c>
      <c r="W141" s="175">
        <f>IF(P141=2,'A.0_Tablas salariales SC'!$P$9,(IF(P141=6,'A.0_Tablas salariales SC'!$P$10,IF(P141=10,'A.0_Tablas salariales SC'!$P$11,IF(P141=14,'A.0_Tablas salariales SC'!$P$12,IF(P141=18,'A.0_Tablas salariales SC'!$P$13,IF(P141=20,'A.0_Tablas salariales SC'!$P$14,IF(P141=22,'A.0_Tablas salariales SC'!$P$15,IF(P141=24,'A.0_Tablas salariales SC'!$P$16,IF(P141=26,'A.0_Tablas salariales SC'!$P$17,IF(P141=28,'A.0_Tablas salariales SC'!$P$18,0)))))))))))</f>
        <v>446.8</v>
      </c>
      <c r="X141" s="175">
        <f>IF(Q141=2,'A.0_Tablas salariales SC'!$P$36,(IF(Q141=6,'A.0_Tablas salariales SC'!$P$37,IF(Q141=10,'A.0_Tablas salariales SC'!$P$38,IF(Q141=14,'A.0_Tablas salariales SC'!$P$39,IF(Q141=18,'A.0_Tablas salariales SC'!$P$40,IF(Q141=20,'A.0_Tablas salariales SC'!$P$41,IF(Q141=22,'A.0_Tablas salariales SC'!$P$42,IF(Q141=24,'A.0_Tablas salariales SC'!$P$43,IF(Q141=26,'A.0_Tablas salariales SC'!$P$44,IF(Q141=28,'A.0_Tablas salariales SC'!$P$45,0)))))))))))</f>
        <v>462.44</v>
      </c>
      <c r="Y141" s="175">
        <f>IF(R141=2,'A.0_Tablas salariales SC'!$P$63,(IF(R141=6,'A.0_Tablas salariales SC'!$P$64,IF(R141=10,'A.0_Tablas salariales SC'!$P$65,IF(R141=14,'A.0_Tablas salariales SC'!$P$66,IF(R141=18,'A.0_Tablas salariales SC'!$P$67,IF(R141=20,'A.0_Tablas salariales SC'!$P$68,IF(R141=22,'A.0_Tablas salariales SC'!$P$69,IF(R141=24,'A.0_Tablas salariales SC'!$P$70,IF(R141=26,'A.0_Tablas salariales SC'!$P$71,IF(R141=28,'A.0_Tablas salariales SC'!$P$72,0)))))))))))</f>
        <v>480.93</v>
      </c>
      <c r="Z141" s="175">
        <f>IF(S141=2,'A.0_Tablas salariales SC'!$P$90,(IF(S141=6,'A.0_Tablas salariales SC'!$P$91,IF(S141=10,'A.0_Tablas salariales SC'!$P$92,IF(S141=14,'A.0_Tablas salariales SC'!$P$93,IF(S141=18,'A.0_Tablas salariales SC'!$P$94,IF(S141=20,'A.0_Tablas salariales SC'!$P$95,IF(S141=22,'A.0_Tablas salariales SC'!$P$96,IF(S141=24,'A.0_Tablas salariales SC'!$P$97,IF(S141=26,'A.0_Tablas salariales SC'!$P$98,IF(S141=28,'A.0_Tablas salariales SC'!$P$99,0)))))))))))</f>
        <v>502.58</v>
      </c>
      <c r="AA141" s="175">
        <f>IF(T141=2,'A.0_Tablas salariales SC'!$P$117,(IF(T141=6,'A.0_Tablas salariales SC'!$P$118,IF(T141=10,'A.0_Tablas salariales SC'!$P$119,IF(T141=14,'A.0_Tablas salariales SC'!$P$120,IF(T141=18,'A.0_Tablas salariales SC'!$P$121,IF(T141=20,'A.0_Tablas salariales SC'!$P$122,IF(T141=22,'A.0_Tablas salariales SC'!$P$123,IF(T141=24,'A.0_Tablas salariales SC'!$P$124,IF(T141=26,'A.0_Tablas salariales SC'!$P$125,IF(T141=28,'A.0_Tablas salariales SC'!$P$126,0)))))))))))</f>
        <v>527.70000000000005</v>
      </c>
      <c r="AB141" s="175">
        <f>IF(U141=2,'A.0_Tablas salariales SC'!$P$145,(IF(U141=6,'A.0_Tablas salariales SC'!$P$146,IF(U141=10,'A.0_Tablas salariales SC'!$P$147,IF(U141=14,'A.0_Tablas salariales SC'!$P$148,IF(U141=18,'A.0_Tablas salariales SC'!$P$149,IF(U141=20,'A.0_Tablas salariales SC'!$P$150,IF(U141=22,'A.0_Tablas salariales SC'!$P$151,IF(U141=24,'A.0_Tablas salariales SC'!$P$152,IF(U141=26,'A.0_Tablas salariales SC'!$P$153,IF(U141=28,'A.0_Tablas salariales SC'!$P$154,0)))))))))))</f>
        <v>543.53100000000006</v>
      </c>
      <c r="AC141" s="175">
        <f>IF(V141=2,'A.0_Tablas salariales SC'!$P$173,(IF(V141=6,'A.0_Tablas salariales SC'!$P$174,IF(V141=10,'A.0_Tablas salariales SC'!$P$175,IF(V141=14,'A.0_Tablas salariales SC'!$P$176,IF(V141=18,'A.0_Tablas salariales SC'!$P$177,IF(V141=20,'A.0_Tablas salariales SC'!$P$178,IF(V141=22,'A.0_Tablas salariales SC'!$P$179,IF(V141=24,'A.0_Tablas salariales SC'!$P$180,IF(V141=26,'A.0_Tablas salariales SC'!$P$181,IF(V141=28,'A.0_Tablas salariales SC'!$P$182,0)))))))))))</f>
        <v>559.83693000000005</v>
      </c>
    </row>
    <row r="142" spans="1:29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2">
        <f t="shared" si="106"/>
        <v>1900</v>
      </c>
      <c r="G142" s="173">
        <f t="shared" si="107"/>
        <v>2026</v>
      </c>
      <c r="H142" s="173">
        <f t="shared" si="107"/>
        <v>2032</v>
      </c>
      <c r="I142" s="173">
        <f t="shared" si="108"/>
        <v>126</v>
      </c>
      <c r="J142" s="173">
        <f t="shared" si="109"/>
        <v>127</v>
      </c>
      <c r="K142" s="173">
        <f t="shared" si="110"/>
        <v>128</v>
      </c>
      <c r="L142" s="173">
        <f t="shared" si="111"/>
        <v>129</v>
      </c>
      <c r="M142" s="173">
        <f t="shared" si="112"/>
        <v>130</v>
      </c>
      <c r="N142" s="173">
        <f t="shared" si="113"/>
        <v>131</v>
      </c>
      <c r="O142" s="173">
        <f t="shared" si="114"/>
        <v>132</v>
      </c>
      <c r="P142" s="173">
        <f t="shared" si="115"/>
        <v>28</v>
      </c>
      <c r="Q142" s="173">
        <f t="shared" si="116"/>
        <v>28</v>
      </c>
      <c r="R142" s="173">
        <f t="shared" si="117"/>
        <v>28</v>
      </c>
      <c r="S142" s="173">
        <f t="shared" si="118"/>
        <v>28</v>
      </c>
      <c r="T142" s="173">
        <f t="shared" si="119"/>
        <v>28</v>
      </c>
      <c r="U142" s="173">
        <f t="shared" si="120"/>
        <v>28</v>
      </c>
      <c r="V142" s="173">
        <f t="shared" si="121"/>
        <v>28</v>
      </c>
      <c r="W142" s="175">
        <f>IF(P142=2,'A.0_Tablas salariales SC'!$P$9,(IF(P142=6,'A.0_Tablas salariales SC'!$P$10,IF(P142=10,'A.0_Tablas salariales SC'!$P$11,IF(P142=14,'A.0_Tablas salariales SC'!$P$12,IF(P142=18,'A.0_Tablas salariales SC'!$P$13,IF(P142=20,'A.0_Tablas salariales SC'!$P$14,IF(P142=22,'A.0_Tablas salariales SC'!$P$15,IF(P142=24,'A.0_Tablas salariales SC'!$P$16,IF(P142=26,'A.0_Tablas salariales SC'!$P$17,IF(P142=28,'A.0_Tablas salariales SC'!$P$18,0)))))))))))</f>
        <v>446.8</v>
      </c>
      <c r="X142" s="175">
        <f>IF(Q142=2,'A.0_Tablas salariales SC'!$P$36,(IF(Q142=6,'A.0_Tablas salariales SC'!$P$37,IF(Q142=10,'A.0_Tablas salariales SC'!$P$38,IF(Q142=14,'A.0_Tablas salariales SC'!$P$39,IF(Q142=18,'A.0_Tablas salariales SC'!$P$40,IF(Q142=20,'A.0_Tablas salariales SC'!$P$41,IF(Q142=22,'A.0_Tablas salariales SC'!$P$42,IF(Q142=24,'A.0_Tablas salariales SC'!$P$43,IF(Q142=26,'A.0_Tablas salariales SC'!$P$44,IF(Q142=28,'A.0_Tablas salariales SC'!$P$45,0)))))))))))</f>
        <v>462.44</v>
      </c>
      <c r="Y142" s="175">
        <f>IF(R142=2,'A.0_Tablas salariales SC'!$P$63,(IF(R142=6,'A.0_Tablas salariales SC'!$P$64,IF(R142=10,'A.0_Tablas salariales SC'!$P$65,IF(R142=14,'A.0_Tablas salariales SC'!$P$66,IF(R142=18,'A.0_Tablas salariales SC'!$P$67,IF(R142=20,'A.0_Tablas salariales SC'!$P$68,IF(R142=22,'A.0_Tablas salariales SC'!$P$69,IF(R142=24,'A.0_Tablas salariales SC'!$P$70,IF(R142=26,'A.0_Tablas salariales SC'!$P$71,IF(R142=28,'A.0_Tablas salariales SC'!$P$72,0)))))))))))</f>
        <v>480.93</v>
      </c>
      <c r="Z142" s="175">
        <f>IF(S142=2,'A.0_Tablas salariales SC'!$P$90,(IF(S142=6,'A.0_Tablas salariales SC'!$P$91,IF(S142=10,'A.0_Tablas salariales SC'!$P$92,IF(S142=14,'A.0_Tablas salariales SC'!$P$93,IF(S142=18,'A.0_Tablas salariales SC'!$P$94,IF(S142=20,'A.0_Tablas salariales SC'!$P$95,IF(S142=22,'A.0_Tablas salariales SC'!$P$96,IF(S142=24,'A.0_Tablas salariales SC'!$P$97,IF(S142=26,'A.0_Tablas salariales SC'!$P$98,IF(S142=28,'A.0_Tablas salariales SC'!$P$99,0)))))))))))</f>
        <v>502.58</v>
      </c>
      <c r="AA142" s="175">
        <f>IF(T142=2,'A.0_Tablas salariales SC'!$P$117,(IF(T142=6,'A.0_Tablas salariales SC'!$P$118,IF(T142=10,'A.0_Tablas salariales SC'!$P$119,IF(T142=14,'A.0_Tablas salariales SC'!$P$120,IF(T142=18,'A.0_Tablas salariales SC'!$P$121,IF(T142=20,'A.0_Tablas salariales SC'!$P$122,IF(T142=22,'A.0_Tablas salariales SC'!$P$123,IF(T142=24,'A.0_Tablas salariales SC'!$P$124,IF(T142=26,'A.0_Tablas salariales SC'!$P$125,IF(T142=28,'A.0_Tablas salariales SC'!$P$126,0)))))))))))</f>
        <v>527.70000000000005</v>
      </c>
      <c r="AB142" s="175">
        <f>IF(U142=2,'A.0_Tablas salariales SC'!$P$145,(IF(U142=6,'A.0_Tablas salariales SC'!$P$146,IF(U142=10,'A.0_Tablas salariales SC'!$P$147,IF(U142=14,'A.0_Tablas salariales SC'!$P$148,IF(U142=18,'A.0_Tablas salariales SC'!$P$149,IF(U142=20,'A.0_Tablas salariales SC'!$P$150,IF(U142=22,'A.0_Tablas salariales SC'!$P$151,IF(U142=24,'A.0_Tablas salariales SC'!$P$152,IF(U142=26,'A.0_Tablas salariales SC'!$P$153,IF(U142=28,'A.0_Tablas salariales SC'!$P$154,0)))))))))))</f>
        <v>543.53100000000006</v>
      </c>
      <c r="AC142" s="175">
        <f>IF(V142=2,'A.0_Tablas salariales SC'!$P$173,(IF(V142=6,'A.0_Tablas salariales SC'!$P$174,IF(V142=10,'A.0_Tablas salariales SC'!$P$175,IF(V142=14,'A.0_Tablas salariales SC'!$P$176,IF(V142=18,'A.0_Tablas salariales SC'!$P$177,IF(V142=20,'A.0_Tablas salariales SC'!$P$178,IF(V142=22,'A.0_Tablas salariales SC'!$P$179,IF(V142=24,'A.0_Tablas salariales SC'!$P$180,IF(V142=26,'A.0_Tablas salariales SC'!$P$181,IF(V142=28,'A.0_Tablas salariales SC'!$P$182,0)))))))))))</f>
        <v>559.83693000000005</v>
      </c>
    </row>
    <row r="143" spans="1:29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2">
        <f t="shared" ref="F143:F150" si="137">YEAR(E143)</f>
        <v>1900</v>
      </c>
      <c r="G143" s="173">
        <f t="shared" si="107"/>
        <v>2026</v>
      </c>
      <c r="H143" s="173">
        <f t="shared" si="107"/>
        <v>2032</v>
      </c>
      <c r="I143" s="173">
        <f t="shared" ref="I143:I150" si="138">($I$3-F143)*$I$4</f>
        <v>126</v>
      </c>
      <c r="J143" s="173">
        <f t="shared" ref="J143:J150" si="139">($J$3-F143)*$J$4</f>
        <v>127</v>
      </c>
      <c r="K143" s="173">
        <f t="shared" ref="K143:K150" si="140">($K$3-F143)*$K$4</f>
        <v>128</v>
      </c>
      <c r="L143" s="173">
        <f t="shared" ref="L143:L150" si="141">($L$3-F143)*$L$4</f>
        <v>129</v>
      </c>
      <c r="M143" s="173">
        <f t="shared" ref="M143:M150" si="142">($M$3-F143)*$M$4</f>
        <v>130</v>
      </c>
      <c r="N143" s="173">
        <f t="shared" ref="N143:N150" si="143">($N$3-F143)*$N$4</f>
        <v>131</v>
      </c>
      <c r="O143" s="173">
        <f t="shared" ref="O143:O150" si="144">($O$3-F143)*$O$4</f>
        <v>132</v>
      </c>
      <c r="P143" s="173">
        <f t="shared" ref="P143:P150" si="145">IF(I143&gt;=28,28,IF(I143&gt;=26,26,(IF(I143&gt;=24,24,IF(I143&gt;=22,22,IF(I143&gt;=20,20,IF(I143&gt;=18,18,IF(I143&gt;=14,14,(IF(I143&gt;=10,10,(IF(I143&gt;=6,6,(IF(I143&gt;=2,2,0))))))))))))))</f>
        <v>28</v>
      </c>
      <c r="Q143" s="173">
        <f t="shared" ref="Q143:Q150" si="146">IF(J143&gt;=28,28,IF(J143&gt;=26,26,(IF(J143&gt;=24,24,IF(J143&gt;=22,22,IF(J143&gt;=20,20,IF(J143&gt;=18,18,IF(J143&gt;=14,14,(IF(J143&gt;=10,10,(IF(J143&gt;=6,6,(IF(J143&gt;=2,2,0))))))))))))))</f>
        <v>28</v>
      </c>
      <c r="R143" s="173">
        <f t="shared" ref="R143:R150" si="147">IF(K143&gt;=28,28,IF(K143&gt;=26,26,(IF(K143&gt;=24,24,IF(K143&gt;=22,22,IF(K143&gt;=20,20,IF(K143&gt;=18,18,IF(K143&gt;=14,14,(IF(K143&gt;=10,10,(IF(K143&gt;=6,6,(IF(K143&gt;=2,2,0))))))))))))))</f>
        <v>28</v>
      </c>
      <c r="S143" s="173">
        <f t="shared" ref="S143:S150" si="148">IF(L143&gt;=28,28,IF(L143&gt;=26,26,(IF(L143&gt;=24,24,IF(L143&gt;=22,22,IF(L143&gt;=20,20,IF(L143&gt;=18,18,IF(L143&gt;=14,14,(IF(L143&gt;=10,10,(IF(L143&gt;=6,6,(IF(L143&gt;=2,2,0))))))))))))))</f>
        <v>28</v>
      </c>
      <c r="T143" s="173">
        <f t="shared" ref="T143:T150" si="149">IF(M143&gt;=28,28,IF(M143&gt;=26,26,(IF(M143&gt;=24,24,IF(M143&gt;=22,22,IF(M143&gt;=20,20,IF(M143&gt;=18,18,IF(M143&gt;=14,14,(IF(M143&gt;=10,10,(IF(M143&gt;=6,6,(IF(M143&gt;=2,2,0))))))))))))))</f>
        <v>28</v>
      </c>
      <c r="U143" s="173">
        <f t="shared" ref="U143:U150" si="150">IF(N143&gt;=28,28,IF(N143&gt;=26,26,(IF(N143&gt;=24,24,IF(N143&gt;=22,22,IF(N143&gt;=20,20,IF(N143&gt;=18,18,IF(N143&gt;=14,14,(IF(N143&gt;=10,10,(IF(N143&gt;=6,6,(IF(N143&gt;=2,2,0))))))))))))))</f>
        <v>28</v>
      </c>
      <c r="V143" s="173">
        <f t="shared" ref="V143:V150" si="151">IF(O143&gt;=28,28,IF(O143&gt;=26,26,(IF(O143&gt;=24,24,IF(O143&gt;=22,22,IF(O143&gt;=20,20,IF(O143&gt;=18,18,IF(O143&gt;=14,14,(IF(O143&gt;=10,10,(IF(O143&gt;=6,6,(IF(O143&gt;=2,2,0))))))))))))))</f>
        <v>28</v>
      </c>
      <c r="W143" s="175">
        <f>IF(P143=2,'A.0_Tablas salariales SC'!$P$9,(IF(P143=6,'A.0_Tablas salariales SC'!$P$10,IF(P143=10,'A.0_Tablas salariales SC'!$P$11,IF(P143=14,'A.0_Tablas salariales SC'!$P$12,IF(P143=18,'A.0_Tablas salariales SC'!$P$13,IF(P143=20,'A.0_Tablas salariales SC'!$P$14,IF(P143=22,'A.0_Tablas salariales SC'!$P$15,IF(P143=24,'A.0_Tablas salariales SC'!$P$16,IF(P143=26,'A.0_Tablas salariales SC'!$P$17,IF(P143=28,'A.0_Tablas salariales SC'!$P$18,0)))))))))))</f>
        <v>446.8</v>
      </c>
      <c r="X143" s="175">
        <f>IF(Q143=2,'A.0_Tablas salariales SC'!$P$36,(IF(Q143=6,'A.0_Tablas salariales SC'!$P$37,IF(Q143=10,'A.0_Tablas salariales SC'!$P$38,IF(Q143=14,'A.0_Tablas salariales SC'!$P$39,IF(Q143=18,'A.0_Tablas salariales SC'!$P$40,IF(Q143=20,'A.0_Tablas salariales SC'!$P$41,IF(Q143=22,'A.0_Tablas salariales SC'!$P$42,IF(Q143=24,'A.0_Tablas salariales SC'!$P$43,IF(Q143=26,'A.0_Tablas salariales SC'!$P$44,IF(Q143=28,'A.0_Tablas salariales SC'!$P$45,0)))))))))))</f>
        <v>462.44</v>
      </c>
      <c r="Y143" s="175">
        <f>IF(R143=2,'A.0_Tablas salariales SC'!$P$63,(IF(R143=6,'A.0_Tablas salariales SC'!$P$64,IF(R143=10,'A.0_Tablas salariales SC'!$P$65,IF(R143=14,'A.0_Tablas salariales SC'!$P$66,IF(R143=18,'A.0_Tablas salariales SC'!$P$67,IF(R143=20,'A.0_Tablas salariales SC'!$P$68,IF(R143=22,'A.0_Tablas salariales SC'!$P$69,IF(R143=24,'A.0_Tablas salariales SC'!$P$70,IF(R143=26,'A.0_Tablas salariales SC'!$P$71,IF(R143=28,'A.0_Tablas salariales SC'!$P$72,0)))))))))))</f>
        <v>480.93</v>
      </c>
      <c r="Z143" s="175">
        <f>IF(S143=2,'A.0_Tablas salariales SC'!$P$90,(IF(S143=6,'A.0_Tablas salariales SC'!$P$91,IF(S143=10,'A.0_Tablas salariales SC'!$P$92,IF(S143=14,'A.0_Tablas salariales SC'!$P$93,IF(S143=18,'A.0_Tablas salariales SC'!$P$94,IF(S143=20,'A.0_Tablas salariales SC'!$P$95,IF(S143=22,'A.0_Tablas salariales SC'!$P$96,IF(S143=24,'A.0_Tablas salariales SC'!$P$97,IF(S143=26,'A.0_Tablas salariales SC'!$P$98,IF(S143=28,'A.0_Tablas salariales SC'!$P$99,0)))))))))))</f>
        <v>502.58</v>
      </c>
      <c r="AA143" s="175">
        <f>IF(T143=2,'A.0_Tablas salariales SC'!$P$117,(IF(T143=6,'A.0_Tablas salariales SC'!$P$118,IF(T143=10,'A.0_Tablas salariales SC'!$P$119,IF(T143=14,'A.0_Tablas salariales SC'!$P$120,IF(T143=18,'A.0_Tablas salariales SC'!$P$121,IF(T143=20,'A.0_Tablas salariales SC'!$P$122,IF(T143=22,'A.0_Tablas salariales SC'!$P$123,IF(T143=24,'A.0_Tablas salariales SC'!$P$124,IF(T143=26,'A.0_Tablas salariales SC'!$P$125,IF(T143=28,'A.0_Tablas salariales SC'!$P$126,0)))))))))))</f>
        <v>527.70000000000005</v>
      </c>
      <c r="AB143" s="175">
        <f>IF(U143=2,'A.0_Tablas salariales SC'!$P$145,(IF(U143=6,'A.0_Tablas salariales SC'!$P$146,IF(U143=10,'A.0_Tablas salariales SC'!$P$147,IF(U143=14,'A.0_Tablas salariales SC'!$P$148,IF(U143=18,'A.0_Tablas salariales SC'!$P$149,IF(U143=20,'A.0_Tablas salariales SC'!$P$150,IF(U143=22,'A.0_Tablas salariales SC'!$P$151,IF(U143=24,'A.0_Tablas salariales SC'!$P$152,IF(U143=26,'A.0_Tablas salariales SC'!$P$153,IF(U143=28,'A.0_Tablas salariales SC'!$P$154,0)))))))))))</f>
        <v>543.53100000000006</v>
      </c>
      <c r="AC143" s="175">
        <f>IF(V143=2,'A.0_Tablas salariales SC'!$P$173,(IF(V143=6,'A.0_Tablas salariales SC'!$P$174,IF(V143=10,'A.0_Tablas salariales SC'!$P$175,IF(V143=14,'A.0_Tablas salariales SC'!$P$176,IF(V143=18,'A.0_Tablas salariales SC'!$P$177,IF(V143=20,'A.0_Tablas salariales SC'!$P$178,IF(V143=22,'A.0_Tablas salariales SC'!$P$179,IF(V143=24,'A.0_Tablas salariales SC'!$P$180,IF(V143=26,'A.0_Tablas salariales SC'!$P$181,IF(V143=28,'A.0_Tablas salariales SC'!$P$182,0)))))))))))</f>
        <v>559.83693000000005</v>
      </c>
    </row>
    <row r="144" spans="1:29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2">
        <f t="shared" si="137"/>
        <v>1900</v>
      </c>
      <c r="G144" s="173">
        <f t="shared" si="107"/>
        <v>2026</v>
      </c>
      <c r="H144" s="173">
        <f t="shared" si="107"/>
        <v>2032</v>
      </c>
      <c r="I144" s="173">
        <f t="shared" si="138"/>
        <v>126</v>
      </c>
      <c r="J144" s="173">
        <f t="shared" si="139"/>
        <v>127</v>
      </c>
      <c r="K144" s="173">
        <f t="shared" si="140"/>
        <v>128</v>
      </c>
      <c r="L144" s="173">
        <f t="shared" si="141"/>
        <v>129</v>
      </c>
      <c r="M144" s="173">
        <f t="shared" si="142"/>
        <v>130</v>
      </c>
      <c r="N144" s="173">
        <f t="shared" si="143"/>
        <v>131</v>
      </c>
      <c r="O144" s="173">
        <f t="shared" si="144"/>
        <v>132</v>
      </c>
      <c r="P144" s="173">
        <f t="shared" si="145"/>
        <v>28</v>
      </c>
      <c r="Q144" s="173">
        <f t="shared" si="146"/>
        <v>28</v>
      </c>
      <c r="R144" s="173">
        <f t="shared" si="147"/>
        <v>28</v>
      </c>
      <c r="S144" s="173">
        <f t="shared" si="148"/>
        <v>28</v>
      </c>
      <c r="T144" s="173">
        <f t="shared" si="149"/>
        <v>28</v>
      </c>
      <c r="U144" s="173">
        <f t="shared" si="150"/>
        <v>28</v>
      </c>
      <c r="V144" s="173">
        <f t="shared" si="151"/>
        <v>28</v>
      </c>
      <c r="W144" s="175">
        <f>IF(P144=2,'A.0_Tablas salariales SC'!$P$9,(IF(P144=6,'A.0_Tablas salariales SC'!$P$10,IF(P144=10,'A.0_Tablas salariales SC'!$P$11,IF(P144=14,'A.0_Tablas salariales SC'!$P$12,IF(P144=18,'A.0_Tablas salariales SC'!$P$13,IF(P144=20,'A.0_Tablas salariales SC'!$P$14,IF(P144=22,'A.0_Tablas salariales SC'!$P$15,IF(P144=24,'A.0_Tablas salariales SC'!$P$16,IF(P144=26,'A.0_Tablas salariales SC'!$P$17,IF(P144=28,'A.0_Tablas salariales SC'!$P$18,0)))))))))))</f>
        <v>446.8</v>
      </c>
      <c r="X144" s="175">
        <f>IF(Q144=2,'A.0_Tablas salariales SC'!$P$36,(IF(Q144=6,'A.0_Tablas salariales SC'!$P$37,IF(Q144=10,'A.0_Tablas salariales SC'!$P$38,IF(Q144=14,'A.0_Tablas salariales SC'!$P$39,IF(Q144=18,'A.0_Tablas salariales SC'!$P$40,IF(Q144=20,'A.0_Tablas salariales SC'!$P$41,IF(Q144=22,'A.0_Tablas salariales SC'!$P$42,IF(Q144=24,'A.0_Tablas salariales SC'!$P$43,IF(Q144=26,'A.0_Tablas salariales SC'!$P$44,IF(Q144=28,'A.0_Tablas salariales SC'!$P$45,0)))))))))))</f>
        <v>462.44</v>
      </c>
      <c r="Y144" s="175">
        <f>IF(R144=2,'A.0_Tablas salariales SC'!$P$63,(IF(R144=6,'A.0_Tablas salariales SC'!$P$64,IF(R144=10,'A.0_Tablas salariales SC'!$P$65,IF(R144=14,'A.0_Tablas salariales SC'!$P$66,IF(R144=18,'A.0_Tablas salariales SC'!$P$67,IF(R144=20,'A.0_Tablas salariales SC'!$P$68,IF(R144=22,'A.0_Tablas salariales SC'!$P$69,IF(R144=24,'A.0_Tablas salariales SC'!$P$70,IF(R144=26,'A.0_Tablas salariales SC'!$P$71,IF(R144=28,'A.0_Tablas salariales SC'!$P$72,0)))))))))))</f>
        <v>480.93</v>
      </c>
      <c r="Z144" s="175">
        <f>IF(S144=2,'A.0_Tablas salariales SC'!$P$90,(IF(S144=6,'A.0_Tablas salariales SC'!$P$91,IF(S144=10,'A.0_Tablas salariales SC'!$P$92,IF(S144=14,'A.0_Tablas salariales SC'!$P$93,IF(S144=18,'A.0_Tablas salariales SC'!$P$94,IF(S144=20,'A.0_Tablas salariales SC'!$P$95,IF(S144=22,'A.0_Tablas salariales SC'!$P$96,IF(S144=24,'A.0_Tablas salariales SC'!$P$97,IF(S144=26,'A.0_Tablas salariales SC'!$P$98,IF(S144=28,'A.0_Tablas salariales SC'!$P$99,0)))))))))))</f>
        <v>502.58</v>
      </c>
      <c r="AA144" s="175">
        <f>IF(T144=2,'A.0_Tablas salariales SC'!$P$117,(IF(T144=6,'A.0_Tablas salariales SC'!$P$118,IF(T144=10,'A.0_Tablas salariales SC'!$P$119,IF(T144=14,'A.0_Tablas salariales SC'!$P$120,IF(T144=18,'A.0_Tablas salariales SC'!$P$121,IF(T144=20,'A.0_Tablas salariales SC'!$P$122,IF(T144=22,'A.0_Tablas salariales SC'!$P$123,IF(T144=24,'A.0_Tablas salariales SC'!$P$124,IF(T144=26,'A.0_Tablas salariales SC'!$P$125,IF(T144=28,'A.0_Tablas salariales SC'!$P$126,0)))))))))))</f>
        <v>527.70000000000005</v>
      </c>
      <c r="AB144" s="175">
        <f>IF(U144=2,'A.0_Tablas salariales SC'!$P$145,(IF(U144=6,'A.0_Tablas salariales SC'!$P$146,IF(U144=10,'A.0_Tablas salariales SC'!$P$147,IF(U144=14,'A.0_Tablas salariales SC'!$P$148,IF(U144=18,'A.0_Tablas salariales SC'!$P$149,IF(U144=20,'A.0_Tablas salariales SC'!$P$150,IF(U144=22,'A.0_Tablas salariales SC'!$P$151,IF(U144=24,'A.0_Tablas salariales SC'!$P$152,IF(U144=26,'A.0_Tablas salariales SC'!$P$153,IF(U144=28,'A.0_Tablas salariales SC'!$P$154,0)))))))))))</f>
        <v>543.53100000000006</v>
      </c>
      <c r="AC144" s="175">
        <f>IF(V144=2,'A.0_Tablas salariales SC'!$P$173,(IF(V144=6,'A.0_Tablas salariales SC'!$P$174,IF(V144=10,'A.0_Tablas salariales SC'!$P$175,IF(V144=14,'A.0_Tablas salariales SC'!$P$176,IF(V144=18,'A.0_Tablas salariales SC'!$P$177,IF(V144=20,'A.0_Tablas salariales SC'!$P$178,IF(V144=22,'A.0_Tablas salariales SC'!$P$179,IF(V144=24,'A.0_Tablas salariales SC'!$P$180,IF(V144=26,'A.0_Tablas salariales SC'!$P$181,IF(V144=28,'A.0_Tablas salariales SC'!$P$182,0)))))))))))</f>
        <v>559.83693000000005</v>
      </c>
    </row>
    <row r="145" spans="1:29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2">
        <f t="shared" si="137"/>
        <v>1900</v>
      </c>
      <c r="G145" s="173">
        <f t="shared" si="107"/>
        <v>2026</v>
      </c>
      <c r="H145" s="173">
        <f t="shared" si="107"/>
        <v>2032</v>
      </c>
      <c r="I145" s="173">
        <f t="shared" si="138"/>
        <v>126</v>
      </c>
      <c r="J145" s="173">
        <f t="shared" si="139"/>
        <v>127</v>
      </c>
      <c r="K145" s="173">
        <f t="shared" si="140"/>
        <v>128</v>
      </c>
      <c r="L145" s="173">
        <f t="shared" si="141"/>
        <v>129</v>
      </c>
      <c r="M145" s="173">
        <f t="shared" si="142"/>
        <v>130</v>
      </c>
      <c r="N145" s="173">
        <f t="shared" si="143"/>
        <v>131</v>
      </c>
      <c r="O145" s="173">
        <f t="shared" si="144"/>
        <v>132</v>
      </c>
      <c r="P145" s="173">
        <f t="shared" si="145"/>
        <v>28</v>
      </c>
      <c r="Q145" s="173">
        <f t="shared" si="146"/>
        <v>28</v>
      </c>
      <c r="R145" s="173">
        <f t="shared" si="147"/>
        <v>28</v>
      </c>
      <c r="S145" s="173">
        <f t="shared" si="148"/>
        <v>28</v>
      </c>
      <c r="T145" s="173">
        <f t="shared" si="149"/>
        <v>28</v>
      </c>
      <c r="U145" s="173">
        <f t="shared" si="150"/>
        <v>28</v>
      </c>
      <c r="V145" s="173">
        <f t="shared" si="151"/>
        <v>28</v>
      </c>
      <c r="W145" s="175">
        <f>IF(P145=2,'A.0_Tablas salariales SC'!$P$9,(IF(P145=6,'A.0_Tablas salariales SC'!$P$10,IF(P145=10,'A.0_Tablas salariales SC'!$P$11,IF(P145=14,'A.0_Tablas salariales SC'!$P$12,IF(P145=18,'A.0_Tablas salariales SC'!$P$13,IF(P145=20,'A.0_Tablas salariales SC'!$P$14,IF(P145=22,'A.0_Tablas salariales SC'!$P$15,IF(P145=24,'A.0_Tablas salariales SC'!$P$16,IF(P145=26,'A.0_Tablas salariales SC'!$P$17,IF(P145=28,'A.0_Tablas salariales SC'!$P$18,0)))))))))))</f>
        <v>446.8</v>
      </c>
      <c r="X145" s="175">
        <f>IF(Q145=2,'A.0_Tablas salariales SC'!$P$36,(IF(Q145=6,'A.0_Tablas salariales SC'!$P$37,IF(Q145=10,'A.0_Tablas salariales SC'!$P$38,IF(Q145=14,'A.0_Tablas salariales SC'!$P$39,IF(Q145=18,'A.0_Tablas salariales SC'!$P$40,IF(Q145=20,'A.0_Tablas salariales SC'!$P$41,IF(Q145=22,'A.0_Tablas salariales SC'!$P$42,IF(Q145=24,'A.0_Tablas salariales SC'!$P$43,IF(Q145=26,'A.0_Tablas salariales SC'!$P$44,IF(Q145=28,'A.0_Tablas salariales SC'!$P$45,0)))))))))))</f>
        <v>462.44</v>
      </c>
      <c r="Y145" s="175">
        <f>IF(R145=2,'A.0_Tablas salariales SC'!$P$63,(IF(R145=6,'A.0_Tablas salariales SC'!$P$64,IF(R145=10,'A.0_Tablas salariales SC'!$P$65,IF(R145=14,'A.0_Tablas salariales SC'!$P$66,IF(R145=18,'A.0_Tablas salariales SC'!$P$67,IF(R145=20,'A.0_Tablas salariales SC'!$P$68,IF(R145=22,'A.0_Tablas salariales SC'!$P$69,IF(R145=24,'A.0_Tablas salariales SC'!$P$70,IF(R145=26,'A.0_Tablas salariales SC'!$P$71,IF(R145=28,'A.0_Tablas salariales SC'!$P$72,0)))))))))))</f>
        <v>480.93</v>
      </c>
      <c r="Z145" s="175">
        <f>IF(S145=2,'A.0_Tablas salariales SC'!$P$90,(IF(S145=6,'A.0_Tablas salariales SC'!$P$91,IF(S145=10,'A.0_Tablas salariales SC'!$P$92,IF(S145=14,'A.0_Tablas salariales SC'!$P$93,IF(S145=18,'A.0_Tablas salariales SC'!$P$94,IF(S145=20,'A.0_Tablas salariales SC'!$P$95,IF(S145=22,'A.0_Tablas salariales SC'!$P$96,IF(S145=24,'A.0_Tablas salariales SC'!$P$97,IF(S145=26,'A.0_Tablas salariales SC'!$P$98,IF(S145=28,'A.0_Tablas salariales SC'!$P$99,0)))))))))))</f>
        <v>502.58</v>
      </c>
      <c r="AA145" s="175">
        <f>IF(T145=2,'A.0_Tablas salariales SC'!$P$117,(IF(T145=6,'A.0_Tablas salariales SC'!$P$118,IF(T145=10,'A.0_Tablas salariales SC'!$P$119,IF(T145=14,'A.0_Tablas salariales SC'!$P$120,IF(T145=18,'A.0_Tablas salariales SC'!$P$121,IF(T145=20,'A.0_Tablas salariales SC'!$P$122,IF(T145=22,'A.0_Tablas salariales SC'!$P$123,IF(T145=24,'A.0_Tablas salariales SC'!$P$124,IF(T145=26,'A.0_Tablas salariales SC'!$P$125,IF(T145=28,'A.0_Tablas salariales SC'!$P$126,0)))))))))))</f>
        <v>527.70000000000005</v>
      </c>
      <c r="AB145" s="175">
        <f>IF(U145=2,'A.0_Tablas salariales SC'!$P$145,(IF(U145=6,'A.0_Tablas salariales SC'!$P$146,IF(U145=10,'A.0_Tablas salariales SC'!$P$147,IF(U145=14,'A.0_Tablas salariales SC'!$P$148,IF(U145=18,'A.0_Tablas salariales SC'!$P$149,IF(U145=20,'A.0_Tablas salariales SC'!$P$150,IF(U145=22,'A.0_Tablas salariales SC'!$P$151,IF(U145=24,'A.0_Tablas salariales SC'!$P$152,IF(U145=26,'A.0_Tablas salariales SC'!$P$153,IF(U145=28,'A.0_Tablas salariales SC'!$P$154,0)))))))))))</f>
        <v>543.53100000000006</v>
      </c>
      <c r="AC145" s="175">
        <f>IF(V145=2,'A.0_Tablas salariales SC'!$P$173,(IF(V145=6,'A.0_Tablas salariales SC'!$P$174,IF(V145=10,'A.0_Tablas salariales SC'!$P$175,IF(V145=14,'A.0_Tablas salariales SC'!$P$176,IF(V145=18,'A.0_Tablas salariales SC'!$P$177,IF(V145=20,'A.0_Tablas salariales SC'!$P$178,IF(V145=22,'A.0_Tablas salariales SC'!$P$179,IF(V145=24,'A.0_Tablas salariales SC'!$P$180,IF(V145=26,'A.0_Tablas salariales SC'!$P$181,IF(V145=28,'A.0_Tablas salariales SC'!$P$182,0)))))))))))</f>
        <v>559.83693000000005</v>
      </c>
    </row>
    <row r="146" spans="1:29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2">
        <f t="shared" si="137"/>
        <v>1900</v>
      </c>
      <c r="G146" s="173">
        <f t="shared" si="107"/>
        <v>2026</v>
      </c>
      <c r="H146" s="173">
        <f t="shared" si="107"/>
        <v>2032</v>
      </c>
      <c r="I146" s="173">
        <f t="shared" si="138"/>
        <v>126</v>
      </c>
      <c r="J146" s="173">
        <f t="shared" si="139"/>
        <v>127</v>
      </c>
      <c r="K146" s="173">
        <f t="shared" si="140"/>
        <v>128</v>
      </c>
      <c r="L146" s="173">
        <f t="shared" si="141"/>
        <v>129</v>
      </c>
      <c r="M146" s="173">
        <f t="shared" si="142"/>
        <v>130</v>
      </c>
      <c r="N146" s="173">
        <f t="shared" si="143"/>
        <v>131</v>
      </c>
      <c r="O146" s="173">
        <f t="shared" si="144"/>
        <v>132</v>
      </c>
      <c r="P146" s="173">
        <f t="shared" si="145"/>
        <v>28</v>
      </c>
      <c r="Q146" s="173">
        <f t="shared" si="146"/>
        <v>28</v>
      </c>
      <c r="R146" s="173">
        <f t="shared" si="147"/>
        <v>28</v>
      </c>
      <c r="S146" s="173">
        <f t="shared" si="148"/>
        <v>28</v>
      </c>
      <c r="T146" s="173">
        <f t="shared" si="149"/>
        <v>28</v>
      </c>
      <c r="U146" s="173">
        <f t="shared" si="150"/>
        <v>28</v>
      </c>
      <c r="V146" s="173">
        <f t="shared" si="151"/>
        <v>28</v>
      </c>
      <c r="W146" s="175">
        <f>IF(P146=2,'A.0_Tablas salariales SC'!$P$9,(IF(P146=6,'A.0_Tablas salariales SC'!$P$10,IF(P146=10,'A.0_Tablas salariales SC'!$P$11,IF(P146=14,'A.0_Tablas salariales SC'!$P$12,IF(P146=18,'A.0_Tablas salariales SC'!$P$13,IF(P146=20,'A.0_Tablas salariales SC'!$P$14,IF(P146=22,'A.0_Tablas salariales SC'!$P$15,IF(P146=24,'A.0_Tablas salariales SC'!$P$16,IF(P146=26,'A.0_Tablas salariales SC'!$P$17,IF(P146=28,'A.0_Tablas salariales SC'!$P$18,0)))))))))))</f>
        <v>446.8</v>
      </c>
      <c r="X146" s="175">
        <f>IF(Q146=2,'A.0_Tablas salariales SC'!$P$36,(IF(Q146=6,'A.0_Tablas salariales SC'!$P$37,IF(Q146=10,'A.0_Tablas salariales SC'!$P$38,IF(Q146=14,'A.0_Tablas salariales SC'!$P$39,IF(Q146=18,'A.0_Tablas salariales SC'!$P$40,IF(Q146=20,'A.0_Tablas salariales SC'!$P$41,IF(Q146=22,'A.0_Tablas salariales SC'!$P$42,IF(Q146=24,'A.0_Tablas salariales SC'!$P$43,IF(Q146=26,'A.0_Tablas salariales SC'!$P$44,IF(Q146=28,'A.0_Tablas salariales SC'!$P$45,0)))))))))))</f>
        <v>462.44</v>
      </c>
      <c r="Y146" s="175">
        <f>IF(R146=2,'A.0_Tablas salariales SC'!$P$63,(IF(R146=6,'A.0_Tablas salariales SC'!$P$64,IF(R146=10,'A.0_Tablas salariales SC'!$P$65,IF(R146=14,'A.0_Tablas salariales SC'!$P$66,IF(R146=18,'A.0_Tablas salariales SC'!$P$67,IF(R146=20,'A.0_Tablas salariales SC'!$P$68,IF(R146=22,'A.0_Tablas salariales SC'!$P$69,IF(R146=24,'A.0_Tablas salariales SC'!$P$70,IF(R146=26,'A.0_Tablas salariales SC'!$P$71,IF(R146=28,'A.0_Tablas salariales SC'!$P$72,0)))))))))))</f>
        <v>480.93</v>
      </c>
      <c r="Z146" s="175">
        <f>IF(S146=2,'A.0_Tablas salariales SC'!$P$90,(IF(S146=6,'A.0_Tablas salariales SC'!$P$91,IF(S146=10,'A.0_Tablas salariales SC'!$P$92,IF(S146=14,'A.0_Tablas salariales SC'!$P$93,IF(S146=18,'A.0_Tablas salariales SC'!$P$94,IF(S146=20,'A.0_Tablas salariales SC'!$P$95,IF(S146=22,'A.0_Tablas salariales SC'!$P$96,IF(S146=24,'A.0_Tablas salariales SC'!$P$97,IF(S146=26,'A.0_Tablas salariales SC'!$P$98,IF(S146=28,'A.0_Tablas salariales SC'!$P$99,0)))))))))))</f>
        <v>502.58</v>
      </c>
      <c r="AA146" s="175">
        <f>IF(T146=2,'A.0_Tablas salariales SC'!$P$117,(IF(T146=6,'A.0_Tablas salariales SC'!$P$118,IF(T146=10,'A.0_Tablas salariales SC'!$P$119,IF(T146=14,'A.0_Tablas salariales SC'!$P$120,IF(T146=18,'A.0_Tablas salariales SC'!$P$121,IF(T146=20,'A.0_Tablas salariales SC'!$P$122,IF(T146=22,'A.0_Tablas salariales SC'!$P$123,IF(T146=24,'A.0_Tablas salariales SC'!$P$124,IF(T146=26,'A.0_Tablas salariales SC'!$P$125,IF(T146=28,'A.0_Tablas salariales SC'!$P$126,0)))))))))))</f>
        <v>527.70000000000005</v>
      </c>
      <c r="AB146" s="175">
        <f>IF(U146=2,'A.0_Tablas salariales SC'!$P$145,(IF(U146=6,'A.0_Tablas salariales SC'!$P$146,IF(U146=10,'A.0_Tablas salariales SC'!$P$147,IF(U146=14,'A.0_Tablas salariales SC'!$P$148,IF(U146=18,'A.0_Tablas salariales SC'!$P$149,IF(U146=20,'A.0_Tablas salariales SC'!$P$150,IF(U146=22,'A.0_Tablas salariales SC'!$P$151,IF(U146=24,'A.0_Tablas salariales SC'!$P$152,IF(U146=26,'A.0_Tablas salariales SC'!$P$153,IF(U146=28,'A.0_Tablas salariales SC'!$P$154,0)))))))))))</f>
        <v>543.53100000000006</v>
      </c>
      <c r="AC146" s="175">
        <f>IF(V146=2,'A.0_Tablas salariales SC'!$P$173,(IF(V146=6,'A.0_Tablas salariales SC'!$P$174,IF(V146=10,'A.0_Tablas salariales SC'!$P$175,IF(V146=14,'A.0_Tablas salariales SC'!$P$176,IF(V146=18,'A.0_Tablas salariales SC'!$P$177,IF(V146=20,'A.0_Tablas salariales SC'!$P$178,IF(V146=22,'A.0_Tablas salariales SC'!$P$179,IF(V146=24,'A.0_Tablas salariales SC'!$P$180,IF(V146=26,'A.0_Tablas salariales SC'!$P$181,IF(V146=28,'A.0_Tablas salariales SC'!$P$182,0)))))))))))</f>
        <v>559.83693000000005</v>
      </c>
    </row>
    <row r="147" spans="1:29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2">
        <f t="shared" si="137"/>
        <v>1900</v>
      </c>
      <c r="G147" s="173">
        <f t="shared" si="107"/>
        <v>2026</v>
      </c>
      <c r="H147" s="173">
        <f t="shared" si="107"/>
        <v>2032</v>
      </c>
      <c r="I147" s="173">
        <f t="shared" si="138"/>
        <v>126</v>
      </c>
      <c r="J147" s="173">
        <f t="shared" si="139"/>
        <v>127</v>
      </c>
      <c r="K147" s="173">
        <f t="shared" si="140"/>
        <v>128</v>
      </c>
      <c r="L147" s="173">
        <f t="shared" si="141"/>
        <v>129</v>
      </c>
      <c r="M147" s="173">
        <f t="shared" si="142"/>
        <v>130</v>
      </c>
      <c r="N147" s="173">
        <f t="shared" si="143"/>
        <v>131</v>
      </c>
      <c r="O147" s="173">
        <f t="shared" si="144"/>
        <v>132</v>
      </c>
      <c r="P147" s="173">
        <f t="shared" si="145"/>
        <v>28</v>
      </c>
      <c r="Q147" s="173">
        <f t="shared" si="146"/>
        <v>28</v>
      </c>
      <c r="R147" s="173">
        <f t="shared" si="147"/>
        <v>28</v>
      </c>
      <c r="S147" s="173">
        <f t="shared" si="148"/>
        <v>28</v>
      </c>
      <c r="T147" s="173">
        <f t="shared" si="149"/>
        <v>28</v>
      </c>
      <c r="U147" s="173">
        <f t="shared" si="150"/>
        <v>28</v>
      </c>
      <c r="V147" s="173">
        <f t="shared" si="151"/>
        <v>28</v>
      </c>
      <c r="W147" s="175">
        <f>IF(P147=2,'A.0_Tablas salariales SC'!$P$9,(IF(P147=6,'A.0_Tablas salariales SC'!$P$10,IF(P147=10,'A.0_Tablas salariales SC'!$P$11,IF(P147=14,'A.0_Tablas salariales SC'!$P$12,IF(P147=18,'A.0_Tablas salariales SC'!$P$13,IF(P147=20,'A.0_Tablas salariales SC'!$P$14,IF(P147=22,'A.0_Tablas salariales SC'!$P$15,IF(P147=24,'A.0_Tablas salariales SC'!$P$16,IF(P147=26,'A.0_Tablas salariales SC'!$P$17,IF(P147=28,'A.0_Tablas salariales SC'!$P$18,0)))))))))))</f>
        <v>446.8</v>
      </c>
      <c r="X147" s="175">
        <f>IF(Q147=2,'A.0_Tablas salariales SC'!$P$36,(IF(Q147=6,'A.0_Tablas salariales SC'!$P$37,IF(Q147=10,'A.0_Tablas salariales SC'!$P$38,IF(Q147=14,'A.0_Tablas salariales SC'!$P$39,IF(Q147=18,'A.0_Tablas salariales SC'!$P$40,IF(Q147=20,'A.0_Tablas salariales SC'!$P$41,IF(Q147=22,'A.0_Tablas salariales SC'!$P$42,IF(Q147=24,'A.0_Tablas salariales SC'!$P$43,IF(Q147=26,'A.0_Tablas salariales SC'!$P$44,IF(Q147=28,'A.0_Tablas salariales SC'!$P$45,0)))))))))))</f>
        <v>462.44</v>
      </c>
      <c r="Y147" s="175">
        <f>IF(R147=2,'A.0_Tablas salariales SC'!$P$63,(IF(R147=6,'A.0_Tablas salariales SC'!$P$64,IF(R147=10,'A.0_Tablas salariales SC'!$P$65,IF(R147=14,'A.0_Tablas salariales SC'!$P$66,IF(R147=18,'A.0_Tablas salariales SC'!$P$67,IF(R147=20,'A.0_Tablas salariales SC'!$P$68,IF(R147=22,'A.0_Tablas salariales SC'!$P$69,IF(R147=24,'A.0_Tablas salariales SC'!$P$70,IF(R147=26,'A.0_Tablas salariales SC'!$P$71,IF(R147=28,'A.0_Tablas salariales SC'!$P$72,0)))))))))))</f>
        <v>480.93</v>
      </c>
      <c r="Z147" s="175">
        <f>IF(S147=2,'A.0_Tablas salariales SC'!$P$90,(IF(S147=6,'A.0_Tablas salariales SC'!$P$91,IF(S147=10,'A.0_Tablas salariales SC'!$P$92,IF(S147=14,'A.0_Tablas salariales SC'!$P$93,IF(S147=18,'A.0_Tablas salariales SC'!$P$94,IF(S147=20,'A.0_Tablas salariales SC'!$P$95,IF(S147=22,'A.0_Tablas salariales SC'!$P$96,IF(S147=24,'A.0_Tablas salariales SC'!$P$97,IF(S147=26,'A.0_Tablas salariales SC'!$P$98,IF(S147=28,'A.0_Tablas salariales SC'!$P$99,0)))))))))))</f>
        <v>502.58</v>
      </c>
      <c r="AA147" s="175">
        <f>IF(T147=2,'A.0_Tablas salariales SC'!$P$117,(IF(T147=6,'A.0_Tablas salariales SC'!$P$118,IF(T147=10,'A.0_Tablas salariales SC'!$P$119,IF(T147=14,'A.0_Tablas salariales SC'!$P$120,IF(T147=18,'A.0_Tablas salariales SC'!$P$121,IF(T147=20,'A.0_Tablas salariales SC'!$P$122,IF(T147=22,'A.0_Tablas salariales SC'!$P$123,IF(T147=24,'A.0_Tablas salariales SC'!$P$124,IF(T147=26,'A.0_Tablas salariales SC'!$P$125,IF(T147=28,'A.0_Tablas salariales SC'!$P$126,0)))))))))))</f>
        <v>527.70000000000005</v>
      </c>
      <c r="AB147" s="175">
        <f>IF(U147=2,'A.0_Tablas salariales SC'!$P$145,(IF(U147=6,'A.0_Tablas salariales SC'!$P$146,IF(U147=10,'A.0_Tablas salariales SC'!$P$147,IF(U147=14,'A.0_Tablas salariales SC'!$P$148,IF(U147=18,'A.0_Tablas salariales SC'!$P$149,IF(U147=20,'A.0_Tablas salariales SC'!$P$150,IF(U147=22,'A.0_Tablas salariales SC'!$P$151,IF(U147=24,'A.0_Tablas salariales SC'!$P$152,IF(U147=26,'A.0_Tablas salariales SC'!$P$153,IF(U147=28,'A.0_Tablas salariales SC'!$P$154,0)))))))))))</f>
        <v>543.53100000000006</v>
      </c>
      <c r="AC147" s="175">
        <f>IF(V147=2,'A.0_Tablas salariales SC'!$P$173,(IF(V147=6,'A.0_Tablas salariales SC'!$P$174,IF(V147=10,'A.0_Tablas salariales SC'!$P$175,IF(V147=14,'A.0_Tablas salariales SC'!$P$176,IF(V147=18,'A.0_Tablas salariales SC'!$P$177,IF(V147=20,'A.0_Tablas salariales SC'!$P$178,IF(V147=22,'A.0_Tablas salariales SC'!$P$179,IF(V147=24,'A.0_Tablas salariales SC'!$P$180,IF(V147=26,'A.0_Tablas salariales SC'!$P$181,IF(V147=28,'A.0_Tablas salariales SC'!$P$182,0)))))))))))</f>
        <v>559.83693000000005</v>
      </c>
    </row>
    <row r="148" spans="1:29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2">
        <f t="shared" si="137"/>
        <v>1900</v>
      </c>
      <c r="G148" s="173">
        <f t="shared" si="107"/>
        <v>2026</v>
      </c>
      <c r="H148" s="173">
        <f t="shared" si="107"/>
        <v>2032</v>
      </c>
      <c r="I148" s="173">
        <f t="shared" si="138"/>
        <v>126</v>
      </c>
      <c r="J148" s="173">
        <f t="shared" si="139"/>
        <v>127</v>
      </c>
      <c r="K148" s="173">
        <f t="shared" si="140"/>
        <v>128</v>
      </c>
      <c r="L148" s="173">
        <f t="shared" si="141"/>
        <v>129</v>
      </c>
      <c r="M148" s="173">
        <f t="shared" si="142"/>
        <v>130</v>
      </c>
      <c r="N148" s="173">
        <f t="shared" si="143"/>
        <v>131</v>
      </c>
      <c r="O148" s="173">
        <f t="shared" si="144"/>
        <v>132</v>
      </c>
      <c r="P148" s="173">
        <f t="shared" si="145"/>
        <v>28</v>
      </c>
      <c r="Q148" s="173">
        <f t="shared" si="146"/>
        <v>28</v>
      </c>
      <c r="R148" s="173">
        <f t="shared" si="147"/>
        <v>28</v>
      </c>
      <c r="S148" s="173">
        <f t="shared" si="148"/>
        <v>28</v>
      </c>
      <c r="T148" s="173">
        <f t="shared" si="149"/>
        <v>28</v>
      </c>
      <c r="U148" s="173">
        <f t="shared" si="150"/>
        <v>28</v>
      </c>
      <c r="V148" s="173">
        <f t="shared" si="151"/>
        <v>28</v>
      </c>
      <c r="W148" s="175">
        <f>IF(P148=2,'A.0_Tablas salariales SC'!$P$9,(IF(P148=6,'A.0_Tablas salariales SC'!$P$10,IF(P148=10,'A.0_Tablas salariales SC'!$P$11,IF(P148=14,'A.0_Tablas salariales SC'!$P$12,IF(P148=18,'A.0_Tablas salariales SC'!$P$13,IF(P148=20,'A.0_Tablas salariales SC'!$P$14,IF(P148=22,'A.0_Tablas salariales SC'!$P$15,IF(P148=24,'A.0_Tablas salariales SC'!$P$16,IF(P148=26,'A.0_Tablas salariales SC'!$P$17,IF(P148=28,'A.0_Tablas salariales SC'!$P$18,0)))))))))))</f>
        <v>446.8</v>
      </c>
      <c r="X148" s="175">
        <f>IF(Q148=2,'A.0_Tablas salariales SC'!$P$36,(IF(Q148=6,'A.0_Tablas salariales SC'!$P$37,IF(Q148=10,'A.0_Tablas salariales SC'!$P$38,IF(Q148=14,'A.0_Tablas salariales SC'!$P$39,IF(Q148=18,'A.0_Tablas salariales SC'!$P$40,IF(Q148=20,'A.0_Tablas salariales SC'!$P$41,IF(Q148=22,'A.0_Tablas salariales SC'!$P$42,IF(Q148=24,'A.0_Tablas salariales SC'!$P$43,IF(Q148=26,'A.0_Tablas salariales SC'!$P$44,IF(Q148=28,'A.0_Tablas salariales SC'!$P$45,0)))))))))))</f>
        <v>462.44</v>
      </c>
      <c r="Y148" s="175">
        <f>IF(R148=2,'A.0_Tablas salariales SC'!$P$63,(IF(R148=6,'A.0_Tablas salariales SC'!$P$64,IF(R148=10,'A.0_Tablas salariales SC'!$P$65,IF(R148=14,'A.0_Tablas salariales SC'!$P$66,IF(R148=18,'A.0_Tablas salariales SC'!$P$67,IF(R148=20,'A.0_Tablas salariales SC'!$P$68,IF(R148=22,'A.0_Tablas salariales SC'!$P$69,IF(R148=24,'A.0_Tablas salariales SC'!$P$70,IF(R148=26,'A.0_Tablas salariales SC'!$P$71,IF(R148=28,'A.0_Tablas salariales SC'!$P$72,0)))))))))))</f>
        <v>480.93</v>
      </c>
      <c r="Z148" s="175">
        <f>IF(S148=2,'A.0_Tablas salariales SC'!$P$90,(IF(S148=6,'A.0_Tablas salariales SC'!$P$91,IF(S148=10,'A.0_Tablas salariales SC'!$P$92,IF(S148=14,'A.0_Tablas salariales SC'!$P$93,IF(S148=18,'A.0_Tablas salariales SC'!$P$94,IF(S148=20,'A.0_Tablas salariales SC'!$P$95,IF(S148=22,'A.0_Tablas salariales SC'!$P$96,IF(S148=24,'A.0_Tablas salariales SC'!$P$97,IF(S148=26,'A.0_Tablas salariales SC'!$P$98,IF(S148=28,'A.0_Tablas salariales SC'!$P$99,0)))))))))))</f>
        <v>502.58</v>
      </c>
      <c r="AA148" s="175">
        <f>IF(T148=2,'A.0_Tablas salariales SC'!$P$117,(IF(T148=6,'A.0_Tablas salariales SC'!$P$118,IF(T148=10,'A.0_Tablas salariales SC'!$P$119,IF(T148=14,'A.0_Tablas salariales SC'!$P$120,IF(T148=18,'A.0_Tablas salariales SC'!$P$121,IF(T148=20,'A.0_Tablas salariales SC'!$P$122,IF(T148=22,'A.0_Tablas salariales SC'!$P$123,IF(T148=24,'A.0_Tablas salariales SC'!$P$124,IF(T148=26,'A.0_Tablas salariales SC'!$P$125,IF(T148=28,'A.0_Tablas salariales SC'!$P$126,0)))))))))))</f>
        <v>527.70000000000005</v>
      </c>
      <c r="AB148" s="175">
        <f>IF(U148=2,'A.0_Tablas salariales SC'!$P$145,(IF(U148=6,'A.0_Tablas salariales SC'!$P$146,IF(U148=10,'A.0_Tablas salariales SC'!$P$147,IF(U148=14,'A.0_Tablas salariales SC'!$P$148,IF(U148=18,'A.0_Tablas salariales SC'!$P$149,IF(U148=20,'A.0_Tablas salariales SC'!$P$150,IF(U148=22,'A.0_Tablas salariales SC'!$P$151,IF(U148=24,'A.0_Tablas salariales SC'!$P$152,IF(U148=26,'A.0_Tablas salariales SC'!$P$153,IF(U148=28,'A.0_Tablas salariales SC'!$P$154,0)))))))))))</f>
        <v>543.53100000000006</v>
      </c>
      <c r="AC148" s="175">
        <f>IF(V148=2,'A.0_Tablas salariales SC'!$P$173,(IF(V148=6,'A.0_Tablas salariales SC'!$P$174,IF(V148=10,'A.0_Tablas salariales SC'!$P$175,IF(V148=14,'A.0_Tablas salariales SC'!$P$176,IF(V148=18,'A.0_Tablas salariales SC'!$P$177,IF(V148=20,'A.0_Tablas salariales SC'!$P$178,IF(V148=22,'A.0_Tablas salariales SC'!$P$179,IF(V148=24,'A.0_Tablas salariales SC'!$P$180,IF(V148=26,'A.0_Tablas salariales SC'!$P$181,IF(V148=28,'A.0_Tablas salariales SC'!$P$182,0)))))))))))</f>
        <v>559.83693000000005</v>
      </c>
    </row>
    <row r="149" spans="1:29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2">
        <f t="shared" si="137"/>
        <v>1900</v>
      </c>
      <c r="G149" s="173">
        <f t="shared" si="107"/>
        <v>2026</v>
      </c>
      <c r="H149" s="173">
        <f t="shared" si="107"/>
        <v>2032</v>
      </c>
      <c r="I149" s="173">
        <f t="shared" si="138"/>
        <v>126</v>
      </c>
      <c r="J149" s="173">
        <f t="shared" si="139"/>
        <v>127</v>
      </c>
      <c r="K149" s="173">
        <f t="shared" si="140"/>
        <v>128</v>
      </c>
      <c r="L149" s="173">
        <f t="shared" si="141"/>
        <v>129</v>
      </c>
      <c r="M149" s="173">
        <f t="shared" si="142"/>
        <v>130</v>
      </c>
      <c r="N149" s="173">
        <f t="shared" si="143"/>
        <v>131</v>
      </c>
      <c r="O149" s="173">
        <f t="shared" si="144"/>
        <v>132</v>
      </c>
      <c r="P149" s="173">
        <f t="shared" si="145"/>
        <v>28</v>
      </c>
      <c r="Q149" s="173">
        <f t="shared" si="146"/>
        <v>28</v>
      </c>
      <c r="R149" s="173">
        <f t="shared" si="147"/>
        <v>28</v>
      </c>
      <c r="S149" s="173">
        <f t="shared" si="148"/>
        <v>28</v>
      </c>
      <c r="T149" s="173">
        <f t="shared" si="149"/>
        <v>28</v>
      </c>
      <c r="U149" s="173">
        <f t="shared" si="150"/>
        <v>28</v>
      </c>
      <c r="V149" s="173">
        <f t="shared" si="151"/>
        <v>28</v>
      </c>
      <c r="W149" s="175">
        <f>IF(P149=2,'A.0_Tablas salariales SC'!$P$9,(IF(P149=6,'A.0_Tablas salariales SC'!$P$10,IF(P149=10,'A.0_Tablas salariales SC'!$P$11,IF(P149=14,'A.0_Tablas salariales SC'!$P$12,IF(P149=18,'A.0_Tablas salariales SC'!$P$13,IF(P149=20,'A.0_Tablas salariales SC'!$P$14,IF(P149=22,'A.0_Tablas salariales SC'!$P$15,IF(P149=24,'A.0_Tablas salariales SC'!$P$16,IF(P149=26,'A.0_Tablas salariales SC'!$P$17,IF(P149=28,'A.0_Tablas salariales SC'!$P$18,0)))))))))))</f>
        <v>446.8</v>
      </c>
      <c r="X149" s="175">
        <f>IF(Q149=2,'A.0_Tablas salariales SC'!$P$36,(IF(Q149=6,'A.0_Tablas salariales SC'!$P$37,IF(Q149=10,'A.0_Tablas salariales SC'!$P$38,IF(Q149=14,'A.0_Tablas salariales SC'!$P$39,IF(Q149=18,'A.0_Tablas salariales SC'!$P$40,IF(Q149=20,'A.0_Tablas salariales SC'!$P$41,IF(Q149=22,'A.0_Tablas salariales SC'!$P$42,IF(Q149=24,'A.0_Tablas salariales SC'!$P$43,IF(Q149=26,'A.0_Tablas salariales SC'!$P$44,IF(Q149=28,'A.0_Tablas salariales SC'!$P$45,0)))))))))))</f>
        <v>462.44</v>
      </c>
      <c r="Y149" s="175">
        <f>IF(R149=2,'A.0_Tablas salariales SC'!$P$63,(IF(R149=6,'A.0_Tablas salariales SC'!$P$64,IF(R149=10,'A.0_Tablas salariales SC'!$P$65,IF(R149=14,'A.0_Tablas salariales SC'!$P$66,IF(R149=18,'A.0_Tablas salariales SC'!$P$67,IF(R149=20,'A.0_Tablas salariales SC'!$P$68,IF(R149=22,'A.0_Tablas salariales SC'!$P$69,IF(R149=24,'A.0_Tablas salariales SC'!$P$70,IF(R149=26,'A.0_Tablas salariales SC'!$P$71,IF(R149=28,'A.0_Tablas salariales SC'!$P$72,0)))))))))))</f>
        <v>480.93</v>
      </c>
      <c r="Z149" s="175">
        <f>IF(S149=2,'A.0_Tablas salariales SC'!$P$90,(IF(S149=6,'A.0_Tablas salariales SC'!$P$91,IF(S149=10,'A.0_Tablas salariales SC'!$P$92,IF(S149=14,'A.0_Tablas salariales SC'!$P$93,IF(S149=18,'A.0_Tablas salariales SC'!$P$94,IF(S149=20,'A.0_Tablas salariales SC'!$P$95,IF(S149=22,'A.0_Tablas salariales SC'!$P$96,IF(S149=24,'A.0_Tablas salariales SC'!$P$97,IF(S149=26,'A.0_Tablas salariales SC'!$P$98,IF(S149=28,'A.0_Tablas salariales SC'!$P$99,0)))))))))))</f>
        <v>502.58</v>
      </c>
      <c r="AA149" s="175">
        <f>IF(T149=2,'A.0_Tablas salariales SC'!$P$117,(IF(T149=6,'A.0_Tablas salariales SC'!$P$118,IF(T149=10,'A.0_Tablas salariales SC'!$P$119,IF(T149=14,'A.0_Tablas salariales SC'!$P$120,IF(T149=18,'A.0_Tablas salariales SC'!$P$121,IF(T149=20,'A.0_Tablas salariales SC'!$P$122,IF(T149=22,'A.0_Tablas salariales SC'!$P$123,IF(T149=24,'A.0_Tablas salariales SC'!$P$124,IF(T149=26,'A.0_Tablas salariales SC'!$P$125,IF(T149=28,'A.0_Tablas salariales SC'!$P$126,0)))))))))))</f>
        <v>527.70000000000005</v>
      </c>
      <c r="AB149" s="175">
        <f>IF(U149=2,'A.0_Tablas salariales SC'!$P$145,(IF(U149=6,'A.0_Tablas salariales SC'!$P$146,IF(U149=10,'A.0_Tablas salariales SC'!$P$147,IF(U149=14,'A.0_Tablas salariales SC'!$P$148,IF(U149=18,'A.0_Tablas salariales SC'!$P$149,IF(U149=20,'A.0_Tablas salariales SC'!$P$150,IF(U149=22,'A.0_Tablas salariales SC'!$P$151,IF(U149=24,'A.0_Tablas salariales SC'!$P$152,IF(U149=26,'A.0_Tablas salariales SC'!$P$153,IF(U149=28,'A.0_Tablas salariales SC'!$P$154,0)))))))))))</f>
        <v>543.53100000000006</v>
      </c>
      <c r="AC149" s="175">
        <f>IF(V149=2,'A.0_Tablas salariales SC'!$P$173,(IF(V149=6,'A.0_Tablas salariales SC'!$P$174,IF(V149=10,'A.0_Tablas salariales SC'!$P$175,IF(V149=14,'A.0_Tablas salariales SC'!$P$176,IF(V149=18,'A.0_Tablas salariales SC'!$P$177,IF(V149=20,'A.0_Tablas salariales SC'!$P$178,IF(V149=22,'A.0_Tablas salariales SC'!$P$179,IF(V149=24,'A.0_Tablas salariales SC'!$P$180,IF(V149=26,'A.0_Tablas salariales SC'!$P$181,IF(V149=28,'A.0_Tablas salariales SC'!$P$182,0)))))))))))</f>
        <v>559.83693000000005</v>
      </c>
    </row>
    <row r="150" spans="1:29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2">
        <f t="shared" si="137"/>
        <v>1900</v>
      </c>
      <c r="G150" s="173">
        <f t="shared" si="107"/>
        <v>2026</v>
      </c>
      <c r="H150" s="173">
        <f t="shared" si="107"/>
        <v>2032</v>
      </c>
      <c r="I150" s="173">
        <f t="shared" si="138"/>
        <v>126</v>
      </c>
      <c r="J150" s="173">
        <f t="shared" si="139"/>
        <v>127</v>
      </c>
      <c r="K150" s="173">
        <f t="shared" si="140"/>
        <v>128</v>
      </c>
      <c r="L150" s="173">
        <f t="shared" si="141"/>
        <v>129</v>
      </c>
      <c r="M150" s="173">
        <f t="shared" si="142"/>
        <v>130</v>
      </c>
      <c r="N150" s="173">
        <f t="shared" si="143"/>
        <v>131</v>
      </c>
      <c r="O150" s="173">
        <f t="shared" si="144"/>
        <v>132</v>
      </c>
      <c r="P150" s="173">
        <f t="shared" si="145"/>
        <v>28</v>
      </c>
      <c r="Q150" s="173">
        <f t="shared" si="146"/>
        <v>28</v>
      </c>
      <c r="R150" s="173">
        <f t="shared" si="147"/>
        <v>28</v>
      </c>
      <c r="S150" s="173">
        <f t="shared" si="148"/>
        <v>28</v>
      </c>
      <c r="T150" s="173">
        <f t="shared" si="149"/>
        <v>28</v>
      </c>
      <c r="U150" s="173">
        <f t="shared" si="150"/>
        <v>28</v>
      </c>
      <c r="V150" s="173">
        <f t="shared" si="151"/>
        <v>28</v>
      </c>
      <c r="W150" s="175">
        <f>IF(P150=2,'A.0_Tablas salariales SC'!$P$9,(IF(P150=6,'A.0_Tablas salariales SC'!$P$10,IF(P150=10,'A.0_Tablas salariales SC'!$P$11,IF(P150=14,'A.0_Tablas salariales SC'!$P$12,IF(P150=18,'A.0_Tablas salariales SC'!$P$13,IF(P150=20,'A.0_Tablas salariales SC'!$P$14,IF(P150=22,'A.0_Tablas salariales SC'!$P$15,IF(P150=24,'A.0_Tablas salariales SC'!$P$16,IF(P150=26,'A.0_Tablas salariales SC'!$P$17,IF(P150=28,'A.0_Tablas salariales SC'!$P$18,0)))))))))))</f>
        <v>446.8</v>
      </c>
      <c r="X150" s="175">
        <f>IF(Q150=2,'A.0_Tablas salariales SC'!$P$36,(IF(Q150=6,'A.0_Tablas salariales SC'!$P$37,IF(Q150=10,'A.0_Tablas salariales SC'!$P$38,IF(Q150=14,'A.0_Tablas salariales SC'!$P$39,IF(Q150=18,'A.0_Tablas salariales SC'!$P$40,IF(Q150=20,'A.0_Tablas salariales SC'!$P$41,IF(Q150=22,'A.0_Tablas salariales SC'!$P$42,IF(Q150=24,'A.0_Tablas salariales SC'!$P$43,IF(Q150=26,'A.0_Tablas salariales SC'!$P$44,IF(Q150=28,'A.0_Tablas salariales SC'!$P$45,0)))))))))))</f>
        <v>462.44</v>
      </c>
      <c r="Y150" s="175">
        <f>IF(R150=2,'A.0_Tablas salariales SC'!$P$63,(IF(R150=6,'A.0_Tablas salariales SC'!$P$64,IF(R150=10,'A.0_Tablas salariales SC'!$P$65,IF(R150=14,'A.0_Tablas salariales SC'!$P$66,IF(R150=18,'A.0_Tablas salariales SC'!$P$67,IF(R150=20,'A.0_Tablas salariales SC'!$P$68,IF(R150=22,'A.0_Tablas salariales SC'!$P$69,IF(R150=24,'A.0_Tablas salariales SC'!$P$70,IF(R150=26,'A.0_Tablas salariales SC'!$P$71,IF(R150=28,'A.0_Tablas salariales SC'!$P$72,0)))))))))))</f>
        <v>480.93</v>
      </c>
      <c r="Z150" s="175">
        <f>IF(S150=2,'A.0_Tablas salariales SC'!$P$90,(IF(S150=6,'A.0_Tablas salariales SC'!$P$91,IF(S150=10,'A.0_Tablas salariales SC'!$P$92,IF(S150=14,'A.0_Tablas salariales SC'!$P$93,IF(S150=18,'A.0_Tablas salariales SC'!$P$94,IF(S150=20,'A.0_Tablas salariales SC'!$P$95,IF(S150=22,'A.0_Tablas salariales SC'!$P$96,IF(S150=24,'A.0_Tablas salariales SC'!$P$97,IF(S150=26,'A.0_Tablas salariales SC'!$P$98,IF(S150=28,'A.0_Tablas salariales SC'!$P$99,0)))))))))))</f>
        <v>502.58</v>
      </c>
      <c r="AA150" s="175">
        <f>IF(T150=2,'A.0_Tablas salariales SC'!$P$117,(IF(T150=6,'A.0_Tablas salariales SC'!$P$118,IF(T150=10,'A.0_Tablas salariales SC'!$P$119,IF(T150=14,'A.0_Tablas salariales SC'!$P$120,IF(T150=18,'A.0_Tablas salariales SC'!$P$121,IF(T150=20,'A.0_Tablas salariales SC'!$P$122,IF(T150=22,'A.0_Tablas salariales SC'!$P$123,IF(T150=24,'A.0_Tablas salariales SC'!$P$124,IF(T150=26,'A.0_Tablas salariales SC'!$P$125,IF(T150=28,'A.0_Tablas salariales SC'!$P$126,0)))))))))))</f>
        <v>527.70000000000005</v>
      </c>
      <c r="AB150" s="175">
        <f>IF(U150=2,'A.0_Tablas salariales SC'!$P$145,(IF(U150=6,'A.0_Tablas salariales SC'!$P$146,IF(U150=10,'A.0_Tablas salariales SC'!$P$147,IF(U150=14,'A.0_Tablas salariales SC'!$P$148,IF(U150=18,'A.0_Tablas salariales SC'!$P$149,IF(U150=20,'A.0_Tablas salariales SC'!$P$150,IF(U150=22,'A.0_Tablas salariales SC'!$P$151,IF(U150=24,'A.0_Tablas salariales SC'!$P$152,IF(U150=26,'A.0_Tablas salariales SC'!$P$153,IF(U150=28,'A.0_Tablas salariales SC'!$P$154,0)))))))))))</f>
        <v>543.53100000000006</v>
      </c>
      <c r="AC150" s="175">
        <f>IF(V150=2,'A.0_Tablas salariales SC'!$P$173,(IF(V150=6,'A.0_Tablas salariales SC'!$P$174,IF(V150=10,'A.0_Tablas salariales SC'!$P$175,IF(V150=14,'A.0_Tablas salariales SC'!$P$176,IF(V150=18,'A.0_Tablas salariales SC'!$P$177,IF(V150=20,'A.0_Tablas salariales SC'!$P$178,IF(V150=22,'A.0_Tablas salariales SC'!$P$179,IF(V150=24,'A.0_Tablas salariales SC'!$P$180,IF(V150=26,'A.0_Tablas salariales SC'!$P$181,IF(V150=28,'A.0_Tablas salariales SC'!$P$182,0)))))))))))</f>
        <v>559.83693000000005</v>
      </c>
    </row>
    <row r="151" spans="1:29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2">
        <f t="shared" si="106"/>
        <v>1900</v>
      </c>
      <c r="G151" s="173">
        <f t="shared" si="107"/>
        <v>2026</v>
      </c>
      <c r="H151" s="173">
        <f t="shared" si="107"/>
        <v>2032</v>
      </c>
      <c r="I151" s="173">
        <f t="shared" si="108"/>
        <v>126</v>
      </c>
      <c r="J151" s="173">
        <f t="shared" si="109"/>
        <v>127</v>
      </c>
      <c r="K151" s="173">
        <f t="shared" si="110"/>
        <v>128</v>
      </c>
      <c r="L151" s="173">
        <f t="shared" si="111"/>
        <v>129</v>
      </c>
      <c r="M151" s="173">
        <f t="shared" si="112"/>
        <v>130</v>
      </c>
      <c r="N151" s="173">
        <f t="shared" si="113"/>
        <v>131</v>
      </c>
      <c r="O151" s="173">
        <f t="shared" si="114"/>
        <v>132</v>
      </c>
      <c r="P151" s="173">
        <f t="shared" si="115"/>
        <v>28</v>
      </c>
      <c r="Q151" s="173">
        <f t="shared" si="116"/>
        <v>28</v>
      </c>
      <c r="R151" s="173">
        <f t="shared" si="117"/>
        <v>28</v>
      </c>
      <c r="S151" s="173">
        <f t="shared" si="118"/>
        <v>28</v>
      </c>
      <c r="T151" s="173">
        <f t="shared" si="119"/>
        <v>28</v>
      </c>
      <c r="U151" s="173">
        <f t="shared" si="120"/>
        <v>28</v>
      </c>
      <c r="V151" s="173">
        <f t="shared" si="121"/>
        <v>28</v>
      </c>
      <c r="W151" s="175">
        <f>IF(P151=2,'A.0_Tablas salariales SC'!$P$9,(IF(P151=6,'A.0_Tablas salariales SC'!$P$10,IF(P151=10,'A.0_Tablas salariales SC'!$P$11,IF(P151=14,'A.0_Tablas salariales SC'!$P$12,IF(P151=18,'A.0_Tablas salariales SC'!$P$13,IF(P151=20,'A.0_Tablas salariales SC'!$P$14,IF(P151=22,'A.0_Tablas salariales SC'!$P$15,IF(P151=24,'A.0_Tablas salariales SC'!$P$16,IF(P151=26,'A.0_Tablas salariales SC'!$P$17,IF(P151=28,'A.0_Tablas salariales SC'!$P$18,0)))))))))))</f>
        <v>446.8</v>
      </c>
      <c r="X151" s="175">
        <f>IF(Q151=2,'A.0_Tablas salariales SC'!$P$36,(IF(Q151=6,'A.0_Tablas salariales SC'!$P$37,IF(Q151=10,'A.0_Tablas salariales SC'!$P$38,IF(Q151=14,'A.0_Tablas salariales SC'!$P$39,IF(Q151=18,'A.0_Tablas salariales SC'!$P$40,IF(Q151=20,'A.0_Tablas salariales SC'!$P$41,IF(Q151=22,'A.0_Tablas salariales SC'!$P$42,IF(Q151=24,'A.0_Tablas salariales SC'!$P$43,IF(Q151=26,'A.0_Tablas salariales SC'!$P$44,IF(Q151=28,'A.0_Tablas salariales SC'!$P$45,0)))))))))))</f>
        <v>462.44</v>
      </c>
      <c r="Y151" s="175">
        <f>IF(R151=2,'A.0_Tablas salariales SC'!$P$63,(IF(R151=6,'A.0_Tablas salariales SC'!$P$64,IF(R151=10,'A.0_Tablas salariales SC'!$P$65,IF(R151=14,'A.0_Tablas salariales SC'!$P$66,IF(R151=18,'A.0_Tablas salariales SC'!$P$67,IF(R151=20,'A.0_Tablas salariales SC'!$P$68,IF(R151=22,'A.0_Tablas salariales SC'!$P$69,IF(R151=24,'A.0_Tablas salariales SC'!$P$70,IF(R151=26,'A.0_Tablas salariales SC'!$P$71,IF(R151=28,'A.0_Tablas salariales SC'!$P$72,0)))))))))))</f>
        <v>480.93</v>
      </c>
      <c r="Z151" s="175">
        <f>IF(S151=2,'A.0_Tablas salariales SC'!$P$90,(IF(S151=6,'A.0_Tablas salariales SC'!$P$91,IF(S151=10,'A.0_Tablas salariales SC'!$P$92,IF(S151=14,'A.0_Tablas salariales SC'!$P$93,IF(S151=18,'A.0_Tablas salariales SC'!$P$94,IF(S151=20,'A.0_Tablas salariales SC'!$P$95,IF(S151=22,'A.0_Tablas salariales SC'!$P$96,IF(S151=24,'A.0_Tablas salariales SC'!$P$97,IF(S151=26,'A.0_Tablas salariales SC'!$P$98,IF(S151=28,'A.0_Tablas salariales SC'!$P$99,0)))))))))))</f>
        <v>502.58</v>
      </c>
      <c r="AA151" s="175">
        <f>IF(T151=2,'A.0_Tablas salariales SC'!$P$117,(IF(T151=6,'A.0_Tablas salariales SC'!$P$118,IF(T151=10,'A.0_Tablas salariales SC'!$P$119,IF(T151=14,'A.0_Tablas salariales SC'!$P$120,IF(T151=18,'A.0_Tablas salariales SC'!$P$121,IF(T151=20,'A.0_Tablas salariales SC'!$P$122,IF(T151=22,'A.0_Tablas salariales SC'!$P$123,IF(T151=24,'A.0_Tablas salariales SC'!$P$124,IF(T151=26,'A.0_Tablas salariales SC'!$P$125,IF(T151=28,'A.0_Tablas salariales SC'!$P$126,0)))))))))))</f>
        <v>527.70000000000005</v>
      </c>
      <c r="AB151" s="175">
        <f>IF(U151=2,'A.0_Tablas salariales SC'!$P$145,(IF(U151=6,'A.0_Tablas salariales SC'!$P$146,IF(U151=10,'A.0_Tablas salariales SC'!$P$147,IF(U151=14,'A.0_Tablas salariales SC'!$P$148,IF(U151=18,'A.0_Tablas salariales SC'!$P$149,IF(U151=20,'A.0_Tablas salariales SC'!$P$150,IF(U151=22,'A.0_Tablas salariales SC'!$P$151,IF(U151=24,'A.0_Tablas salariales SC'!$P$152,IF(U151=26,'A.0_Tablas salariales SC'!$P$153,IF(U151=28,'A.0_Tablas salariales SC'!$P$154,0)))))))))))</f>
        <v>543.53100000000006</v>
      </c>
      <c r="AC151" s="175">
        <f>IF(V151=2,'A.0_Tablas salariales SC'!$P$173,(IF(V151=6,'A.0_Tablas salariales SC'!$P$174,IF(V151=10,'A.0_Tablas salariales SC'!$P$175,IF(V151=14,'A.0_Tablas salariales SC'!$P$176,IF(V151=18,'A.0_Tablas salariales SC'!$P$177,IF(V151=20,'A.0_Tablas salariales SC'!$P$178,IF(V151=22,'A.0_Tablas salariales SC'!$P$179,IF(V151=24,'A.0_Tablas salariales SC'!$P$180,IF(V151=26,'A.0_Tablas salariales SC'!$P$181,IF(V151=28,'A.0_Tablas salariales SC'!$P$182,0)))))))))))</f>
        <v>559.83693000000005</v>
      </c>
    </row>
    <row r="152" spans="1:2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416"/>
      <c r="X152" s="416"/>
      <c r="Y152" s="416"/>
      <c r="Z152" s="416"/>
      <c r="AA152" s="416"/>
      <c r="AB152" s="416"/>
      <c r="AC152" s="416"/>
    </row>
    <row r="153" spans="1:29">
      <c r="A153" s="508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2">
        <f>YEAR(E153)</f>
        <v>1900</v>
      </c>
      <c r="G153" s="173">
        <f t="shared" ref="G153:H162" si="152">G$3</f>
        <v>2026</v>
      </c>
      <c r="H153" s="173">
        <f t="shared" si="152"/>
        <v>2032</v>
      </c>
      <c r="I153" s="173">
        <f t="shared" ref="I153:I162" si="153">($I$3-F153)*$I$4</f>
        <v>126</v>
      </c>
      <c r="J153" s="173">
        <f t="shared" ref="J153:J162" si="154">($J$3-F153)*$J$4</f>
        <v>127</v>
      </c>
      <c r="K153" s="173">
        <f t="shared" ref="K153:K162" si="155">($K$3-F153)*$K$4</f>
        <v>128</v>
      </c>
      <c r="L153" s="173">
        <f t="shared" ref="L153:L162" si="156">($L$3-F153)*$L$4</f>
        <v>129</v>
      </c>
      <c r="M153" s="173">
        <f t="shared" ref="M153:M162" si="157">($M$3-F153)*$M$4</f>
        <v>130</v>
      </c>
      <c r="N153" s="173">
        <f t="shared" ref="N153:N162" si="158">($N$3-F153)*$N$4</f>
        <v>131</v>
      </c>
      <c r="O153" s="173">
        <f t="shared" ref="O153:O162" si="159">($O$3-F153)*$O$4</f>
        <v>132</v>
      </c>
      <c r="P153" s="173">
        <f t="shared" ref="P153:P162" si="160">IF(I153&gt;=28,28,IF(I153&gt;=26,26,(IF(I153&gt;=24,24,IF(I153&gt;=22,22,IF(I153&gt;=20,20,IF(I153&gt;=18,18,IF(I153&gt;=14,14,(IF(I153&gt;=10,10,(IF(I153&gt;=6,6,(IF(I153&gt;=2,2,0))))))))))))))</f>
        <v>28</v>
      </c>
      <c r="Q153" s="173">
        <f t="shared" ref="Q153:Q162" si="161">IF(J153&gt;=28,28,IF(J153&gt;=26,26,(IF(J153&gt;=24,24,IF(J153&gt;=22,22,IF(J153&gt;=20,20,IF(J153&gt;=18,18,IF(J153&gt;=14,14,(IF(J153&gt;=10,10,(IF(J153&gt;=6,6,(IF(J153&gt;=2,2,0))))))))))))))</f>
        <v>28</v>
      </c>
      <c r="R153" s="173">
        <f t="shared" ref="R153:R162" si="162">IF(K153&gt;=28,28,IF(K153&gt;=26,26,(IF(K153&gt;=24,24,IF(K153&gt;=22,22,IF(K153&gt;=20,20,IF(K153&gt;=18,18,IF(K153&gt;=14,14,(IF(K153&gt;=10,10,(IF(K153&gt;=6,6,(IF(K153&gt;=2,2,0))))))))))))))</f>
        <v>28</v>
      </c>
      <c r="S153" s="173">
        <f t="shared" ref="S153:S162" si="163">IF(L153&gt;=28,28,IF(L153&gt;=26,26,(IF(L153&gt;=24,24,IF(L153&gt;=22,22,IF(L153&gt;=20,20,IF(L153&gt;=18,18,IF(L153&gt;=14,14,(IF(L153&gt;=10,10,(IF(L153&gt;=6,6,(IF(L153&gt;=2,2,0))))))))))))))</f>
        <v>28</v>
      </c>
      <c r="T153" s="173">
        <f t="shared" ref="T153:T162" si="164">IF(M153&gt;=28,28,IF(M153&gt;=26,26,(IF(M153&gt;=24,24,IF(M153&gt;=22,22,IF(M153&gt;=20,20,IF(M153&gt;=18,18,IF(M153&gt;=14,14,(IF(M153&gt;=10,10,(IF(M153&gt;=6,6,(IF(M153&gt;=2,2,0))))))))))))))</f>
        <v>28</v>
      </c>
      <c r="U153" s="173">
        <f t="shared" ref="U153:U162" si="165">IF(N153&gt;=28,28,IF(N153&gt;=26,26,(IF(N153&gt;=24,24,IF(N153&gt;=22,22,IF(N153&gt;=20,20,IF(N153&gt;=18,18,IF(N153&gt;=14,14,(IF(N153&gt;=10,10,(IF(N153&gt;=6,6,(IF(N153&gt;=2,2,0))))))))))))))</f>
        <v>28</v>
      </c>
      <c r="V153" s="173">
        <f t="shared" ref="V153:V162" si="166">IF(O153&gt;=28,28,IF(O153&gt;=26,26,(IF(O153&gt;=24,24,IF(O153&gt;=22,22,IF(O153&gt;=20,20,IF(O153&gt;=18,18,IF(O153&gt;=14,14,(IF(O153&gt;=10,10,(IF(O153&gt;=6,6,(IF(O153&gt;=2,2,0))))))))))))))</f>
        <v>28</v>
      </c>
      <c r="W153" s="175">
        <f>IF(P153=2,'A.0_Tablas salariales SC'!$P$9,(IF(P153=6,'A.0_Tablas salariales SC'!$P$10,IF(P153=10,'A.0_Tablas salariales SC'!$P$11,IF(P153=14,'A.0_Tablas salariales SC'!$P$12,IF(P153=18,'A.0_Tablas salariales SC'!$P$13,IF(P153=20,'A.0_Tablas salariales SC'!$P$14,IF(P153=22,'A.0_Tablas salariales SC'!$P$15,IF(P153=24,'A.0_Tablas salariales SC'!$P$16,IF(P153=26,'A.0_Tablas salariales SC'!$P$17,IF(P153=28,'A.0_Tablas salariales SC'!$P$18,0)))))))))))</f>
        <v>446.8</v>
      </c>
      <c r="X153" s="175">
        <f>IF(Q153=2,'A.0_Tablas salariales SC'!$P$36,(IF(Q153=6,'A.0_Tablas salariales SC'!$P$37,IF(Q153=10,'A.0_Tablas salariales SC'!$P$38,IF(Q153=14,'A.0_Tablas salariales SC'!$P$39,IF(Q153=18,'A.0_Tablas salariales SC'!$P$40,IF(Q153=20,'A.0_Tablas salariales SC'!$P$41,IF(Q153=22,'A.0_Tablas salariales SC'!$P$42,IF(Q153=24,'A.0_Tablas salariales SC'!$P$43,IF(Q153=26,'A.0_Tablas salariales SC'!$P$44,IF(Q153=28,'A.0_Tablas salariales SC'!$P$45,0)))))))))))</f>
        <v>462.44</v>
      </c>
      <c r="Y153" s="175">
        <f>IF(R153=2,'A.0_Tablas salariales SC'!$P$63,(IF(R153=6,'A.0_Tablas salariales SC'!$P$64,IF(R153=10,'A.0_Tablas salariales SC'!$P$65,IF(R153=14,'A.0_Tablas salariales SC'!$P$66,IF(R153=18,'A.0_Tablas salariales SC'!$P$67,IF(R153=20,'A.0_Tablas salariales SC'!$P$68,IF(R153=22,'A.0_Tablas salariales SC'!$P$69,IF(R153=24,'A.0_Tablas salariales SC'!$P$70,IF(R153=26,'A.0_Tablas salariales SC'!$P$71,IF(R153=28,'A.0_Tablas salariales SC'!$P$72,0)))))))))))</f>
        <v>480.93</v>
      </c>
      <c r="Z153" s="175">
        <f>IF(S153=2,'A.0_Tablas salariales SC'!$P$90,(IF(S153=6,'A.0_Tablas salariales SC'!$P$91,IF(S153=10,'A.0_Tablas salariales SC'!$P$92,IF(S153=14,'A.0_Tablas salariales SC'!$P$93,IF(S153=18,'A.0_Tablas salariales SC'!$P$94,IF(S153=20,'A.0_Tablas salariales SC'!$P$95,IF(S153=22,'A.0_Tablas salariales SC'!$P$96,IF(S153=24,'A.0_Tablas salariales SC'!$P$97,IF(S153=26,'A.0_Tablas salariales SC'!$P$98,IF(S153=28,'A.0_Tablas salariales SC'!$P$99,0)))))))))))</f>
        <v>502.58</v>
      </c>
      <c r="AA153" s="175">
        <f>IF(T153=2,'A.0_Tablas salariales SC'!$P$117,(IF(T153=6,'A.0_Tablas salariales SC'!$P$118,IF(T153=10,'A.0_Tablas salariales SC'!$P$119,IF(T153=14,'A.0_Tablas salariales SC'!$P$120,IF(T153=18,'A.0_Tablas salariales SC'!$P$121,IF(T153=20,'A.0_Tablas salariales SC'!$P$122,IF(T153=22,'A.0_Tablas salariales SC'!$P$123,IF(T153=24,'A.0_Tablas salariales SC'!$P$124,IF(T153=26,'A.0_Tablas salariales SC'!$P$125,IF(T153=28,'A.0_Tablas salariales SC'!$P$126,0)))))))))))</f>
        <v>527.70000000000005</v>
      </c>
      <c r="AB153" s="175">
        <f>IF(U153=2,'A.0_Tablas salariales SC'!$P$145,(IF(U153=6,'A.0_Tablas salariales SC'!$P$146,IF(U153=10,'A.0_Tablas salariales SC'!$P$147,IF(U153=14,'A.0_Tablas salariales SC'!$P$148,IF(U153=18,'A.0_Tablas salariales SC'!$P$149,IF(U153=20,'A.0_Tablas salariales SC'!$P$150,IF(U153=22,'A.0_Tablas salariales SC'!$P$151,IF(U153=24,'A.0_Tablas salariales SC'!$P$152,IF(U153=26,'A.0_Tablas salariales SC'!$P$153,IF(U153=28,'A.0_Tablas salariales SC'!$P$154,0)))))))))))</f>
        <v>543.53100000000006</v>
      </c>
      <c r="AC153" s="175">
        <f>IF(V153=2,'A.0_Tablas salariales SC'!$P$173,(IF(V153=6,'A.0_Tablas salariales SC'!$P$174,IF(V153=10,'A.0_Tablas salariales SC'!$P$175,IF(V153=14,'A.0_Tablas salariales SC'!$P$176,IF(V153=18,'A.0_Tablas salariales SC'!$P$177,IF(V153=20,'A.0_Tablas salariales SC'!$P$178,IF(V153=22,'A.0_Tablas salariales SC'!$P$179,IF(V153=24,'A.0_Tablas salariales SC'!$P$180,IF(V153=26,'A.0_Tablas salariales SC'!$P$181,IF(V153=28,'A.0_Tablas salariales SC'!$P$182,0)))))))))))</f>
        <v>559.83693000000005</v>
      </c>
    </row>
    <row r="154" spans="1:29">
      <c r="A154" s="508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2">
        <f t="shared" ref="F154:F161" si="167">YEAR(E154)</f>
        <v>1900</v>
      </c>
      <c r="G154" s="173">
        <f t="shared" si="152"/>
        <v>2026</v>
      </c>
      <c r="H154" s="173">
        <f t="shared" si="152"/>
        <v>2032</v>
      </c>
      <c r="I154" s="173">
        <f t="shared" ref="I154:I161" si="168">($I$3-F154)*$I$4</f>
        <v>126</v>
      </c>
      <c r="J154" s="173">
        <f t="shared" ref="J154:J161" si="169">($J$3-F154)*$J$4</f>
        <v>127</v>
      </c>
      <c r="K154" s="173">
        <f t="shared" ref="K154:K161" si="170">($K$3-F154)*$K$4</f>
        <v>128</v>
      </c>
      <c r="L154" s="173">
        <f t="shared" ref="L154:L161" si="171">($L$3-F154)*$L$4</f>
        <v>129</v>
      </c>
      <c r="M154" s="173">
        <f t="shared" ref="M154:M161" si="172">($M$3-F154)*$M$4</f>
        <v>130</v>
      </c>
      <c r="N154" s="173">
        <f t="shared" ref="N154:N161" si="173">($N$3-F154)*$N$4</f>
        <v>131</v>
      </c>
      <c r="O154" s="173">
        <f t="shared" ref="O154:O161" si="174">($O$3-F154)*$O$4</f>
        <v>132</v>
      </c>
      <c r="P154" s="173">
        <f t="shared" ref="P154:P161" si="175">IF(I154&gt;=28,28,IF(I154&gt;=26,26,(IF(I154&gt;=24,24,IF(I154&gt;=22,22,IF(I154&gt;=20,20,IF(I154&gt;=18,18,IF(I154&gt;=14,14,(IF(I154&gt;=10,10,(IF(I154&gt;=6,6,(IF(I154&gt;=2,2,0))))))))))))))</f>
        <v>28</v>
      </c>
      <c r="Q154" s="173">
        <f t="shared" ref="Q154:Q161" si="176">IF(J154&gt;=28,28,IF(J154&gt;=26,26,(IF(J154&gt;=24,24,IF(J154&gt;=22,22,IF(J154&gt;=20,20,IF(J154&gt;=18,18,IF(J154&gt;=14,14,(IF(J154&gt;=10,10,(IF(J154&gt;=6,6,(IF(J154&gt;=2,2,0))))))))))))))</f>
        <v>28</v>
      </c>
      <c r="R154" s="173">
        <f t="shared" ref="R154:R161" si="177">IF(K154&gt;=28,28,IF(K154&gt;=26,26,(IF(K154&gt;=24,24,IF(K154&gt;=22,22,IF(K154&gt;=20,20,IF(K154&gt;=18,18,IF(K154&gt;=14,14,(IF(K154&gt;=10,10,(IF(K154&gt;=6,6,(IF(K154&gt;=2,2,0))))))))))))))</f>
        <v>28</v>
      </c>
      <c r="S154" s="173">
        <f t="shared" ref="S154:S161" si="178">IF(L154&gt;=28,28,IF(L154&gt;=26,26,(IF(L154&gt;=24,24,IF(L154&gt;=22,22,IF(L154&gt;=20,20,IF(L154&gt;=18,18,IF(L154&gt;=14,14,(IF(L154&gt;=10,10,(IF(L154&gt;=6,6,(IF(L154&gt;=2,2,0))))))))))))))</f>
        <v>28</v>
      </c>
      <c r="T154" s="173">
        <f t="shared" ref="T154:T161" si="179">IF(M154&gt;=28,28,IF(M154&gt;=26,26,(IF(M154&gt;=24,24,IF(M154&gt;=22,22,IF(M154&gt;=20,20,IF(M154&gt;=18,18,IF(M154&gt;=14,14,(IF(M154&gt;=10,10,(IF(M154&gt;=6,6,(IF(M154&gt;=2,2,0))))))))))))))</f>
        <v>28</v>
      </c>
      <c r="U154" s="173">
        <f t="shared" ref="U154:U161" si="180">IF(N154&gt;=28,28,IF(N154&gt;=26,26,(IF(N154&gt;=24,24,IF(N154&gt;=22,22,IF(N154&gt;=20,20,IF(N154&gt;=18,18,IF(N154&gt;=14,14,(IF(N154&gt;=10,10,(IF(N154&gt;=6,6,(IF(N154&gt;=2,2,0))))))))))))))</f>
        <v>28</v>
      </c>
      <c r="V154" s="173">
        <f t="shared" ref="V154:V161" si="181">IF(O154&gt;=28,28,IF(O154&gt;=26,26,(IF(O154&gt;=24,24,IF(O154&gt;=22,22,IF(O154&gt;=20,20,IF(O154&gt;=18,18,IF(O154&gt;=14,14,(IF(O154&gt;=10,10,(IF(O154&gt;=6,6,(IF(O154&gt;=2,2,0))))))))))))))</f>
        <v>28</v>
      </c>
      <c r="W154" s="175">
        <f>IF(P154=2,'A.0_Tablas salariales SC'!$P$9,(IF(P154=6,'A.0_Tablas salariales SC'!$P$10,IF(P154=10,'A.0_Tablas salariales SC'!$P$11,IF(P154=14,'A.0_Tablas salariales SC'!$P$12,IF(P154=18,'A.0_Tablas salariales SC'!$P$13,IF(P154=20,'A.0_Tablas salariales SC'!$P$14,IF(P154=22,'A.0_Tablas salariales SC'!$P$15,IF(P154=24,'A.0_Tablas salariales SC'!$P$16,IF(P154=26,'A.0_Tablas salariales SC'!$P$17,IF(P154=28,'A.0_Tablas salariales SC'!$P$18,0)))))))))))</f>
        <v>446.8</v>
      </c>
      <c r="X154" s="175">
        <f>IF(Q154=2,'A.0_Tablas salariales SC'!$P$36,(IF(Q154=6,'A.0_Tablas salariales SC'!$P$37,IF(Q154=10,'A.0_Tablas salariales SC'!$P$38,IF(Q154=14,'A.0_Tablas salariales SC'!$P$39,IF(Q154=18,'A.0_Tablas salariales SC'!$P$40,IF(Q154=20,'A.0_Tablas salariales SC'!$P$41,IF(Q154=22,'A.0_Tablas salariales SC'!$P$42,IF(Q154=24,'A.0_Tablas salariales SC'!$P$43,IF(Q154=26,'A.0_Tablas salariales SC'!$P$44,IF(Q154=28,'A.0_Tablas salariales SC'!$P$45,0)))))))))))</f>
        <v>462.44</v>
      </c>
      <c r="Y154" s="175">
        <f>IF(R154=2,'A.0_Tablas salariales SC'!$P$63,(IF(R154=6,'A.0_Tablas salariales SC'!$P$64,IF(R154=10,'A.0_Tablas salariales SC'!$P$65,IF(R154=14,'A.0_Tablas salariales SC'!$P$66,IF(R154=18,'A.0_Tablas salariales SC'!$P$67,IF(R154=20,'A.0_Tablas salariales SC'!$P$68,IF(R154=22,'A.0_Tablas salariales SC'!$P$69,IF(R154=24,'A.0_Tablas salariales SC'!$P$70,IF(R154=26,'A.0_Tablas salariales SC'!$P$71,IF(R154=28,'A.0_Tablas salariales SC'!$P$72,0)))))))))))</f>
        <v>480.93</v>
      </c>
      <c r="Z154" s="175">
        <f>IF(S154=2,'A.0_Tablas salariales SC'!$P$90,(IF(S154=6,'A.0_Tablas salariales SC'!$P$91,IF(S154=10,'A.0_Tablas salariales SC'!$P$92,IF(S154=14,'A.0_Tablas salariales SC'!$P$93,IF(S154=18,'A.0_Tablas salariales SC'!$P$94,IF(S154=20,'A.0_Tablas salariales SC'!$P$95,IF(S154=22,'A.0_Tablas salariales SC'!$P$96,IF(S154=24,'A.0_Tablas salariales SC'!$P$97,IF(S154=26,'A.0_Tablas salariales SC'!$P$98,IF(S154=28,'A.0_Tablas salariales SC'!$P$99,0)))))))))))</f>
        <v>502.58</v>
      </c>
      <c r="AA154" s="175">
        <f>IF(T154=2,'A.0_Tablas salariales SC'!$P$117,(IF(T154=6,'A.0_Tablas salariales SC'!$P$118,IF(T154=10,'A.0_Tablas salariales SC'!$P$119,IF(T154=14,'A.0_Tablas salariales SC'!$P$120,IF(T154=18,'A.0_Tablas salariales SC'!$P$121,IF(T154=20,'A.0_Tablas salariales SC'!$P$122,IF(T154=22,'A.0_Tablas salariales SC'!$P$123,IF(T154=24,'A.0_Tablas salariales SC'!$P$124,IF(T154=26,'A.0_Tablas salariales SC'!$P$125,IF(T154=28,'A.0_Tablas salariales SC'!$P$126,0)))))))))))</f>
        <v>527.70000000000005</v>
      </c>
      <c r="AB154" s="175">
        <f>IF(U154=2,'A.0_Tablas salariales SC'!$P$145,(IF(U154=6,'A.0_Tablas salariales SC'!$P$146,IF(U154=10,'A.0_Tablas salariales SC'!$P$147,IF(U154=14,'A.0_Tablas salariales SC'!$P$148,IF(U154=18,'A.0_Tablas salariales SC'!$P$149,IF(U154=20,'A.0_Tablas salariales SC'!$P$150,IF(U154=22,'A.0_Tablas salariales SC'!$P$151,IF(U154=24,'A.0_Tablas salariales SC'!$P$152,IF(U154=26,'A.0_Tablas salariales SC'!$P$153,IF(U154=28,'A.0_Tablas salariales SC'!$P$154,0)))))))))))</f>
        <v>543.53100000000006</v>
      </c>
      <c r="AC154" s="175">
        <f>IF(V154=2,'A.0_Tablas salariales SC'!$P$173,(IF(V154=6,'A.0_Tablas salariales SC'!$P$174,IF(V154=10,'A.0_Tablas salariales SC'!$P$175,IF(V154=14,'A.0_Tablas salariales SC'!$P$176,IF(V154=18,'A.0_Tablas salariales SC'!$P$177,IF(V154=20,'A.0_Tablas salariales SC'!$P$178,IF(V154=22,'A.0_Tablas salariales SC'!$P$179,IF(V154=24,'A.0_Tablas salariales SC'!$P$180,IF(V154=26,'A.0_Tablas salariales SC'!$P$181,IF(V154=28,'A.0_Tablas salariales SC'!$P$182,0)))))))))))</f>
        <v>559.83693000000005</v>
      </c>
    </row>
    <row r="155" spans="1:29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2">
        <f t="shared" si="167"/>
        <v>1900</v>
      </c>
      <c r="G155" s="173">
        <f t="shared" si="152"/>
        <v>2026</v>
      </c>
      <c r="H155" s="173">
        <f t="shared" si="152"/>
        <v>2032</v>
      </c>
      <c r="I155" s="173">
        <f t="shared" si="168"/>
        <v>126</v>
      </c>
      <c r="J155" s="173">
        <f t="shared" si="169"/>
        <v>127</v>
      </c>
      <c r="K155" s="173">
        <f t="shared" si="170"/>
        <v>128</v>
      </c>
      <c r="L155" s="173">
        <f t="shared" si="171"/>
        <v>129</v>
      </c>
      <c r="M155" s="173">
        <f t="shared" si="172"/>
        <v>130</v>
      </c>
      <c r="N155" s="173">
        <f t="shared" si="173"/>
        <v>131</v>
      </c>
      <c r="O155" s="173">
        <f t="shared" si="174"/>
        <v>132</v>
      </c>
      <c r="P155" s="173">
        <f t="shared" si="175"/>
        <v>28</v>
      </c>
      <c r="Q155" s="173">
        <f t="shared" si="176"/>
        <v>28</v>
      </c>
      <c r="R155" s="173">
        <f t="shared" si="177"/>
        <v>28</v>
      </c>
      <c r="S155" s="173">
        <f t="shared" si="178"/>
        <v>28</v>
      </c>
      <c r="T155" s="173">
        <f t="shared" si="179"/>
        <v>28</v>
      </c>
      <c r="U155" s="173">
        <f t="shared" si="180"/>
        <v>28</v>
      </c>
      <c r="V155" s="173">
        <f t="shared" si="181"/>
        <v>28</v>
      </c>
      <c r="W155" s="175">
        <f>IF(P155=2,'A.0_Tablas salariales SC'!$P$9,(IF(P155=6,'A.0_Tablas salariales SC'!$P$10,IF(P155=10,'A.0_Tablas salariales SC'!$P$11,IF(P155=14,'A.0_Tablas salariales SC'!$P$12,IF(P155=18,'A.0_Tablas salariales SC'!$P$13,IF(P155=20,'A.0_Tablas salariales SC'!$P$14,IF(P155=22,'A.0_Tablas salariales SC'!$P$15,IF(P155=24,'A.0_Tablas salariales SC'!$P$16,IF(P155=26,'A.0_Tablas salariales SC'!$P$17,IF(P155=28,'A.0_Tablas salariales SC'!$P$18,0)))))))))))</f>
        <v>446.8</v>
      </c>
      <c r="X155" s="175">
        <f>IF(Q155=2,'A.0_Tablas salariales SC'!$P$36,(IF(Q155=6,'A.0_Tablas salariales SC'!$P$37,IF(Q155=10,'A.0_Tablas salariales SC'!$P$38,IF(Q155=14,'A.0_Tablas salariales SC'!$P$39,IF(Q155=18,'A.0_Tablas salariales SC'!$P$40,IF(Q155=20,'A.0_Tablas salariales SC'!$P$41,IF(Q155=22,'A.0_Tablas salariales SC'!$P$42,IF(Q155=24,'A.0_Tablas salariales SC'!$P$43,IF(Q155=26,'A.0_Tablas salariales SC'!$P$44,IF(Q155=28,'A.0_Tablas salariales SC'!$P$45,0)))))))))))</f>
        <v>462.44</v>
      </c>
      <c r="Y155" s="175">
        <f>IF(R155=2,'A.0_Tablas salariales SC'!$P$63,(IF(R155=6,'A.0_Tablas salariales SC'!$P$64,IF(R155=10,'A.0_Tablas salariales SC'!$P$65,IF(R155=14,'A.0_Tablas salariales SC'!$P$66,IF(R155=18,'A.0_Tablas salariales SC'!$P$67,IF(R155=20,'A.0_Tablas salariales SC'!$P$68,IF(R155=22,'A.0_Tablas salariales SC'!$P$69,IF(R155=24,'A.0_Tablas salariales SC'!$P$70,IF(R155=26,'A.0_Tablas salariales SC'!$P$71,IF(R155=28,'A.0_Tablas salariales SC'!$P$72,0)))))))))))</f>
        <v>480.93</v>
      </c>
      <c r="Z155" s="175">
        <f>IF(S155=2,'A.0_Tablas salariales SC'!$P$90,(IF(S155=6,'A.0_Tablas salariales SC'!$P$91,IF(S155=10,'A.0_Tablas salariales SC'!$P$92,IF(S155=14,'A.0_Tablas salariales SC'!$P$93,IF(S155=18,'A.0_Tablas salariales SC'!$P$94,IF(S155=20,'A.0_Tablas salariales SC'!$P$95,IF(S155=22,'A.0_Tablas salariales SC'!$P$96,IF(S155=24,'A.0_Tablas salariales SC'!$P$97,IF(S155=26,'A.0_Tablas salariales SC'!$P$98,IF(S155=28,'A.0_Tablas salariales SC'!$P$99,0)))))))))))</f>
        <v>502.58</v>
      </c>
      <c r="AA155" s="175">
        <f>IF(T155=2,'A.0_Tablas salariales SC'!$P$117,(IF(T155=6,'A.0_Tablas salariales SC'!$P$118,IF(T155=10,'A.0_Tablas salariales SC'!$P$119,IF(T155=14,'A.0_Tablas salariales SC'!$P$120,IF(T155=18,'A.0_Tablas salariales SC'!$P$121,IF(T155=20,'A.0_Tablas salariales SC'!$P$122,IF(T155=22,'A.0_Tablas salariales SC'!$P$123,IF(T155=24,'A.0_Tablas salariales SC'!$P$124,IF(T155=26,'A.0_Tablas salariales SC'!$P$125,IF(T155=28,'A.0_Tablas salariales SC'!$P$126,0)))))))))))</f>
        <v>527.70000000000005</v>
      </c>
      <c r="AB155" s="175">
        <f>IF(U155=2,'A.0_Tablas salariales SC'!$P$145,(IF(U155=6,'A.0_Tablas salariales SC'!$P$146,IF(U155=10,'A.0_Tablas salariales SC'!$P$147,IF(U155=14,'A.0_Tablas salariales SC'!$P$148,IF(U155=18,'A.0_Tablas salariales SC'!$P$149,IF(U155=20,'A.0_Tablas salariales SC'!$P$150,IF(U155=22,'A.0_Tablas salariales SC'!$P$151,IF(U155=24,'A.0_Tablas salariales SC'!$P$152,IF(U155=26,'A.0_Tablas salariales SC'!$P$153,IF(U155=28,'A.0_Tablas salariales SC'!$P$154,0)))))))))))</f>
        <v>543.53100000000006</v>
      </c>
      <c r="AC155" s="175">
        <f>IF(V155=2,'A.0_Tablas salariales SC'!$P$173,(IF(V155=6,'A.0_Tablas salariales SC'!$P$174,IF(V155=10,'A.0_Tablas salariales SC'!$P$175,IF(V155=14,'A.0_Tablas salariales SC'!$P$176,IF(V155=18,'A.0_Tablas salariales SC'!$P$177,IF(V155=20,'A.0_Tablas salariales SC'!$P$178,IF(V155=22,'A.0_Tablas salariales SC'!$P$179,IF(V155=24,'A.0_Tablas salariales SC'!$P$180,IF(V155=26,'A.0_Tablas salariales SC'!$P$181,IF(V155=28,'A.0_Tablas salariales SC'!$P$182,0)))))))))))</f>
        <v>559.83693000000005</v>
      </c>
    </row>
    <row r="156" spans="1:29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2">
        <f t="shared" si="167"/>
        <v>1900</v>
      </c>
      <c r="G156" s="173">
        <f t="shared" si="152"/>
        <v>2026</v>
      </c>
      <c r="H156" s="173">
        <f t="shared" si="152"/>
        <v>2032</v>
      </c>
      <c r="I156" s="173">
        <f t="shared" si="168"/>
        <v>126</v>
      </c>
      <c r="J156" s="173">
        <f t="shared" si="169"/>
        <v>127</v>
      </c>
      <c r="K156" s="173">
        <f t="shared" si="170"/>
        <v>128</v>
      </c>
      <c r="L156" s="173">
        <f t="shared" si="171"/>
        <v>129</v>
      </c>
      <c r="M156" s="173">
        <f t="shared" si="172"/>
        <v>130</v>
      </c>
      <c r="N156" s="173">
        <f t="shared" si="173"/>
        <v>131</v>
      </c>
      <c r="O156" s="173">
        <f t="shared" si="174"/>
        <v>132</v>
      </c>
      <c r="P156" s="173">
        <f t="shared" si="175"/>
        <v>28</v>
      </c>
      <c r="Q156" s="173">
        <f t="shared" si="176"/>
        <v>28</v>
      </c>
      <c r="R156" s="173">
        <f t="shared" si="177"/>
        <v>28</v>
      </c>
      <c r="S156" s="173">
        <f t="shared" si="178"/>
        <v>28</v>
      </c>
      <c r="T156" s="173">
        <f t="shared" si="179"/>
        <v>28</v>
      </c>
      <c r="U156" s="173">
        <f t="shared" si="180"/>
        <v>28</v>
      </c>
      <c r="V156" s="173">
        <f t="shared" si="181"/>
        <v>28</v>
      </c>
      <c r="W156" s="175">
        <f>IF(P156=2,'A.0_Tablas salariales SC'!$P$9,(IF(P156=6,'A.0_Tablas salariales SC'!$P$10,IF(P156=10,'A.0_Tablas salariales SC'!$P$11,IF(P156=14,'A.0_Tablas salariales SC'!$P$12,IF(P156=18,'A.0_Tablas salariales SC'!$P$13,IF(P156=20,'A.0_Tablas salariales SC'!$P$14,IF(P156=22,'A.0_Tablas salariales SC'!$P$15,IF(P156=24,'A.0_Tablas salariales SC'!$P$16,IF(P156=26,'A.0_Tablas salariales SC'!$P$17,IF(P156=28,'A.0_Tablas salariales SC'!$P$18,0)))))))))))</f>
        <v>446.8</v>
      </c>
      <c r="X156" s="175">
        <f>IF(Q156=2,'A.0_Tablas salariales SC'!$P$36,(IF(Q156=6,'A.0_Tablas salariales SC'!$P$37,IF(Q156=10,'A.0_Tablas salariales SC'!$P$38,IF(Q156=14,'A.0_Tablas salariales SC'!$P$39,IF(Q156=18,'A.0_Tablas salariales SC'!$P$40,IF(Q156=20,'A.0_Tablas salariales SC'!$P$41,IF(Q156=22,'A.0_Tablas salariales SC'!$P$42,IF(Q156=24,'A.0_Tablas salariales SC'!$P$43,IF(Q156=26,'A.0_Tablas salariales SC'!$P$44,IF(Q156=28,'A.0_Tablas salariales SC'!$P$45,0)))))))))))</f>
        <v>462.44</v>
      </c>
      <c r="Y156" s="175">
        <f>IF(R156=2,'A.0_Tablas salariales SC'!$P$63,(IF(R156=6,'A.0_Tablas salariales SC'!$P$64,IF(R156=10,'A.0_Tablas salariales SC'!$P$65,IF(R156=14,'A.0_Tablas salariales SC'!$P$66,IF(R156=18,'A.0_Tablas salariales SC'!$P$67,IF(R156=20,'A.0_Tablas salariales SC'!$P$68,IF(R156=22,'A.0_Tablas salariales SC'!$P$69,IF(R156=24,'A.0_Tablas salariales SC'!$P$70,IF(R156=26,'A.0_Tablas salariales SC'!$P$71,IF(R156=28,'A.0_Tablas salariales SC'!$P$72,0)))))))))))</f>
        <v>480.93</v>
      </c>
      <c r="Z156" s="175">
        <f>IF(S156=2,'A.0_Tablas salariales SC'!$P$90,(IF(S156=6,'A.0_Tablas salariales SC'!$P$91,IF(S156=10,'A.0_Tablas salariales SC'!$P$92,IF(S156=14,'A.0_Tablas salariales SC'!$P$93,IF(S156=18,'A.0_Tablas salariales SC'!$P$94,IF(S156=20,'A.0_Tablas salariales SC'!$P$95,IF(S156=22,'A.0_Tablas salariales SC'!$P$96,IF(S156=24,'A.0_Tablas salariales SC'!$P$97,IF(S156=26,'A.0_Tablas salariales SC'!$P$98,IF(S156=28,'A.0_Tablas salariales SC'!$P$99,0)))))))))))</f>
        <v>502.58</v>
      </c>
      <c r="AA156" s="175">
        <f>IF(T156=2,'A.0_Tablas salariales SC'!$P$117,(IF(T156=6,'A.0_Tablas salariales SC'!$P$118,IF(T156=10,'A.0_Tablas salariales SC'!$P$119,IF(T156=14,'A.0_Tablas salariales SC'!$P$120,IF(T156=18,'A.0_Tablas salariales SC'!$P$121,IF(T156=20,'A.0_Tablas salariales SC'!$P$122,IF(T156=22,'A.0_Tablas salariales SC'!$P$123,IF(T156=24,'A.0_Tablas salariales SC'!$P$124,IF(T156=26,'A.0_Tablas salariales SC'!$P$125,IF(T156=28,'A.0_Tablas salariales SC'!$P$126,0)))))))))))</f>
        <v>527.70000000000005</v>
      </c>
      <c r="AB156" s="175">
        <f>IF(U156=2,'A.0_Tablas salariales SC'!$P$145,(IF(U156=6,'A.0_Tablas salariales SC'!$P$146,IF(U156=10,'A.0_Tablas salariales SC'!$P$147,IF(U156=14,'A.0_Tablas salariales SC'!$P$148,IF(U156=18,'A.0_Tablas salariales SC'!$P$149,IF(U156=20,'A.0_Tablas salariales SC'!$P$150,IF(U156=22,'A.0_Tablas salariales SC'!$P$151,IF(U156=24,'A.0_Tablas salariales SC'!$P$152,IF(U156=26,'A.0_Tablas salariales SC'!$P$153,IF(U156=28,'A.0_Tablas salariales SC'!$P$154,0)))))))))))</f>
        <v>543.53100000000006</v>
      </c>
      <c r="AC156" s="175">
        <f>IF(V156=2,'A.0_Tablas salariales SC'!$P$173,(IF(V156=6,'A.0_Tablas salariales SC'!$P$174,IF(V156=10,'A.0_Tablas salariales SC'!$P$175,IF(V156=14,'A.0_Tablas salariales SC'!$P$176,IF(V156=18,'A.0_Tablas salariales SC'!$P$177,IF(V156=20,'A.0_Tablas salariales SC'!$P$178,IF(V156=22,'A.0_Tablas salariales SC'!$P$179,IF(V156=24,'A.0_Tablas salariales SC'!$P$180,IF(V156=26,'A.0_Tablas salariales SC'!$P$181,IF(V156=28,'A.0_Tablas salariales SC'!$P$182,0)))))))))))</f>
        <v>559.83693000000005</v>
      </c>
    </row>
    <row r="157" spans="1:29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2">
        <f t="shared" si="167"/>
        <v>1900</v>
      </c>
      <c r="G157" s="173">
        <f t="shared" si="152"/>
        <v>2026</v>
      </c>
      <c r="H157" s="173">
        <f t="shared" si="152"/>
        <v>2032</v>
      </c>
      <c r="I157" s="173">
        <f t="shared" si="168"/>
        <v>126</v>
      </c>
      <c r="J157" s="173">
        <f t="shared" si="169"/>
        <v>127</v>
      </c>
      <c r="K157" s="173">
        <f t="shared" si="170"/>
        <v>128</v>
      </c>
      <c r="L157" s="173">
        <f t="shared" si="171"/>
        <v>129</v>
      </c>
      <c r="M157" s="173">
        <f t="shared" si="172"/>
        <v>130</v>
      </c>
      <c r="N157" s="173">
        <f t="shared" si="173"/>
        <v>131</v>
      </c>
      <c r="O157" s="173">
        <f t="shared" si="174"/>
        <v>132</v>
      </c>
      <c r="P157" s="173">
        <f t="shared" si="175"/>
        <v>28</v>
      </c>
      <c r="Q157" s="173">
        <f t="shared" si="176"/>
        <v>28</v>
      </c>
      <c r="R157" s="173">
        <f t="shared" si="177"/>
        <v>28</v>
      </c>
      <c r="S157" s="173">
        <f t="shared" si="178"/>
        <v>28</v>
      </c>
      <c r="T157" s="173">
        <f t="shared" si="179"/>
        <v>28</v>
      </c>
      <c r="U157" s="173">
        <f t="shared" si="180"/>
        <v>28</v>
      </c>
      <c r="V157" s="173">
        <f t="shared" si="181"/>
        <v>28</v>
      </c>
      <c r="W157" s="175">
        <f>IF(P157=2,'A.0_Tablas salariales SC'!$P$9,(IF(P157=6,'A.0_Tablas salariales SC'!$P$10,IF(P157=10,'A.0_Tablas salariales SC'!$P$11,IF(P157=14,'A.0_Tablas salariales SC'!$P$12,IF(P157=18,'A.0_Tablas salariales SC'!$P$13,IF(P157=20,'A.0_Tablas salariales SC'!$P$14,IF(P157=22,'A.0_Tablas salariales SC'!$P$15,IF(P157=24,'A.0_Tablas salariales SC'!$P$16,IF(P157=26,'A.0_Tablas salariales SC'!$P$17,IF(P157=28,'A.0_Tablas salariales SC'!$P$18,0)))))))))))</f>
        <v>446.8</v>
      </c>
      <c r="X157" s="175">
        <f>IF(Q157=2,'A.0_Tablas salariales SC'!$P$36,(IF(Q157=6,'A.0_Tablas salariales SC'!$P$37,IF(Q157=10,'A.0_Tablas salariales SC'!$P$38,IF(Q157=14,'A.0_Tablas salariales SC'!$P$39,IF(Q157=18,'A.0_Tablas salariales SC'!$P$40,IF(Q157=20,'A.0_Tablas salariales SC'!$P$41,IF(Q157=22,'A.0_Tablas salariales SC'!$P$42,IF(Q157=24,'A.0_Tablas salariales SC'!$P$43,IF(Q157=26,'A.0_Tablas salariales SC'!$P$44,IF(Q157=28,'A.0_Tablas salariales SC'!$P$45,0)))))))))))</f>
        <v>462.44</v>
      </c>
      <c r="Y157" s="175">
        <f>IF(R157=2,'A.0_Tablas salariales SC'!$P$63,(IF(R157=6,'A.0_Tablas salariales SC'!$P$64,IF(R157=10,'A.0_Tablas salariales SC'!$P$65,IF(R157=14,'A.0_Tablas salariales SC'!$P$66,IF(R157=18,'A.0_Tablas salariales SC'!$P$67,IF(R157=20,'A.0_Tablas salariales SC'!$P$68,IF(R157=22,'A.0_Tablas salariales SC'!$P$69,IF(R157=24,'A.0_Tablas salariales SC'!$P$70,IF(R157=26,'A.0_Tablas salariales SC'!$P$71,IF(R157=28,'A.0_Tablas salariales SC'!$P$72,0)))))))))))</f>
        <v>480.93</v>
      </c>
      <c r="Z157" s="175">
        <f>IF(S157=2,'A.0_Tablas salariales SC'!$P$90,(IF(S157=6,'A.0_Tablas salariales SC'!$P$91,IF(S157=10,'A.0_Tablas salariales SC'!$P$92,IF(S157=14,'A.0_Tablas salariales SC'!$P$93,IF(S157=18,'A.0_Tablas salariales SC'!$P$94,IF(S157=20,'A.0_Tablas salariales SC'!$P$95,IF(S157=22,'A.0_Tablas salariales SC'!$P$96,IF(S157=24,'A.0_Tablas salariales SC'!$P$97,IF(S157=26,'A.0_Tablas salariales SC'!$P$98,IF(S157=28,'A.0_Tablas salariales SC'!$P$99,0)))))))))))</f>
        <v>502.58</v>
      </c>
      <c r="AA157" s="175">
        <f>IF(T157=2,'A.0_Tablas salariales SC'!$P$117,(IF(T157=6,'A.0_Tablas salariales SC'!$P$118,IF(T157=10,'A.0_Tablas salariales SC'!$P$119,IF(T157=14,'A.0_Tablas salariales SC'!$P$120,IF(T157=18,'A.0_Tablas salariales SC'!$P$121,IF(T157=20,'A.0_Tablas salariales SC'!$P$122,IF(T157=22,'A.0_Tablas salariales SC'!$P$123,IF(T157=24,'A.0_Tablas salariales SC'!$P$124,IF(T157=26,'A.0_Tablas salariales SC'!$P$125,IF(T157=28,'A.0_Tablas salariales SC'!$P$126,0)))))))))))</f>
        <v>527.70000000000005</v>
      </c>
      <c r="AB157" s="175">
        <f>IF(U157=2,'A.0_Tablas salariales SC'!$P$145,(IF(U157=6,'A.0_Tablas salariales SC'!$P$146,IF(U157=10,'A.0_Tablas salariales SC'!$P$147,IF(U157=14,'A.0_Tablas salariales SC'!$P$148,IF(U157=18,'A.0_Tablas salariales SC'!$P$149,IF(U157=20,'A.0_Tablas salariales SC'!$P$150,IF(U157=22,'A.0_Tablas salariales SC'!$P$151,IF(U157=24,'A.0_Tablas salariales SC'!$P$152,IF(U157=26,'A.0_Tablas salariales SC'!$P$153,IF(U157=28,'A.0_Tablas salariales SC'!$P$154,0)))))))))))</f>
        <v>543.53100000000006</v>
      </c>
      <c r="AC157" s="175">
        <f>IF(V157=2,'A.0_Tablas salariales SC'!$P$173,(IF(V157=6,'A.0_Tablas salariales SC'!$P$174,IF(V157=10,'A.0_Tablas salariales SC'!$P$175,IF(V157=14,'A.0_Tablas salariales SC'!$P$176,IF(V157=18,'A.0_Tablas salariales SC'!$P$177,IF(V157=20,'A.0_Tablas salariales SC'!$P$178,IF(V157=22,'A.0_Tablas salariales SC'!$P$179,IF(V157=24,'A.0_Tablas salariales SC'!$P$180,IF(V157=26,'A.0_Tablas salariales SC'!$P$181,IF(V157=28,'A.0_Tablas salariales SC'!$P$182,0)))))))))))</f>
        <v>559.83693000000005</v>
      </c>
    </row>
    <row r="158" spans="1:29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2">
        <f t="shared" si="167"/>
        <v>1900</v>
      </c>
      <c r="G158" s="173">
        <f t="shared" si="152"/>
        <v>2026</v>
      </c>
      <c r="H158" s="173">
        <f t="shared" si="152"/>
        <v>2032</v>
      </c>
      <c r="I158" s="173">
        <f t="shared" si="168"/>
        <v>126</v>
      </c>
      <c r="J158" s="173">
        <f t="shared" si="169"/>
        <v>127</v>
      </c>
      <c r="K158" s="173">
        <f t="shared" si="170"/>
        <v>128</v>
      </c>
      <c r="L158" s="173">
        <f t="shared" si="171"/>
        <v>129</v>
      </c>
      <c r="M158" s="173">
        <f t="shared" si="172"/>
        <v>130</v>
      </c>
      <c r="N158" s="173">
        <f t="shared" si="173"/>
        <v>131</v>
      </c>
      <c r="O158" s="173">
        <f t="shared" si="174"/>
        <v>132</v>
      </c>
      <c r="P158" s="173">
        <f t="shared" si="175"/>
        <v>28</v>
      </c>
      <c r="Q158" s="173">
        <f t="shared" si="176"/>
        <v>28</v>
      </c>
      <c r="R158" s="173">
        <f t="shared" si="177"/>
        <v>28</v>
      </c>
      <c r="S158" s="173">
        <f t="shared" si="178"/>
        <v>28</v>
      </c>
      <c r="T158" s="173">
        <f t="shared" si="179"/>
        <v>28</v>
      </c>
      <c r="U158" s="173">
        <f t="shared" si="180"/>
        <v>28</v>
      </c>
      <c r="V158" s="173">
        <f t="shared" si="181"/>
        <v>28</v>
      </c>
      <c r="W158" s="175">
        <f>IF(P158=2,'A.0_Tablas salariales SC'!$P$9,(IF(P158=6,'A.0_Tablas salariales SC'!$P$10,IF(P158=10,'A.0_Tablas salariales SC'!$P$11,IF(P158=14,'A.0_Tablas salariales SC'!$P$12,IF(P158=18,'A.0_Tablas salariales SC'!$P$13,IF(P158=20,'A.0_Tablas salariales SC'!$P$14,IF(P158=22,'A.0_Tablas salariales SC'!$P$15,IF(P158=24,'A.0_Tablas salariales SC'!$P$16,IF(P158=26,'A.0_Tablas salariales SC'!$P$17,IF(P158=28,'A.0_Tablas salariales SC'!$P$18,0)))))))))))</f>
        <v>446.8</v>
      </c>
      <c r="X158" s="175">
        <f>IF(Q158=2,'A.0_Tablas salariales SC'!$P$36,(IF(Q158=6,'A.0_Tablas salariales SC'!$P$37,IF(Q158=10,'A.0_Tablas salariales SC'!$P$38,IF(Q158=14,'A.0_Tablas salariales SC'!$P$39,IF(Q158=18,'A.0_Tablas salariales SC'!$P$40,IF(Q158=20,'A.0_Tablas salariales SC'!$P$41,IF(Q158=22,'A.0_Tablas salariales SC'!$P$42,IF(Q158=24,'A.0_Tablas salariales SC'!$P$43,IF(Q158=26,'A.0_Tablas salariales SC'!$P$44,IF(Q158=28,'A.0_Tablas salariales SC'!$P$45,0)))))))))))</f>
        <v>462.44</v>
      </c>
      <c r="Y158" s="175">
        <f>IF(R158=2,'A.0_Tablas salariales SC'!$P$63,(IF(R158=6,'A.0_Tablas salariales SC'!$P$64,IF(R158=10,'A.0_Tablas salariales SC'!$P$65,IF(R158=14,'A.0_Tablas salariales SC'!$P$66,IF(R158=18,'A.0_Tablas salariales SC'!$P$67,IF(R158=20,'A.0_Tablas salariales SC'!$P$68,IF(R158=22,'A.0_Tablas salariales SC'!$P$69,IF(R158=24,'A.0_Tablas salariales SC'!$P$70,IF(R158=26,'A.0_Tablas salariales SC'!$P$71,IF(R158=28,'A.0_Tablas salariales SC'!$P$72,0)))))))))))</f>
        <v>480.93</v>
      </c>
      <c r="Z158" s="175">
        <f>IF(S158=2,'A.0_Tablas salariales SC'!$P$90,(IF(S158=6,'A.0_Tablas salariales SC'!$P$91,IF(S158=10,'A.0_Tablas salariales SC'!$P$92,IF(S158=14,'A.0_Tablas salariales SC'!$P$93,IF(S158=18,'A.0_Tablas salariales SC'!$P$94,IF(S158=20,'A.0_Tablas salariales SC'!$P$95,IF(S158=22,'A.0_Tablas salariales SC'!$P$96,IF(S158=24,'A.0_Tablas salariales SC'!$P$97,IF(S158=26,'A.0_Tablas salariales SC'!$P$98,IF(S158=28,'A.0_Tablas salariales SC'!$P$99,0)))))))))))</f>
        <v>502.58</v>
      </c>
      <c r="AA158" s="175">
        <f>IF(T158=2,'A.0_Tablas salariales SC'!$P$117,(IF(T158=6,'A.0_Tablas salariales SC'!$P$118,IF(T158=10,'A.0_Tablas salariales SC'!$P$119,IF(T158=14,'A.0_Tablas salariales SC'!$P$120,IF(T158=18,'A.0_Tablas salariales SC'!$P$121,IF(T158=20,'A.0_Tablas salariales SC'!$P$122,IF(T158=22,'A.0_Tablas salariales SC'!$P$123,IF(T158=24,'A.0_Tablas salariales SC'!$P$124,IF(T158=26,'A.0_Tablas salariales SC'!$P$125,IF(T158=28,'A.0_Tablas salariales SC'!$P$126,0)))))))))))</f>
        <v>527.70000000000005</v>
      </c>
      <c r="AB158" s="175">
        <f>IF(U158=2,'A.0_Tablas salariales SC'!$P$145,(IF(U158=6,'A.0_Tablas salariales SC'!$P$146,IF(U158=10,'A.0_Tablas salariales SC'!$P$147,IF(U158=14,'A.0_Tablas salariales SC'!$P$148,IF(U158=18,'A.0_Tablas salariales SC'!$P$149,IF(U158=20,'A.0_Tablas salariales SC'!$P$150,IF(U158=22,'A.0_Tablas salariales SC'!$P$151,IF(U158=24,'A.0_Tablas salariales SC'!$P$152,IF(U158=26,'A.0_Tablas salariales SC'!$P$153,IF(U158=28,'A.0_Tablas salariales SC'!$P$154,0)))))))))))</f>
        <v>543.53100000000006</v>
      </c>
      <c r="AC158" s="175">
        <f>IF(V158=2,'A.0_Tablas salariales SC'!$P$173,(IF(V158=6,'A.0_Tablas salariales SC'!$P$174,IF(V158=10,'A.0_Tablas salariales SC'!$P$175,IF(V158=14,'A.0_Tablas salariales SC'!$P$176,IF(V158=18,'A.0_Tablas salariales SC'!$P$177,IF(V158=20,'A.0_Tablas salariales SC'!$P$178,IF(V158=22,'A.0_Tablas salariales SC'!$P$179,IF(V158=24,'A.0_Tablas salariales SC'!$P$180,IF(V158=26,'A.0_Tablas salariales SC'!$P$181,IF(V158=28,'A.0_Tablas salariales SC'!$P$182,0)))))))))))</f>
        <v>559.83693000000005</v>
      </c>
    </row>
    <row r="159" spans="1:29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2">
        <f t="shared" si="167"/>
        <v>1900</v>
      </c>
      <c r="G159" s="173">
        <f t="shared" si="152"/>
        <v>2026</v>
      </c>
      <c r="H159" s="173">
        <f t="shared" si="152"/>
        <v>2032</v>
      </c>
      <c r="I159" s="173">
        <f t="shared" si="168"/>
        <v>126</v>
      </c>
      <c r="J159" s="173">
        <f t="shared" si="169"/>
        <v>127</v>
      </c>
      <c r="K159" s="173">
        <f t="shared" si="170"/>
        <v>128</v>
      </c>
      <c r="L159" s="173">
        <f t="shared" si="171"/>
        <v>129</v>
      </c>
      <c r="M159" s="173">
        <f t="shared" si="172"/>
        <v>130</v>
      </c>
      <c r="N159" s="173">
        <f t="shared" si="173"/>
        <v>131</v>
      </c>
      <c r="O159" s="173">
        <f t="shared" si="174"/>
        <v>132</v>
      </c>
      <c r="P159" s="173">
        <f t="shared" si="175"/>
        <v>28</v>
      </c>
      <c r="Q159" s="173">
        <f t="shared" si="176"/>
        <v>28</v>
      </c>
      <c r="R159" s="173">
        <f t="shared" si="177"/>
        <v>28</v>
      </c>
      <c r="S159" s="173">
        <f t="shared" si="178"/>
        <v>28</v>
      </c>
      <c r="T159" s="173">
        <f t="shared" si="179"/>
        <v>28</v>
      </c>
      <c r="U159" s="173">
        <f t="shared" si="180"/>
        <v>28</v>
      </c>
      <c r="V159" s="173">
        <f t="shared" si="181"/>
        <v>28</v>
      </c>
      <c r="W159" s="175">
        <f>IF(P159=2,'A.0_Tablas salariales SC'!$P$9,(IF(P159=6,'A.0_Tablas salariales SC'!$P$10,IF(P159=10,'A.0_Tablas salariales SC'!$P$11,IF(P159=14,'A.0_Tablas salariales SC'!$P$12,IF(P159=18,'A.0_Tablas salariales SC'!$P$13,IF(P159=20,'A.0_Tablas salariales SC'!$P$14,IF(P159=22,'A.0_Tablas salariales SC'!$P$15,IF(P159=24,'A.0_Tablas salariales SC'!$P$16,IF(P159=26,'A.0_Tablas salariales SC'!$P$17,IF(P159=28,'A.0_Tablas salariales SC'!$P$18,0)))))))))))</f>
        <v>446.8</v>
      </c>
      <c r="X159" s="175">
        <f>IF(Q159=2,'A.0_Tablas salariales SC'!$P$36,(IF(Q159=6,'A.0_Tablas salariales SC'!$P$37,IF(Q159=10,'A.0_Tablas salariales SC'!$P$38,IF(Q159=14,'A.0_Tablas salariales SC'!$P$39,IF(Q159=18,'A.0_Tablas salariales SC'!$P$40,IF(Q159=20,'A.0_Tablas salariales SC'!$P$41,IF(Q159=22,'A.0_Tablas salariales SC'!$P$42,IF(Q159=24,'A.0_Tablas salariales SC'!$P$43,IF(Q159=26,'A.0_Tablas salariales SC'!$P$44,IF(Q159=28,'A.0_Tablas salariales SC'!$P$45,0)))))))))))</f>
        <v>462.44</v>
      </c>
      <c r="Y159" s="175">
        <f>IF(R159=2,'A.0_Tablas salariales SC'!$P$63,(IF(R159=6,'A.0_Tablas salariales SC'!$P$64,IF(R159=10,'A.0_Tablas salariales SC'!$P$65,IF(R159=14,'A.0_Tablas salariales SC'!$P$66,IF(R159=18,'A.0_Tablas salariales SC'!$P$67,IF(R159=20,'A.0_Tablas salariales SC'!$P$68,IF(R159=22,'A.0_Tablas salariales SC'!$P$69,IF(R159=24,'A.0_Tablas salariales SC'!$P$70,IF(R159=26,'A.0_Tablas salariales SC'!$P$71,IF(R159=28,'A.0_Tablas salariales SC'!$P$72,0)))))))))))</f>
        <v>480.93</v>
      </c>
      <c r="Z159" s="175">
        <f>IF(S159=2,'A.0_Tablas salariales SC'!$P$90,(IF(S159=6,'A.0_Tablas salariales SC'!$P$91,IF(S159=10,'A.0_Tablas salariales SC'!$P$92,IF(S159=14,'A.0_Tablas salariales SC'!$P$93,IF(S159=18,'A.0_Tablas salariales SC'!$P$94,IF(S159=20,'A.0_Tablas salariales SC'!$P$95,IF(S159=22,'A.0_Tablas salariales SC'!$P$96,IF(S159=24,'A.0_Tablas salariales SC'!$P$97,IF(S159=26,'A.0_Tablas salariales SC'!$P$98,IF(S159=28,'A.0_Tablas salariales SC'!$P$99,0)))))))))))</f>
        <v>502.58</v>
      </c>
      <c r="AA159" s="175">
        <f>IF(T159=2,'A.0_Tablas salariales SC'!$P$117,(IF(T159=6,'A.0_Tablas salariales SC'!$P$118,IF(T159=10,'A.0_Tablas salariales SC'!$P$119,IF(T159=14,'A.0_Tablas salariales SC'!$P$120,IF(T159=18,'A.0_Tablas salariales SC'!$P$121,IF(T159=20,'A.0_Tablas salariales SC'!$P$122,IF(T159=22,'A.0_Tablas salariales SC'!$P$123,IF(T159=24,'A.0_Tablas salariales SC'!$P$124,IF(T159=26,'A.0_Tablas salariales SC'!$P$125,IF(T159=28,'A.0_Tablas salariales SC'!$P$126,0)))))))))))</f>
        <v>527.70000000000005</v>
      </c>
      <c r="AB159" s="175">
        <f>IF(U159=2,'A.0_Tablas salariales SC'!$P$145,(IF(U159=6,'A.0_Tablas salariales SC'!$P$146,IF(U159=10,'A.0_Tablas salariales SC'!$P$147,IF(U159=14,'A.0_Tablas salariales SC'!$P$148,IF(U159=18,'A.0_Tablas salariales SC'!$P$149,IF(U159=20,'A.0_Tablas salariales SC'!$P$150,IF(U159=22,'A.0_Tablas salariales SC'!$P$151,IF(U159=24,'A.0_Tablas salariales SC'!$P$152,IF(U159=26,'A.0_Tablas salariales SC'!$P$153,IF(U159=28,'A.0_Tablas salariales SC'!$P$154,0)))))))))))</f>
        <v>543.53100000000006</v>
      </c>
      <c r="AC159" s="175">
        <f>IF(V159=2,'A.0_Tablas salariales SC'!$P$173,(IF(V159=6,'A.0_Tablas salariales SC'!$P$174,IF(V159=10,'A.0_Tablas salariales SC'!$P$175,IF(V159=14,'A.0_Tablas salariales SC'!$P$176,IF(V159=18,'A.0_Tablas salariales SC'!$P$177,IF(V159=20,'A.0_Tablas salariales SC'!$P$178,IF(V159=22,'A.0_Tablas salariales SC'!$P$179,IF(V159=24,'A.0_Tablas salariales SC'!$P$180,IF(V159=26,'A.0_Tablas salariales SC'!$P$181,IF(V159=28,'A.0_Tablas salariales SC'!$P$182,0)))))))))))</f>
        <v>559.83693000000005</v>
      </c>
    </row>
    <row r="160" spans="1:29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2">
        <f t="shared" si="167"/>
        <v>1900</v>
      </c>
      <c r="G160" s="173">
        <f t="shared" si="152"/>
        <v>2026</v>
      </c>
      <c r="H160" s="173">
        <f t="shared" si="152"/>
        <v>2032</v>
      </c>
      <c r="I160" s="173">
        <f t="shared" si="168"/>
        <v>126</v>
      </c>
      <c r="J160" s="173">
        <f t="shared" si="169"/>
        <v>127</v>
      </c>
      <c r="K160" s="173">
        <f t="shared" si="170"/>
        <v>128</v>
      </c>
      <c r="L160" s="173">
        <f t="shared" si="171"/>
        <v>129</v>
      </c>
      <c r="M160" s="173">
        <f t="shared" si="172"/>
        <v>130</v>
      </c>
      <c r="N160" s="173">
        <f t="shared" si="173"/>
        <v>131</v>
      </c>
      <c r="O160" s="173">
        <f t="shared" si="174"/>
        <v>132</v>
      </c>
      <c r="P160" s="173">
        <f t="shared" si="175"/>
        <v>28</v>
      </c>
      <c r="Q160" s="173">
        <f t="shared" si="176"/>
        <v>28</v>
      </c>
      <c r="R160" s="173">
        <f t="shared" si="177"/>
        <v>28</v>
      </c>
      <c r="S160" s="173">
        <f t="shared" si="178"/>
        <v>28</v>
      </c>
      <c r="T160" s="173">
        <f t="shared" si="179"/>
        <v>28</v>
      </c>
      <c r="U160" s="173">
        <f t="shared" si="180"/>
        <v>28</v>
      </c>
      <c r="V160" s="173">
        <f t="shared" si="181"/>
        <v>28</v>
      </c>
      <c r="W160" s="175">
        <f>IF(P160=2,'A.0_Tablas salariales SC'!$P$9,(IF(P160=6,'A.0_Tablas salariales SC'!$P$10,IF(P160=10,'A.0_Tablas salariales SC'!$P$11,IF(P160=14,'A.0_Tablas salariales SC'!$P$12,IF(P160=18,'A.0_Tablas salariales SC'!$P$13,IF(P160=20,'A.0_Tablas salariales SC'!$P$14,IF(P160=22,'A.0_Tablas salariales SC'!$P$15,IF(P160=24,'A.0_Tablas salariales SC'!$P$16,IF(P160=26,'A.0_Tablas salariales SC'!$P$17,IF(P160=28,'A.0_Tablas salariales SC'!$P$18,0)))))))))))</f>
        <v>446.8</v>
      </c>
      <c r="X160" s="175">
        <f>IF(Q160=2,'A.0_Tablas salariales SC'!$P$36,(IF(Q160=6,'A.0_Tablas salariales SC'!$P$37,IF(Q160=10,'A.0_Tablas salariales SC'!$P$38,IF(Q160=14,'A.0_Tablas salariales SC'!$P$39,IF(Q160=18,'A.0_Tablas salariales SC'!$P$40,IF(Q160=20,'A.0_Tablas salariales SC'!$P$41,IF(Q160=22,'A.0_Tablas salariales SC'!$P$42,IF(Q160=24,'A.0_Tablas salariales SC'!$P$43,IF(Q160=26,'A.0_Tablas salariales SC'!$P$44,IF(Q160=28,'A.0_Tablas salariales SC'!$P$45,0)))))))))))</f>
        <v>462.44</v>
      </c>
      <c r="Y160" s="175">
        <f>IF(R160=2,'A.0_Tablas salariales SC'!$P$63,(IF(R160=6,'A.0_Tablas salariales SC'!$P$64,IF(R160=10,'A.0_Tablas salariales SC'!$P$65,IF(R160=14,'A.0_Tablas salariales SC'!$P$66,IF(R160=18,'A.0_Tablas salariales SC'!$P$67,IF(R160=20,'A.0_Tablas salariales SC'!$P$68,IF(R160=22,'A.0_Tablas salariales SC'!$P$69,IF(R160=24,'A.0_Tablas salariales SC'!$P$70,IF(R160=26,'A.0_Tablas salariales SC'!$P$71,IF(R160=28,'A.0_Tablas salariales SC'!$P$72,0)))))))))))</f>
        <v>480.93</v>
      </c>
      <c r="Z160" s="175">
        <f>IF(S160=2,'A.0_Tablas salariales SC'!$P$90,(IF(S160=6,'A.0_Tablas salariales SC'!$P$91,IF(S160=10,'A.0_Tablas salariales SC'!$P$92,IF(S160=14,'A.0_Tablas salariales SC'!$P$93,IF(S160=18,'A.0_Tablas salariales SC'!$P$94,IF(S160=20,'A.0_Tablas salariales SC'!$P$95,IF(S160=22,'A.0_Tablas salariales SC'!$P$96,IF(S160=24,'A.0_Tablas salariales SC'!$P$97,IF(S160=26,'A.0_Tablas salariales SC'!$P$98,IF(S160=28,'A.0_Tablas salariales SC'!$P$99,0)))))))))))</f>
        <v>502.58</v>
      </c>
      <c r="AA160" s="175">
        <f>IF(T160=2,'A.0_Tablas salariales SC'!$P$117,(IF(T160=6,'A.0_Tablas salariales SC'!$P$118,IF(T160=10,'A.0_Tablas salariales SC'!$P$119,IF(T160=14,'A.0_Tablas salariales SC'!$P$120,IF(T160=18,'A.0_Tablas salariales SC'!$P$121,IF(T160=20,'A.0_Tablas salariales SC'!$P$122,IF(T160=22,'A.0_Tablas salariales SC'!$P$123,IF(T160=24,'A.0_Tablas salariales SC'!$P$124,IF(T160=26,'A.0_Tablas salariales SC'!$P$125,IF(T160=28,'A.0_Tablas salariales SC'!$P$126,0)))))))))))</f>
        <v>527.70000000000005</v>
      </c>
      <c r="AB160" s="175">
        <f>IF(U160=2,'A.0_Tablas salariales SC'!$P$145,(IF(U160=6,'A.0_Tablas salariales SC'!$P$146,IF(U160=10,'A.0_Tablas salariales SC'!$P$147,IF(U160=14,'A.0_Tablas salariales SC'!$P$148,IF(U160=18,'A.0_Tablas salariales SC'!$P$149,IF(U160=20,'A.0_Tablas salariales SC'!$P$150,IF(U160=22,'A.0_Tablas salariales SC'!$P$151,IF(U160=24,'A.0_Tablas salariales SC'!$P$152,IF(U160=26,'A.0_Tablas salariales SC'!$P$153,IF(U160=28,'A.0_Tablas salariales SC'!$P$154,0)))))))))))</f>
        <v>543.53100000000006</v>
      </c>
      <c r="AC160" s="175">
        <f>IF(V160=2,'A.0_Tablas salariales SC'!$P$173,(IF(V160=6,'A.0_Tablas salariales SC'!$P$174,IF(V160=10,'A.0_Tablas salariales SC'!$P$175,IF(V160=14,'A.0_Tablas salariales SC'!$P$176,IF(V160=18,'A.0_Tablas salariales SC'!$P$177,IF(V160=20,'A.0_Tablas salariales SC'!$P$178,IF(V160=22,'A.0_Tablas salariales SC'!$P$179,IF(V160=24,'A.0_Tablas salariales SC'!$P$180,IF(V160=26,'A.0_Tablas salariales SC'!$P$181,IF(V160=28,'A.0_Tablas salariales SC'!$P$182,0)))))))))))</f>
        <v>559.83693000000005</v>
      </c>
    </row>
    <row r="161" spans="1:29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2">
        <f t="shared" si="167"/>
        <v>1900</v>
      </c>
      <c r="G161" s="173">
        <f t="shared" si="152"/>
        <v>2026</v>
      </c>
      <c r="H161" s="173">
        <f t="shared" si="152"/>
        <v>2032</v>
      </c>
      <c r="I161" s="173">
        <f t="shared" si="168"/>
        <v>126</v>
      </c>
      <c r="J161" s="173">
        <f t="shared" si="169"/>
        <v>127</v>
      </c>
      <c r="K161" s="173">
        <f t="shared" si="170"/>
        <v>128</v>
      </c>
      <c r="L161" s="173">
        <f t="shared" si="171"/>
        <v>129</v>
      </c>
      <c r="M161" s="173">
        <f t="shared" si="172"/>
        <v>130</v>
      </c>
      <c r="N161" s="173">
        <f t="shared" si="173"/>
        <v>131</v>
      </c>
      <c r="O161" s="173">
        <f t="shared" si="174"/>
        <v>132</v>
      </c>
      <c r="P161" s="173">
        <f t="shared" si="175"/>
        <v>28</v>
      </c>
      <c r="Q161" s="173">
        <f t="shared" si="176"/>
        <v>28</v>
      </c>
      <c r="R161" s="173">
        <f t="shared" si="177"/>
        <v>28</v>
      </c>
      <c r="S161" s="173">
        <f t="shared" si="178"/>
        <v>28</v>
      </c>
      <c r="T161" s="173">
        <f t="shared" si="179"/>
        <v>28</v>
      </c>
      <c r="U161" s="173">
        <f t="shared" si="180"/>
        <v>28</v>
      </c>
      <c r="V161" s="173">
        <f t="shared" si="181"/>
        <v>28</v>
      </c>
      <c r="W161" s="175">
        <f>IF(P161=2,'A.0_Tablas salariales SC'!$P$9,(IF(P161=6,'A.0_Tablas salariales SC'!$P$10,IF(P161=10,'A.0_Tablas salariales SC'!$P$11,IF(P161=14,'A.0_Tablas salariales SC'!$P$12,IF(P161=18,'A.0_Tablas salariales SC'!$P$13,IF(P161=20,'A.0_Tablas salariales SC'!$P$14,IF(P161=22,'A.0_Tablas salariales SC'!$P$15,IF(P161=24,'A.0_Tablas salariales SC'!$P$16,IF(P161=26,'A.0_Tablas salariales SC'!$P$17,IF(P161=28,'A.0_Tablas salariales SC'!$P$18,0)))))))))))</f>
        <v>446.8</v>
      </c>
      <c r="X161" s="175">
        <f>IF(Q161=2,'A.0_Tablas salariales SC'!$P$36,(IF(Q161=6,'A.0_Tablas salariales SC'!$P$37,IF(Q161=10,'A.0_Tablas salariales SC'!$P$38,IF(Q161=14,'A.0_Tablas salariales SC'!$P$39,IF(Q161=18,'A.0_Tablas salariales SC'!$P$40,IF(Q161=20,'A.0_Tablas salariales SC'!$P$41,IF(Q161=22,'A.0_Tablas salariales SC'!$P$42,IF(Q161=24,'A.0_Tablas salariales SC'!$P$43,IF(Q161=26,'A.0_Tablas salariales SC'!$P$44,IF(Q161=28,'A.0_Tablas salariales SC'!$P$45,0)))))))))))</f>
        <v>462.44</v>
      </c>
      <c r="Y161" s="175">
        <f>IF(R161=2,'A.0_Tablas salariales SC'!$P$63,(IF(R161=6,'A.0_Tablas salariales SC'!$P$64,IF(R161=10,'A.0_Tablas salariales SC'!$P$65,IF(R161=14,'A.0_Tablas salariales SC'!$P$66,IF(R161=18,'A.0_Tablas salariales SC'!$P$67,IF(R161=20,'A.0_Tablas salariales SC'!$P$68,IF(R161=22,'A.0_Tablas salariales SC'!$P$69,IF(R161=24,'A.0_Tablas salariales SC'!$P$70,IF(R161=26,'A.0_Tablas salariales SC'!$P$71,IF(R161=28,'A.0_Tablas salariales SC'!$P$72,0)))))))))))</f>
        <v>480.93</v>
      </c>
      <c r="Z161" s="175">
        <f>IF(S161=2,'A.0_Tablas salariales SC'!$P$90,(IF(S161=6,'A.0_Tablas salariales SC'!$P$91,IF(S161=10,'A.0_Tablas salariales SC'!$P$92,IF(S161=14,'A.0_Tablas salariales SC'!$P$93,IF(S161=18,'A.0_Tablas salariales SC'!$P$94,IF(S161=20,'A.0_Tablas salariales SC'!$P$95,IF(S161=22,'A.0_Tablas salariales SC'!$P$96,IF(S161=24,'A.0_Tablas salariales SC'!$P$97,IF(S161=26,'A.0_Tablas salariales SC'!$P$98,IF(S161=28,'A.0_Tablas salariales SC'!$P$99,0)))))))))))</f>
        <v>502.58</v>
      </c>
      <c r="AA161" s="175">
        <f>IF(T161=2,'A.0_Tablas salariales SC'!$P$117,(IF(T161=6,'A.0_Tablas salariales SC'!$P$118,IF(T161=10,'A.0_Tablas salariales SC'!$P$119,IF(T161=14,'A.0_Tablas salariales SC'!$P$120,IF(T161=18,'A.0_Tablas salariales SC'!$P$121,IF(T161=20,'A.0_Tablas salariales SC'!$P$122,IF(T161=22,'A.0_Tablas salariales SC'!$P$123,IF(T161=24,'A.0_Tablas salariales SC'!$P$124,IF(T161=26,'A.0_Tablas salariales SC'!$P$125,IF(T161=28,'A.0_Tablas salariales SC'!$P$126,0)))))))))))</f>
        <v>527.70000000000005</v>
      </c>
      <c r="AB161" s="175">
        <f>IF(U161=2,'A.0_Tablas salariales SC'!$P$145,(IF(U161=6,'A.0_Tablas salariales SC'!$P$146,IF(U161=10,'A.0_Tablas salariales SC'!$P$147,IF(U161=14,'A.0_Tablas salariales SC'!$P$148,IF(U161=18,'A.0_Tablas salariales SC'!$P$149,IF(U161=20,'A.0_Tablas salariales SC'!$P$150,IF(U161=22,'A.0_Tablas salariales SC'!$P$151,IF(U161=24,'A.0_Tablas salariales SC'!$P$152,IF(U161=26,'A.0_Tablas salariales SC'!$P$153,IF(U161=28,'A.0_Tablas salariales SC'!$P$154,0)))))))))))</f>
        <v>543.53100000000006</v>
      </c>
      <c r="AC161" s="175">
        <f>IF(V161=2,'A.0_Tablas salariales SC'!$P$173,(IF(V161=6,'A.0_Tablas salariales SC'!$P$174,IF(V161=10,'A.0_Tablas salariales SC'!$P$175,IF(V161=14,'A.0_Tablas salariales SC'!$P$176,IF(V161=18,'A.0_Tablas salariales SC'!$P$177,IF(V161=20,'A.0_Tablas salariales SC'!$P$178,IF(V161=22,'A.0_Tablas salariales SC'!$P$179,IF(V161=24,'A.0_Tablas salariales SC'!$P$180,IF(V161=26,'A.0_Tablas salariales SC'!$P$181,IF(V161=28,'A.0_Tablas salariales SC'!$P$182,0)))))))))))</f>
        <v>559.83693000000005</v>
      </c>
    </row>
    <row r="162" spans="1:29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2">
        <f>YEAR(E162)</f>
        <v>1900</v>
      </c>
      <c r="G162" s="173">
        <f t="shared" si="152"/>
        <v>2026</v>
      </c>
      <c r="H162" s="173">
        <f t="shared" si="152"/>
        <v>2032</v>
      </c>
      <c r="I162" s="173">
        <f t="shared" si="153"/>
        <v>126</v>
      </c>
      <c r="J162" s="173">
        <f t="shared" si="154"/>
        <v>127</v>
      </c>
      <c r="K162" s="173">
        <f t="shared" si="155"/>
        <v>128</v>
      </c>
      <c r="L162" s="173">
        <f t="shared" si="156"/>
        <v>129</v>
      </c>
      <c r="M162" s="173">
        <f t="shared" si="157"/>
        <v>130</v>
      </c>
      <c r="N162" s="173">
        <f t="shared" si="158"/>
        <v>131</v>
      </c>
      <c r="O162" s="173">
        <f t="shared" si="159"/>
        <v>132</v>
      </c>
      <c r="P162" s="173">
        <f t="shared" si="160"/>
        <v>28</v>
      </c>
      <c r="Q162" s="173">
        <f t="shared" si="161"/>
        <v>28</v>
      </c>
      <c r="R162" s="173">
        <f t="shared" si="162"/>
        <v>28</v>
      </c>
      <c r="S162" s="173">
        <f t="shared" si="163"/>
        <v>28</v>
      </c>
      <c r="T162" s="173">
        <f t="shared" si="164"/>
        <v>28</v>
      </c>
      <c r="U162" s="173">
        <f t="shared" si="165"/>
        <v>28</v>
      </c>
      <c r="V162" s="173">
        <f t="shared" si="166"/>
        <v>28</v>
      </c>
      <c r="W162" s="175">
        <f>IF(P162=2,'A.0_Tablas salariales SC'!$P$9,(IF(P162=6,'A.0_Tablas salariales SC'!$P$10,IF(P162=10,'A.0_Tablas salariales SC'!$P$11,IF(P162=14,'A.0_Tablas salariales SC'!$P$12,IF(P162=18,'A.0_Tablas salariales SC'!$P$13,IF(P162=20,'A.0_Tablas salariales SC'!$P$14,IF(P162=22,'A.0_Tablas salariales SC'!$P$15,IF(P162=24,'A.0_Tablas salariales SC'!$P$16,IF(P162=26,'A.0_Tablas salariales SC'!$P$17,IF(P162=28,'A.0_Tablas salariales SC'!$P$18,0)))))))))))</f>
        <v>446.8</v>
      </c>
      <c r="X162" s="175">
        <f>IF(Q162=2,'A.0_Tablas salariales SC'!$P$36,(IF(Q162=6,'A.0_Tablas salariales SC'!$P$37,IF(Q162=10,'A.0_Tablas salariales SC'!$P$38,IF(Q162=14,'A.0_Tablas salariales SC'!$P$39,IF(Q162=18,'A.0_Tablas salariales SC'!$P$40,IF(Q162=20,'A.0_Tablas salariales SC'!$P$41,IF(Q162=22,'A.0_Tablas salariales SC'!$P$42,IF(Q162=24,'A.0_Tablas salariales SC'!$P$43,IF(Q162=26,'A.0_Tablas salariales SC'!$P$44,IF(Q162=28,'A.0_Tablas salariales SC'!$P$45,0)))))))))))</f>
        <v>462.44</v>
      </c>
      <c r="Y162" s="175">
        <f>IF(R162=2,'A.0_Tablas salariales SC'!$P$63,(IF(R162=6,'A.0_Tablas salariales SC'!$P$64,IF(R162=10,'A.0_Tablas salariales SC'!$P$65,IF(R162=14,'A.0_Tablas salariales SC'!$P$66,IF(R162=18,'A.0_Tablas salariales SC'!$P$67,IF(R162=20,'A.0_Tablas salariales SC'!$P$68,IF(R162=22,'A.0_Tablas salariales SC'!$P$69,IF(R162=24,'A.0_Tablas salariales SC'!$P$70,IF(R162=26,'A.0_Tablas salariales SC'!$P$71,IF(R162=28,'A.0_Tablas salariales SC'!$P$72,0)))))))))))</f>
        <v>480.93</v>
      </c>
      <c r="Z162" s="175">
        <f>IF(S162=2,'A.0_Tablas salariales SC'!$P$90,(IF(S162=6,'A.0_Tablas salariales SC'!$P$91,IF(S162=10,'A.0_Tablas salariales SC'!$P$92,IF(S162=14,'A.0_Tablas salariales SC'!$P$93,IF(S162=18,'A.0_Tablas salariales SC'!$P$94,IF(S162=20,'A.0_Tablas salariales SC'!$P$95,IF(S162=22,'A.0_Tablas salariales SC'!$P$96,IF(S162=24,'A.0_Tablas salariales SC'!$P$97,IF(S162=26,'A.0_Tablas salariales SC'!$P$98,IF(S162=28,'A.0_Tablas salariales SC'!$P$99,0)))))))))))</f>
        <v>502.58</v>
      </c>
      <c r="AA162" s="175">
        <f>IF(T162=2,'A.0_Tablas salariales SC'!$P$117,(IF(T162=6,'A.0_Tablas salariales SC'!$P$118,IF(T162=10,'A.0_Tablas salariales SC'!$P$119,IF(T162=14,'A.0_Tablas salariales SC'!$P$120,IF(T162=18,'A.0_Tablas salariales SC'!$P$121,IF(T162=20,'A.0_Tablas salariales SC'!$P$122,IF(T162=22,'A.0_Tablas salariales SC'!$P$123,IF(T162=24,'A.0_Tablas salariales SC'!$P$124,IF(T162=26,'A.0_Tablas salariales SC'!$P$125,IF(T162=28,'A.0_Tablas salariales SC'!$P$126,0)))))))))))</f>
        <v>527.70000000000005</v>
      </c>
      <c r="AB162" s="175">
        <f>IF(U162=2,'A.0_Tablas salariales SC'!$P$145,(IF(U162=6,'A.0_Tablas salariales SC'!$P$146,IF(U162=10,'A.0_Tablas salariales SC'!$P$147,IF(U162=14,'A.0_Tablas salariales SC'!$P$148,IF(U162=18,'A.0_Tablas salariales SC'!$P$149,IF(U162=20,'A.0_Tablas salariales SC'!$P$150,IF(U162=22,'A.0_Tablas salariales SC'!$P$151,IF(U162=24,'A.0_Tablas salariales SC'!$P$152,IF(U162=26,'A.0_Tablas salariales SC'!$P$153,IF(U162=28,'A.0_Tablas salariales SC'!$P$154,0)))))))))))</f>
        <v>543.53100000000006</v>
      </c>
      <c r="AC162" s="175">
        <f>IF(V162=2,'A.0_Tablas salariales SC'!$P$173,(IF(V162=6,'A.0_Tablas salariales SC'!$P$174,IF(V162=10,'A.0_Tablas salariales SC'!$P$175,IF(V162=14,'A.0_Tablas salariales SC'!$P$176,IF(V162=18,'A.0_Tablas salariales SC'!$P$177,IF(V162=20,'A.0_Tablas salariales SC'!$P$178,IF(V162=22,'A.0_Tablas salariales SC'!$P$179,IF(V162=24,'A.0_Tablas salariales SC'!$P$180,IF(V162=26,'A.0_Tablas salariales SC'!$P$181,IF(V162=28,'A.0_Tablas salariales SC'!$P$182,0)))))))))))</f>
        <v>559.83693000000005</v>
      </c>
    </row>
    <row r="163" spans="1:2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416"/>
      <c r="X163" s="416"/>
      <c r="Y163" s="416"/>
      <c r="Z163" s="416"/>
      <c r="AA163" s="416"/>
      <c r="AB163" s="416"/>
      <c r="AC163" s="416"/>
    </row>
    <row r="164" spans="1:29">
      <c r="A164" s="508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2">
        <f>YEAR(E164)</f>
        <v>1900</v>
      </c>
      <c r="G164" s="173">
        <f t="shared" ref="G164:H172" si="182">G$3</f>
        <v>2026</v>
      </c>
      <c r="H164" s="173">
        <f t="shared" si="182"/>
        <v>2032</v>
      </c>
      <c r="I164" s="173">
        <f t="shared" ref="I164:I172" si="183">($I$3-F164)*$I$4</f>
        <v>126</v>
      </c>
      <c r="J164" s="173">
        <f t="shared" ref="J164:J172" si="184">($J$3-F164)*$J$4</f>
        <v>127</v>
      </c>
      <c r="K164" s="173">
        <f t="shared" ref="K164:K172" si="185">($K$3-F164)*$K$4</f>
        <v>128</v>
      </c>
      <c r="L164" s="173">
        <f t="shared" ref="L164:L172" si="186">($L$3-F164)*$L$4</f>
        <v>129</v>
      </c>
      <c r="M164" s="173">
        <f t="shared" ref="M164:M172" si="187">($M$3-F164)*$M$4</f>
        <v>130</v>
      </c>
      <c r="N164" s="173">
        <f t="shared" ref="N164:N172" si="188">($N$3-F164)*$N$4</f>
        <v>131</v>
      </c>
      <c r="O164" s="173">
        <f t="shared" ref="O164:O172" si="189">($O$3-F164)*$O$4</f>
        <v>132</v>
      </c>
      <c r="P164" s="173">
        <f t="shared" ref="P164:P172" si="190">IF(I164&gt;=28,28,IF(I164&gt;=26,26,(IF(I164&gt;=24,24,IF(I164&gt;=22,22,IF(I164&gt;=20,20,IF(I164&gt;=18,18,IF(I164&gt;=14,14,(IF(I164&gt;=10,10,(IF(I164&gt;=6,6,(IF(I164&gt;=2,2,0))))))))))))))</f>
        <v>28</v>
      </c>
      <c r="Q164" s="173">
        <f t="shared" ref="Q164:Q172" si="191">IF(J164&gt;=28,28,IF(J164&gt;=26,26,(IF(J164&gt;=24,24,IF(J164&gt;=22,22,IF(J164&gt;=20,20,IF(J164&gt;=18,18,IF(J164&gt;=14,14,(IF(J164&gt;=10,10,(IF(J164&gt;=6,6,(IF(J164&gt;=2,2,0))))))))))))))</f>
        <v>28</v>
      </c>
      <c r="R164" s="173">
        <f t="shared" ref="R164:R172" si="192">IF(K164&gt;=28,28,IF(K164&gt;=26,26,(IF(K164&gt;=24,24,IF(K164&gt;=22,22,IF(K164&gt;=20,20,IF(K164&gt;=18,18,IF(K164&gt;=14,14,(IF(K164&gt;=10,10,(IF(K164&gt;=6,6,(IF(K164&gt;=2,2,0))))))))))))))</f>
        <v>28</v>
      </c>
      <c r="S164" s="173">
        <f t="shared" ref="S164:S172" si="193">IF(L164&gt;=28,28,IF(L164&gt;=26,26,(IF(L164&gt;=24,24,IF(L164&gt;=22,22,IF(L164&gt;=20,20,IF(L164&gt;=18,18,IF(L164&gt;=14,14,(IF(L164&gt;=10,10,(IF(L164&gt;=6,6,(IF(L164&gt;=2,2,0))))))))))))))</f>
        <v>28</v>
      </c>
      <c r="T164" s="173">
        <f t="shared" ref="T164:T172" si="194">IF(M164&gt;=28,28,IF(M164&gt;=26,26,(IF(M164&gt;=24,24,IF(M164&gt;=22,22,IF(M164&gt;=20,20,IF(M164&gt;=18,18,IF(M164&gt;=14,14,(IF(M164&gt;=10,10,(IF(M164&gt;=6,6,(IF(M164&gt;=2,2,0))))))))))))))</f>
        <v>28</v>
      </c>
      <c r="U164" s="173">
        <f t="shared" ref="U164:U172" si="195">IF(N164&gt;=28,28,IF(N164&gt;=26,26,(IF(N164&gt;=24,24,IF(N164&gt;=22,22,IF(N164&gt;=20,20,IF(N164&gt;=18,18,IF(N164&gt;=14,14,(IF(N164&gt;=10,10,(IF(N164&gt;=6,6,(IF(N164&gt;=2,2,0))))))))))))))</f>
        <v>28</v>
      </c>
      <c r="V164" s="173">
        <f t="shared" ref="V164:V172" si="196">IF(O164&gt;=28,28,IF(O164&gt;=26,26,(IF(O164&gt;=24,24,IF(O164&gt;=22,22,IF(O164&gt;=20,20,IF(O164&gt;=18,18,IF(O164&gt;=14,14,(IF(O164&gt;=10,10,(IF(O164&gt;=6,6,(IF(O164&gt;=2,2,0))))))))))))))</f>
        <v>28</v>
      </c>
      <c r="W164" s="175">
        <f>IF(P164=2,'A.0_Tablas salariales SC'!$R$9,(IF(P164=6,'A.0_Tablas salariales SC'!$R$10,IF(P164=10,'A.0_Tablas salariales SC'!$R$11,IF(P164=14,'A.0_Tablas salariales SC'!$R$12,IF(P164=18,'A.0_Tablas salariales SC'!$R$13,IF(P164=20,'A.0_Tablas salariales SC'!$R$14,IF(P164=22,'A.0_Tablas salariales SC'!$R$15,IF(P164=24,'A.0_Tablas salariales SC'!$R$16,IF(P164=26,'A.0_Tablas salariales SC'!$R$17,IF(P164=28,'A.0_Tablas salariales SC'!$R$18,0)))))))))))</f>
        <v>611.96</v>
      </c>
      <c r="X164" s="175">
        <f>IF(Q164=2,'A.0_Tablas salariales SC'!$R$36,(IF(Q164=6,'A.0_Tablas salariales SC'!$R$37,IF(Q164=10,'A.0_Tablas salariales SC'!$R$38,IF(Q164=14,'A.0_Tablas salariales SC'!$R$39,IF(Q164=18,'A.0_Tablas salariales SC'!$R$40,IF(Q164=20,'A.0_Tablas salariales SC'!$R$41,IF(Q164=22,'A.0_Tablas salariales SC'!$R$42,IF(Q164=24,'A.0_Tablas salariales SC'!$R$43,IF(Q164=26,'A.0_Tablas salariales SC'!$R$44,IF(Q164=28,'A.0_Tablas salariales SC'!$R$45,0)))))))))))</f>
        <v>633.38</v>
      </c>
      <c r="Y164" s="175">
        <f>IF(R164=2,'A.0_Tablas salariales SC'!$R$63,(IF(R164=6,'A.0_Tablas salariales SC'!$R$64,IF(R164=10,'A.0_Tablas salariales SC'!$R$65,IF(R164=14,'A.0_Tablas salariales SC'!$R$66,IF(R164=18,'A.0_Tablas salariales SC'!$R$67,IF(R164=20,'A.0_Tablas salariales SC'!$R$68,IF(R164=22,'A.0_Tablas salariales SC'!$R$69,IF(R164=24,'A.0_Tablas salariales SC'!$R$70,IF(R164=26,'A.0_Tablas salariales SC'!$R$71,IF(R164=28,'A.0_Tablas salariales SC'!$R$72,0)))))))))))</f>
        <v>658.71</v>
      </c>
      <c r="Z164" s="175">
        <f>IF(S164=2,'A.0_Tablas salariales SC'!$R$90,(IF(S164=6,'A.0_Tablas salariales SC'!$R$91,IF(S164=10,'A.0_Tablas salariales SC'!$R$92,IF(S164=14,'A.0_Tablas salariales SC'!$R$93,IF(S164=18,'A.0_Tablas salariales SC'!$R$94,IF(S164=20,'A.0_Tablas salariales SC'!$R$95,IF(S164=22,'A.0_Tablas salariales SC'!$R$96,IF(S164=24,'A.0_Tablas salariales SC'!$R$97,IF(S164=26,'A.0_Tablas salariales SC'!$R$98,IF(S164=28,'A.0_Tablas salariales SC'!$R$99,0)))))))))))</f>
        <v>688.35</v>
      </c>
      <c r="AA164" s="175">
        <f>IF(T164=2,'A.0_Tablas salariales SC'!$R$117,(IF(T164=6,'A.0_Tablas salariales SC'!$R$118,IF(T164=10,'A.0_Tablas salariales SC'!$R$119,IF(T164=14,'A.0_Tablas salariales SC'!$R$120,IF(T164=18,'A.0_Tablas salariales SC'!$R$121,IF(T164=20,'A.0_Tablas salariales SC'!$R$122,IF(T164=22,'A.0_Tablas salariales SC'!$R$123,IF(T164=24,'A.0_Tablas salariales SC'!$R$124,IF(T164=26,'A.0_Tablas salariales SC'!$R$125,IF(T164=28,'A.0_Tablas salariales SC'!$R$126,0)))))))))))</f>
        <v>722.77</v>
      </c>
      <c r="AB164" s="175">
        <f>IF(U164=2,'A.0_Tablas salariales SC'!$R$145,(IF(U164=6,'A.0_Tablas salariales SC'!$R$146,IF(U164=10,'A.0_Tablas salariales SC'!$R$147,IF(U164=14,'A.0_Tablas salariales SC'!$R$148,IF(U164=18,'A.0_Tablas salariales SC'!$R$149,IF(U164=20,'A.0_Tablas salariales SC'!$R$150,IF(U164=22,'A.0_Tablas salariales SC'!$R$151,IF(U164=24,'A.0_Tablas salariales SC'!$R$152,IF(U164=26,'A.0_Tablas salariales SC'!$R$153,IF(U164=28,'A.0_Tablas salariales SC'!$R$154,0)))))))))))</f>
        <v>744.45309999999995</v>
      </c>
      <c r="AC164" s="175">
        <f>IF(V164=2,'A.0_Tablas salariales SC'!$R$173,(IF(V164=6,'A.0_Tablas salariales SC'!$R$174,IF(V164=10,'A.0_Tablas salariales SC'!$R$175,IF(V164=14,'A.0_Tablas salariales SC'!$R$176,IF(V164=18,'A.0_Tablas salariales SC'!$R$177,IF(V164=20,'A.0_Tablas salariales SC'!$R$178,IF(V164=22,'A.0_Tablas salariales SC'!$R$179,IF(V164=24,'A.0_Tablas salariales SC'!$R$180,IF(V164=26,'A.0_Tablas salariales SC'!$R$181,IF(V164=28,'A.0_Tablas salariales SC'!$R$182,0)))))))))))</f>
        <v>766.78669300000001</v>
      </c>
    </row>
    <row r="165" spans="1:29">
      <c r="A165" s="508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2">
        <f t="shared" ref="F165:F167" si="197">YEAR(E165)</f>
        <v>1900</v>
      </c>
      <c r="G165" s="173">
        <f t="shared" si="182"/>
        <v>2026</v>
      </c>
      <c r="H165" s="173">
        <f t="shared" si="182"/>
        <v>2032</v>
      </c>
      <c r="I165" s="173">
        <f t="shared" ref="I165:I167" si="198">($I$3-F165)*$I$4</f>
        <v>126</v>
      </c>
      <c r="J165" s="173">
        <f t="shared" ref="J165:J167" si="199">($J$3-F165)*$J$4</f>
        <v>127</v>
      </c>
      <c r="K165" s="173">
        <f t="shared" ref="K165:K167" si="200">($K$3-F165)*$K$4</f>
        <v>128</v>
      </c>
      <c r="L165" s="173">
        <f t="shared" ref="L165:L167" si="201">($L$3-F165)*$L$4</f>
        <v>129</v>
      </c>
      <c r="M165" s="173">
        <f t="shared" ref="M165:M167" si="202">($M$3-F165)*$M$4</f>
        <v>130</v>
      </c>
      <c r="N165" s="173">
        <f t="shared" ref="N165:N167" si="203">($N$3-F165)*$N$4</f>
        <v>131</v>
      </c>
      <c r="O165" s="173">
        <f t="shared" ref="O165:O167" si="204">($O$3-F165)*$O$4</f>
        <v>132</v>
      </c>
      <c r="P165" s="173">
        <f t="shared" ref="P165:P167" si="205">IF(I165&gt;=28,28,IF(I165&gt;=26,26,(IF(I165&gt;=24,24,IF(I165&gt;=22,22,IF(I165&gt;=20,20,IF(I165&gt;=18,18,IF(I165&gt;=14,14,(IF(I165&gt;=10,10,(IF(I165&gt;=6,6,(IF(I165&gt;=2,2,0))))))))))))))</f>
        <v>28</v>
      </c>
      <c r="Q165" s="173">
        <f t="shared" ref="Q165:Q167" si="206">IF(J165&gt;=28,28,IF(J165&gt;=26,26,(IF(J165&gt;=24,24,IF(J165&gt;=22,22,IF(J165&gt;=20,20,IF(J165&gt;=18,18,IF(J165&gt;=14,14,(IF(J165&gt;=10,10,(IF(J165&gt;=6,6,(IF(J165&gt;=2,2,0))))))))))))))</f>
        <v>28</v>
      </c>
      <c r="R165" s="173">
        <f t="shared" ref="R165:R167" si="207">IF(K165&gt;=28,28,IF(K165&gt;=26,26,(IF(K165&gt;=24,24,IF(K165&gt;=22,22,IF(K165&gt;=20,20,IF(K165&gt;=18,18,IF(K165&gt;=14,14,(IF(K165&gt;=10,10,(IF(K165&gt;=6,6,(IF(K165&gt;=2,2,0))))))))))))))</f>
        <v>28</v>
      </c>
      <c r="S165" s="173">
        <f t="shared" ref="S165:S167" si="208">IF(L165&gt;=28,28,IF(L165&gt;=26,26,(IF(L165&gt;=24,24,IF(L165&gt;=22,22,IF(L165&gt;=20,20,IF(L165&gt;=18,18,IF(L165&gt;=14,14,(IF(L165&gt;=10,10,(IF(L165&gt;=6,6,(IF(L165&gt;=2,2,0))))))))))))))</f>
        <v>28</v>
      </c>
      <c r="T165" s="173">
        <f t="shared" ref="T165:T167" si="209">IF(M165&gt;=28,28,IF(M165&gt;=26,26,(IF(M165&gt;=24,24,IF(M165&gt;=22,22,IF(M165&gt;=20,20,IF(M165&gt;=18,18,IF(M165&gt;=14,14,(IF(M165&gt;=10,10,(IF(M165&gt;=6,6,(IF(M165&gt;=2,2,0))))))))))))))</f>
        <v>28</v>
      </c>
      <c r="U165" s="173">
        <f t="shared" ref="U165:U167" si="210">IF(N165&gt;=28,28,IF(N165&gt;=26,26,(IF(N165&gt;=24,24,IF(N165&gt;=22,22,IF(N165&gt;=20,20,IF(N165&gt;=18,18,IF(N165&gt;=14,14,(IF(N165&gt;=10,10,(IF(N165&gt;=6,6,(IF(N165&gt;=2,2,0))))))))))))))</f>
        <v>28</v>
      </c>
      <c r="V165" s="173">
        <f t="shared" ref="V165:V167" si="211">IF(O165&gt;=28,28,IF(O165&gt;=26,26,(IF(O165&gt;=24,24,IF(O165&gt;=22,22,IF(O165&gt;=20,20,IF(O165&gt;=18,18,IF(O165&gt;=14,14,(IF(O165&gt;=10,10,(IF(O165&gt;=6,6,(IF(O165&gt;=2,2,0))))))))))))))</f>
        <v>28</v>
      </c>
      <c r="W165" s="175">
        <f>IF(P165=2,'A.0_Tablas salariales SC'!$R$9,(IF(P165=6,'A.0_Tablas salariales SC'!$R$10,IF(P165=10,'A.0_Tablas salariales SC'!$R$11,IF(P165=14,'A.0_Tablas salariales SC'!$R$12,IF(P165=18,'A.0_Tablas salariales SC'!$R$13,IF(P165=20,'A.0_Tablas salariales SC'!$R$14,IF(P165=22,'A.0_Tablas salariales SC'!$R$15,IF(P165=24,'A.0_Tablas salariales SC'!$R$16,IF(P165=26,'A.0_Tablas salariales SC'!$R$17,IF(P165=28,'A.0_Tablas salariales SC'!$R$18,0)))))))))))</f>
        <v>611.96</v>
      </c>
      <c r="X165" s="175">
        <f>IF(Q165=2,'A.0_Tablas salariales SC'!$R$36,(IF(Q165=6,'A.0_Tablas salariales SC'!$R$37,IF(Q165=10,'A.0_Tablas salariales SC'!$R$38,IF(Q165=14,'A.0_Tablas salariales SC'!$R$39,IF(Q165=18,'A.0_Tablas salariales SC'!$R$40,IF(Q165=20,'A.0_Tablas salariales SC'!$R$41,IF(Q165=22,'A.0_Tablas salariales SC'!$R$42,IF(Q165=24,'A.0_Tablas salariales SC'!$R$43,IF(Q165=26,'A.0_Tablas salariales SC'!$R$44,IF(Q165=28,'A.0_Tablas salariales SC'!$R$45,0)))))))))))</f>
        <v>633.38</v>
      </c>
      <c r="Y165" s="175">
        <f>IF(R165=2,'A.0_Tablas salariales SC'!$R$63,(IF(R165=6,'A.0_Tablas salariales SC'!$R$64,IF(R165=10,'A.0_Tablas salariales SC'!$R$65,IF(R165=14,'A.0_Tablas salariales SC'!$R$66,IF(R165=18,'A.0_Tablas salariales SC'!$R$67,IF(R165=20,'A.0_Tablas salariales SC'!$R$68,IF(R165=22,'A.0_Tablas salariales SC'!$R$69,IF(R165=24,'A.0_Tablas salariales SC'!$R$70,IF(R165=26,'A.0_Tablas salariales SC'!$R$71,IF(R165=28,'A.0_Tablas salariales SC'!$R$72,0)))))))))))</f>
        <v>658.71</v>
      </c>
      <c r="Z165" s="175">
        <f>IF(S165=2,'A.0_Tablas salariales SC'!$R$90,(IF(S165=6,'A.0_Tablas salariales SC'!$R$91,IF(S165=10,'A.0_Tablas salariales SC'!$R$92,IF(S165=14,'A.0_Tablas salariales SC'!$R$93,IF(S165=18,'A.0_Tablas salariales SC'!$R$94,IF(S165=20,'A.0_Tablas salariales SC'!$R$95,IF(S165=22,'A.0_Tablas salariales SC'!$R$96,IF(S165=24,'A.0_Tablas salariales SC'!$R$97,IF(S165=26,'A.0_Tablas salariales SC'!$R$98,IF(S165=28,'A.0_Tablas salariales SC'!$R$99,0)))))))))))</f>
        <v>688.35</v>
      </c>
      <c r="AA165" s="175">
        <f>IF(T165=2,'A.0_Tablas salariales SC'!$R$117,(IF(T165=6,'A.0_Tablas salariales SC'!$R$118,IF(T165=10,'A.0_Tablas salariales SC'!$R$119,IF(T165=14,'A.0_Tablas salariales SC'!$R$120,IF(T165=18,'A.0_Tablas salariales SC'!$R$121,IF(T165=20,'A.0_Tablas salariales SC'!$R$122,IF(T165=22,'A.0_Tablas salariales SC'!$R$123,IF(T165=24,'A.0_Tablas salariales SC'!$R$124,IF(T165=26,'A.0_Tablas salariales SC'!$R$125,IF(T165=28,'A.0_Tablas salariales SC'!$R$126,0)))))))))))</f>
        <v>722.77</v>
      </c>
      <c r="AB165" s="175">
        <f>IF(U165=2,'A.0_Tablas salariales SC'!$R$145,(IF(U165=6,'A.0_Tablas salariales SC'!$R$146,IF(U165=10,'A.0_Tablas salariales SC'!$R$147,IF(U165=14,'A.0_Tablas salariales SC'!$R$148,IF(U165=18,'A.0_Tablas salariales SC'!$R$149,IF(U165=20,'A.0_Tablas salariales SC'!$R$150,IF(U165=22,'A.0_Tablas salariales SC'!$R$151,IF(U165=24,'A.0_Tablas salariales SC'!$R$152,IF(U165=26,'A.0_Tablas salariales SC'!$R$153,IF(U165=28,'A.0_Tablas salariales SC'!$R$154,0)))))))))))</f>
        <v>744.45309999999995</v>
      </c>
      <c r="AC165" s="175">
        <f>IF(V165=2,'A.0_Tablas salariales SC'!$R$173,(IF(V165=6,'A.0_Tablas salariales SC'!$R$174,IF(V165=10,'A.0_Tablas salariales SC'!$R$175,IF(V165=14,'A.0_Tablas salariales SC'!$R$176,IF(V165=18,'A.0_Tablas salariales SC'!$R$177,IF(V165=20,'A.0_Tablas salariales SC'!$R$178,IF(V165=22,'A.0_Tablas salariales SC'!$R$179,IF(V165=24,'A.0_Tablas salariales SC'!$R$180,IF(V165=26,'A.0_Tablas salariales SC'!$R$181,IF(V165=28,'A.0_Tablas salariales SC'!$R$182,0)))))))))))</f>
        <v>766.78669300000001</v>
      </c>
    </row>
    <row r="166" spans="1:29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2">
        <f t="shared" si="197"/>
        <v>1900</v>
      </c>
      <c r="G166" s="173">
        <f t="shared" si="182"/>
        <v>2026</v>
      </c>
      <c r="H166" s="173">
        <f t="shared" si="182"/>
        <v>2032</v>
      </c>
      <c r="I166" s="173">
        <f t="shared" si="198"/>
        <v>126</v>
      </c>
      <c r="J166" s="173">
        <f t="shared" si="199"/>
        <v>127</v>
      </c>
      <c r="K166" s="173">
        <f t="shared" si="200"/>
        <v>128</v>
      </c>
      <c r="L166" s="173">
        <f t="shared" si="201"/>
        <v>129</v>
      </c>
      <c r="M166" s="173">
        <f t="shared" si="202"/>
        <v>130</v>
      </c>
      <c r="N166" s="173">
        <f t="shared" si="203"/>
        <v>131</v>
      </c>
      <c r="O166" s="173">
        <f t="shared" si="204"/>
        <v>132</v>
      </c>
      <c r="P166" s="173">
        <f t="shared" si="205"/>
        <v>28</v>
      </c>
      <c r="Q166" s="173">
        <f t="shared" si="206"/>
        <v>28</v>
      </c>
      <c r="R166" s="173">
        <f t="shared" si="207"/>
        <v>28</v>
      </c>
      <c r="S166" s="173">
        <f t="shared" si="208"/>
        <v>28</v>
      </c>
      <c r="T166" s="173">
        <f t="shared" si="209"/>
        <v>28</v>
      </c>
      <c r="U166" s="173">
        <f t="shared" si="210"/>
        <v>28</v>
      </c>
      <c r="V166" s="173">
        <f t="shared" si="211"/>
        <v>28</v>
      </c>
      <c r="W166" s="175">
        <f>IF(P166=2,'A.0_Tablas salariales SC'!$R$9,(IF(P166=6,'A.0_Tablas salariales SC'!$R$10,IF(P166=10,'A.0_Tablas salariales SC'!$R$11,IF(P166=14,'A.0_Tablas salariales SC'!$R$12,IF(P166=18,'A.0_Tablas salariales SC'!$R$13,IF(P166=20,'A.0_Tablas salariales SC'!$R$14,IF(P166=22,'A.0_Tablas salariales SC'!$R$15,IF(P166=24,'A.0_Tablas salariales SC'!$R$16,IF(P166=26,'A.0_Tablas salariales SC'!$R$17,IF(P166=28,'A.0_Tablas salariales SC'!$R$18,0)))))))))))</f>
        <v>611.96</v>
      </c>
      <c r="X166" s="175">
        <f>IF(Q166=2,'A.0_Tablas salariales SC'!$R$36,(IF(Q166=6,'A.0_Tablas salariales SC'!$R$37,IF(Q166=10,'A.0_Tablas salariales SC'!$R$38,IF(Q166=14,'A.0_Tablas salariales SC'!$R$39,IF(Q166=18,'A.0_Tablas salariales SC'!$R$40,IF(Q166=20,'A.0_Tablas salariales SC'!$R$41,IF(Q166=22,'A.0_Tablas salariales SC'!$R$42,IF(Q166=24,'A.0_Tablas salariales SC'!$R$43,IF(Q166=26,'A.0_Tablas salariales SC'!$R$44,IF(Q166=28,'A.0_Tablas salariales SC'!$R$45,0)))))))))))</f>
        <v>633.38</v>
      </c>
      <c r="Y166" s="175">
        <f>IF(R166=2,'A.0_Tablas salariales SC'!$R$63,(IF(R166=6,'A.0_Tablas salariales SC'!$R$64,IF(R166=10,'A.0_Tablas salariales SC'!$R$65,IF(R166=14,'A.0_Tablas salariales SC'!$R$66,IF(R166=18,'A.0_Tablas salariales SC'!$R$67,IF(R166=20,'A.0_Tablas salariales SC'!$R$68,IF(R166=22,'A.0_Tablas salariales SC'!$R$69,IF(R166=24,'A.0_Tablas salariales SC'!$R$70,IF(R166=26,'A.0_Tablas salariales SC'!$R$71,IF(R166=28,'A.0_Tablas salariales SC'!$R$72,0)))))))))))</f>
        <v>658.71</v>
      </c>
      <c r="Z166" s="175">
        <f>IF(S166=2,'A.0_Tablas salariales SC'!$R$90,(IF(S166=6,'A.0_Tablas salariales SC'!$R$91,IF(S166=10,'A.0_Tablas salariales SC'!$R$92,IF(S166=14,'A.0_Tablas salariales SC'!$R$93,IF(S166=18,'A.0_Tablas salariales SC'!$R$94,IF(S166=20,'A.0_Tablas salariales SC'!$R$95,IF(S166=22,'A.0_Tablas salariales SC'!$R$96,IF(S166=24,'A.0_Tablas salariales SC'!$R$97,IF(S166=26,'A.0_Tablas salariales SC'!$R$98,IF(S166=28,'A.0_Tablas salariales SC'!$R$99,0)))))))))))</f>
        <v>688.35</v>
      </c>
      <c r="AA166" s="175">
        <f>IF(T166=2,'A.0_Tablas salariales SC'!$R$117,(IF(T166=6,'A.0_Tablas salariales SC'!$R$118,IF(T166=10,'A.0_Tablas salariales SC'!$R$119,IF(T166=14,'A.0_Tablas salariales SC'!$R$120,IF(T166=18,'A.0_Tablas salariales SC'!$R$121,IF(T166=20,'A.0_Tablas salariales SC'!$R$122,IF(T166=22,'A.0_Tablas salariales SC'!$R$123,IF(T166=24,'A.0_Tablas salariales SC'!$R$124,IF(T166=26,'A.0_Tablas salariales SC'!$R$125,IF(T166=28,'A.0_Tablas salariales SC'!$R$126,0)))))))))))</f>
        <v>722.77</v>
      </c>
      <c r="AB166" s="175">
        <f>IF(U166=2,'A.0_Tablas salariales SC'!$R$145,(IF(U166=6,'A.0_Tablas salariales SC'!$R$146,IF(U166=10,'A.0_Tablas salariales SC'!$R$147,IF(U166=14,'A.0_Tablas salariales SC'!$R$148,IF(U166=18,'A.0_Tablas salariales SC'!$R$149,IF(U166=20,'A.0_Tablas salariales SC'!$R$150,IF(U166=22,'A.0_Tablas salariales SC'!$R$151,IF(U166=24,'A.0_Tablas salariales SC'!$R$152,IF(U166=26,'A.0_Tablas salariales SC'!$R$153,IF(U166=28,'A.0_Tablas salariales SC'!$R$154,0)))))))))))</f>
        <v>744.45309999999995</v>
      </c>
      <c r="AC166" s="175">
        <f>IF(V166=2,'A.0_Tablas salariales SC'!$R$173,(IF(V166=6,'A.0_Tablas salariales SC'!$R$174,IF(V166=10,'A.0_Tablas salariales SC'!$R$175,IF(V166=14,'A.0_Tablas salariales SC'!$R$176,IF(V166=18,'A.0_Tablas salariales SC'!$R$177,IF(V166=20,'A.0_Tablas salariales SC'!$R$178,IF(V166=22,'A.0_Tablas salariales SC'!$R$179,IF(V166=24,'A.0_Tablas salariales SC'!$R$180,IF(V166=26,'A.0_Tablas salariales SC'!$R$181,IF(V166=28,'A.0_Tablas salariales SC'!$R$182,0)))))))))))</f>
        <v>766.78669300000001</v>
      </c>
    </row>
    <row r="167" spans="1:29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2">
        <f t="shared" si="197"/>
        <v>1900</v>
      </c>
      <c r="G167" s="173">
        <f t="shared" si="182"/>
        <v>2026</v>
      </c>
      <c r="H167" s="173">
        <f t="shared" si="182"/>
        <v>2032</v>
      </c>
      <c r="I167" s="173">
        <f t="shared" si="198"/>
        <v>126</v>
      </c>
      <c r="J167" s="173">
        <f t="shared" si="199"/>
        <v>127</v>
      </c>
      <c r="K167" s="173">
        <f t="shared" si="200"/>
        <v>128</v>
      </c>
      <c r="L167" s="173">
        <f t="shared" si="201"/>
        <v>129</v>
      </c>
      <c r="M167" s="173">
        <f t="shared" si="202"/>
        <v>130</v>
      </c>
      <c r="N167" s="173">
        <f t="shared" si="203"/>
        <v>131</v>
      </c>
      <c r="O167" s="173">
        <f t="shared" si="204"/>
        <v>132</v>
      </c>
      <c r="P167" s="173">
        <f t="shared" si="205"/>
        <v>28</v>
      </c>
      <c r="Q167" s="173">
        <f t="shared" si="206"/>
        <v>28</v>
      </c>
      <c r="R167" s="173">
        <f t="shared" si="207"/>
        <v>28</v>
      </c>
      <c r="S167" s="173">
        <f t="shared" si="208"/>
        <v>28</v>
      </c>
      <c r="T167" s="173">
        <f t="shared" si="209"/>
        <v>28</v>
      </c>
      <c r="U167" s="173">
        <f t="shared" si="210"/>
        <v>28</v>
      </c>
      <c r="V167" s="173">
        <f t="shared" si="211"/>
        <v>28</v>
      </c>
      <c r="W167" s="175">
        <f>IF(P167=2,'A.0_Tablas salariales SC'!$R$9,(IF(P167=6,'A.0_Tablas salariales SC'!$R$10,IF(P167=10,'A.0_Tablas salariales SC'!$R$11,IF(P167=14,'A.0_Tablas salariales SC'!$R$12,IF(P167=18,'A.0_Tablas salariales SC'!$R$13,IF(P167=20,'A.0_Tablas salariales SC'!$R$14,IF(P167=22,'A.0_Tablas salariales SC'!$R$15,IF(P167=24,'A.0_Tablas salariales SC'!$R$16,IF(P167=26,'A.0_Tablas salariales SC'!$R$17,IF(P167=28,'A.0_Tablas salariales SC'!$R$18,0)))))))))))</f>
        <v>611.96</v>
      </c>
      <c r="X167" s="175">
        <f>IF(Q167=2,'A.0_Tablas salariales SC'!$R$36,(IF(Q167=6,'A.0_Tablas salariales SC'!$R$37,IF(Q167=10,'A.0_Tablas salariales SC'!$R$38,IF(Q167=14,'A.0_Tablas salariales SC'!$R$39,IF(Q167=18,'A.0_Tablas salariales SC'!$R$40,IF(Q167=20,'A.0_Tablas salariales SC'!$R$41,IF(Q167=22,'A.0_Tablas salariales SC'!$R$42,IF(Q167=24,'A.0_Tablas salariales SC'!$R$43,IF(Q167=26,'A.0_Tablas salariales SC'!$R$44,IF(Q167=28,'A.0_Tablas salariales SC'!$R$45,0)))))))))))</f>
        <v>633.38</v>
      </c>
      <c r="Y167" s="175">
        <f>IF(R167=2,'A.0_Tablas salariales SC'!$R$63,(IF(R167=6,'A.0_Tablas salariales SC'!$R$64,IF(R167=10,'A.0_Tablas salariales SC'!$R$65,IF(R167=14,'A.0_Tablas salariales SC'!$R$66,IF(R167=18,'A.0_Tablas salariales SC'!$R$67,IF(R167=20,'A.0_Tablas salariales SC'!$R$68,IF(R167=22,'A.0_Tablas salariales SC'!$R$69,IF(R167=24,'A.0_Tablas salariales SC'!$R$70,IF(R167=26,'A.0_Tablas salariales SC'!$R$71,IF(R167=28,'A.0_Tablas salariales SC'!$R$72,0)))))))))))</f>
        <v>658.71</v>
      </c>
      <c r="Z167" s="175">
        <f>IF(S167=2,'A.0_Tablas salariales SC'!$R$90,(IF(S167=6,'A.0_Tablas salariales SC'!$R$91,IF(S167=10,'A.0_Tablas salariales SC'!$R$92,IF(S167=14,'A.0_Tablas salariales SC'!$R$93,IF(S167=18,'A.0_Tablas salariales SC'!$R$94,IF(S167=20,'A.0_Tablas salariales SC'!$R$95,IF(S167=22,'A.0_Tablas salariales SC'!$R$96,IF(S167=24,'A.0_Tablas salariales SC'!$R$97,IF(S167=26,'A.0_Tablas salariales SC'!$R$98,IF(S167=28,'A.0_Tablas salariales SC'!$R$99,0)))))))))))</f>
        <v>688.35</v>
      </c>
      <c r="AA167" s="175">
        <f>IF(T167=2,'A.0_Tablas salariales SC'!$R$117,(IF(T167=6,'A.0_Tablas salariales SC'!$R$118,IF(T167=10,'A.0_Tablas salariales SC'!$R$119,IF(T167=14,'A.0_Tablas salariales SC'!$R$120,IF(T167=18,'A.0_Tablas salariales SC'!$R$121,IF(T167=20,'A.0_Tablas salariales SC'!$R$122,IF(T167=22,'A.0_Tablas salariales SC'!$R$123,IF(T167=24,'A.0_Tablas salariales SC'!$R$124,IF(T167=26,'A.0_Tablas salariales SC'!$R$125,IF(T167=28,'A.0_Tablas salariales SC'!$R$126,0)))))))))))</f>
        <v>722.77</v>
      </c>
      <c r="AB167" s="175">
        <f>IF(U167=2,'A.0_Tablas salariales SC'!$R$145,(IF(U167=6,'A.0_Tablas salariales SC'!$R$146,IF(U167=10,'A.0_Tablas salariales SC'!$R$147,IF(U167=14,'A.0_Tablas salariales SC'!$R$148,IF(U167=18,'A.0_Tablas salariales SC'!$R$149,IF(U167=20,'A.0_Tablas salariales SC'!$R$150,IF(U167=22,'A.0_Tablas salariales SC'!$R$151,IF(U167=24,'A.0_Tablas salariales SC'!$R$152,IF(U167=26,'A.0_Tablas salariales SC'!$R$153,IF(U167=28,'A.0_Tablas salariales SC'!$R$154,0)))))))))))</f>
        <v>744.45309999999995</v>
      </c>
      <c r="AC167" s="175">
        <f>IF(V167=2,'A.0_Tablas salariales SC'!$R$173,(IF(V167=6,'A.0_Tablas salariales SC'!$R$174,IF(V167=10,'A.0_Tablas salariales SC'!$R$175,IF(V167=14,'A.0_Tablas salariales SC'!$R$176,IF(V167=18,'A.0_Tablas salariales SC'!$R$177,IF(V167=20,'A.0_Tablas salariales SC'!$R$178,IF(V167=22,'A.0_Tablas salariales SC'!$R$179,IF(V167=24,'A.0_Tablas salariales SC'!$R$180,IF(V167=26,'A.0_Tablas salariales SC'!$R$181,IF(V167=28,'A.0_Tablas salariales SC'!$R$182,0)))))))))))</f>
        <v>766.78669300000001</v>
      </c>
    </row>
    <row r="168" spans="1:29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2">
        <f>YEAR(E168)</f>
        <v>1900</v>
      </c>
      <c r="G168" s="173">
        <f t="shared" si="182"/>
        <v>2026</v>
      </c>
      <c r="H168" s="173">
        <f t="shared" si="182"/>
        <v>2032</v>
      </c>
      <c r="I168" s="173">
        <f t="shared" si="183"/>
        <v>126</v>
      </c>
      <c r="J168" s="173">
        <f t="shared" si="184"/>
        <v>127</v>
      </c>
      <c r="K168" s="173">
        <f t="shared" si="185"/>
        <v>128</v>
      </c>
      <c r="L168" s="173">
        <f t="shared" si="186"/>
        <v>129</v>
      </c>
      <c r="M168" s="173">
        <f t="shared" si="187"/>
        <v>130</v>
      </c>
      <c r="N168" s="173">
        <f t="shared" si="188"/>
        <v>131</v>
      </c>
      <c r="O168" s="173">
        <f t="shared" si="189"/>
        <v>132</v>
      </c>
      <c r="P168" s="173">
        <f t="shared" si="190"/>
        <v>28</v>
      </c>
      <c r="Q168" s="173">
        <f t="shared" si="191"/>
        <v>28</v>
      </c>
      <c r="R168" s="173">
        <f t="shared" si="192"/>
        <v>28</v>
      </c>
      <c r="S168" s="173">
        <f t="shared" si="193"/>
        <v>28</v>
      </c>
      <c r="T168" s="173">
        <f t="shared" si="194"/>
        <v>28</v>
      </c>
      <c r="U168" s="173">
        <f t="shared" si="195"/>
        <v>28</v>
      </c>
      <c r="V168" s="173">
        <f t="shared" si="196"/>
        <v>28</v>
      </c>
      <c r="W168" s="175">
        <f>IF(P168=2,'A.0_Tablas salariales SC'!$R$9,(IF(P168=6,'A.0_Tablas salariales SC'!$R$10,IF(P168=10,'A.0_Tablas salariales SC'!$R$11,IF(P168=14,'A.0_Tablas salariales SC'!$R$12,IF(P168=18,'A.0_Tablas salariales SC'!$R$13,IF(P168=20,'A.0_Tablas salariales SC'!$R$14,IF(P168=22,'A.0_Tablas salariales SC'!$R$15,IF(P168=24,'A.0_Tablas salariales SC'!$R$16,IF(P168=26,'A.0_Tablas salariales SC'!$R$17,IF(P168=28,'A.0_Tablas salariales SC'!$R$18,0)))))))))))</f>
        <v>611.96</v>
      </c>
      <c r="X168" s="175">
        <f>IF(Q168=2,'A.0_Tablas salariales SC'!$R$36,(IF(Q168=6,'A.0_Tablas salariales SC'!$R$37,IF(Q168=10,'A.0_Tablas salariales SC'!$R$38,IF(Q168=14,'A.0_Tablas salariales SC'!$R$39,IF(Q168=18,'A.0_Tablas salariales SC'!$R$40,IF(Q168=20,'A.0_Tablas salariales SC'!$R$41,IF(Q168=22,'A.0_Tablas salariales SC'!$R$42,IF(Q168=24,'A.0_Tablas salariales SC'!$R$43,IF(Q168=26,'A.0_Tablas salariales SC'!$R$44,IF(Q168=28,'A.0_Tablas salariales SC'!$R$45,0)))))))))))</f>
        <v>633.38</v>
      </c>
      <c r="Y168" s="175">
        <f>IF(R168=2,'A.0_Tablas salariales SC'!$R$63,(IF(R168=6,'A.0_Tablas salariales SC'!$R$64,IF(R168=10,'A.0_Tablas salariales SC'!$R$65,IF(R168=14,'A.0_Tablas salariales SC'!$R$66,IF(R168=18,'A.0_Tablas salariales SC'!$R$67,IF(R168=20,'A.0_Tablas salariales SC'!$R$68,IF(R168=22,'A.0_Tablas salariales SC'!$R$69,IF(R168=24,'A.0_Tablas salariales SC'!$R$70,IF(R168=26,'A.0_Tablas salariales SC'!$R$71,IF(R168=28,'A.0_Tablas salariales SC'!$R$72,0)))))))))))</f>
        <v>658.71</v>
      </c>
      <c r="Z168" s="175">
        <f>IF(S168=2,'A.0_Tablas salariales SC'!$R$90,(IF(S168=6,'A.0_Tablas salariales SC'!$R$91,IF(S168=10,'A.0_Tablas salariales SC'!$R$92,IF(S168=14,'A.0_Tablas salariales SC'!$R$93,IF(S168=18,'A.0_Tablas salariales SC'!$R$94,IF(S168=20,'A.0_Tablas salariales SC'!$R$95,IF(S168=22,'A.0_Tablas salariales SC'!$R$96,IF(S168=24,'A.0_Tablas salariales SC'!$R$97,IF(S168=26,'A.0_Tablas salariales SC'!$R$98,IF(S168=28,'A.0_Tablas salariales SC'!$R$99,0)))))))))))</f>
        <v>688.35</v>
      </c>
      <c r="AA168" s="175">
        <f>IF(T168=2,'A.0_Tablas salariales SC'!$R$117,(IF(T168=6,'A.0_Tablas salariales SC'!$R$118,IF(T168=10,'A.0_Tablas salariales SC'!$R$119,IF(T168=14,'A.0_Tablas salariales SC'!$R$120,IF(T168=18,'A.0_Tablas salariales SC'!$R$121,IF(T168=20,'A.0_Tablas salariales SC'!$R$122,IF(T168=22,'A.0_Tablas salariales SC'!$R$123,IF(T168=24,'A.0_Tablas salariales SC'!$R$124,IF(T168=26,'A.0_Tablas salariales SC'!$R$125,IF(T168=28,'A.0_Tablas salariales SC'!$R$126,0)))))))))))</f>
        <v>722.77</v>
      </c>
      <c r="AB168" s="175">
        <f>IF(U168=2,'A.0_Tablas salariales SC'!$R$145,(IF(U168=6,'A.0_Tablas salariales SC'!$R$146,IF(U168=10,'A.0_Tablas salariales SC'!$R$147,IF(U168=14,'A.0_Tablas salariales SC'!$R$148,IF(U168=18,'A.0_Tablas salariales SC'!$R$149,IF(U168=20,'A.0_Tablas salariales SC'!$R$150,IF(U168=22,'A.0_Tablas salariales SC'!$R$151,IF(U168=24,'A.0_Tablas salariales SC'!$R$152,IF(U168=26,'A.0_Tablas salariales SC'!$R$153,IF(U168=28,'A.0_Tablas salariales SC'!$R$154,0)))))))))))</f>
        <v>744.45309999999995</v>
      </c>
      <c r="AC168" s="175">
        <f>IF(V168=2,'A.0_Tablas salariales SC'!$R$173,(IF(V168=6,'A.0_Tablas salariales SC'!$R$174,IF(V168=10,'A.0_Tablas salariales SC'!$R$175,IF(V168=14,'A.0_Tablas salariales SC'!$R$176,IF(V168=18,'A.0_Tablas salariales SC'!$R$177,IF(V168=20,'A.0_Tablas salariales SC'!$R$178,IF(V168=22,'A.0_Tablas salariales SC'!$R$179,IF(V168=24,'A.0_Tablas salariales SC'!$R$180,IF(V168=26,'A.0_Tablas salariales SC'!$R$181,IF(V168=28,'A.0_Tablas salariales SC'!$R$182,0)))))))))))</f>
        <v>766.78669300000001</v>
      </c>
    </row>
    <row r="169" spans="1:29">
      <c r="A169" s="508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2">
        <f t="shared" ref="F169:F171" si="212">YEAR(E169)</f>
        <v>1900</v>
      </c>
      <c r="G169" s="173">
        <f t="shared" si="182"/>
        <v>2026</v>
      </c>
      <c r="H169" s="173">
        <f t="shared" si="182"/>
        <v>2032</v>
      </c>
      <c r="I169" s="173">
        <f t="shared" ref="I169:I171" si="213">($I$3-F169)*$I$4</f>
        <v>126</v>
      </c>
      <c r="J169" s="173">
        <f t="shared" ref="J169:J171" si="214">($J$3-F169)*$J$4</f>
        <v>127</v>
      </c>
      <c r="K169" s="173">
        <f t="shared" ref="K169:K171" si="215">($K$3-F169)*$K$4</f>
        <v>128</v>
      </c>
      <c r="L169" s="173">
        <f t="shared" ref="L169:L171" si="216">($L$3-F169)*$L$4</f>
        <v>129</v>
      </c>
      <c r="M169" s="173">
        <f t="shared" ref="M169:M171" si="217">($M$3-F169)*$M$4</f>
        <v>130</v>
      </c>
      <c r="N169" s="173">
        <f t="shared" ref="N169:N171" si="218">($N$3-F169)*$N$4</f>
        <v>131</v>
      </c>
      <c r="O169" s="173">
        <f t="shared" ref="O169:O171" si="219">($O$3-F169)*$O$4</f>
        <v>132</v>
      </c>
      <c r="P169" s="173">
        <f t="shared" ref="P169:P171" si="220">IF(I169&gt;=28,28,IF(I169&gt;=26,26,(IF(I169&gt;=24,24,IF(I169&gt;=22,22,IF(I169&gt;=20,20,IF(I169&gt;=18,18,IF(I169&gt;=14,14,(IF(I169&gt;=10,10,(IF(I169&gt;=6,6,(IF(I169&gt;=2,2,0))))))))))))))</f>
        <v>28</v>
      </c>
      <c r="Q169" s="173">
        <f t="shared" ref="Q169:Q171" si="221">IF(J169&gt;=28,28,IF(J169&gt;=26,26,(IF(J169&gt;=24,24,IF(J169&gt;=22,22,IF(J169&gt;=20,20,IF(J169&gt;=18,18,IF(J169&gt;=14,14,(IF(J169&gt;=10,10,(IF(J169&gt;=6,6,(IF(J169&gt;=2,2,0))))))))))))))</f>
        <v>28</v>
      </c>
      <c r="R169" s="173">
        <f t="shared" ref="R169:R171" si="222">IF(K169&gt;=28,28,IF(K169&gt;=26,26,(IF(K169&gt;=24,24,IF(K169&gt;=22,22,IF(K169&gt;=20,20,IF(K169&gt;=18,18,IF(K169&gt;=14,14,(IF(K169&gt;=10,10,(IF(K169&gt;=6,6,(IF(K169&gt;=2,2,0))))))))))))))</f>
        <v>28</v>
      </c>
      <c r="S169" s="173">
        <f t="shared" ref="S169:S171" si="223">IF(L169&gt;=28,28,IF(L169&gt;=26,26,(IF(L169&gt;=24,24,IF(L169&gt;=22,22,IF(L169&gt;=20,20,IF(L169&gt;=18,18,IF(L169&gt;=14,14,(IF(L169&gt;=10,10,(IF(L169&gt;=6,6,(IF(L169&gt;=2,2,0))))))))))))))</f>
        <v>28</v>
      </c>
      <c r="T169" s="173">
        <f t="shared" ref="T169:T171" si="224">IF(M169&gt;=28,28,IF(M169&gt;=26,26,(IF(M169&gt;=24,24,IF(M169&gt;=22,22,IF(M169&gt;=20,20,IF(M169&gt;=18,18,IF(M169&gt;=14,14,(IF(M169&gt;=10,10,(IF(M169&gt;=6,6,(IF(M169&gt;=2,2,0))))))))))))))</f>
        <v>28</v>
      </c>
      <c r="U169" s="173">
        <f t="shared" ref="U169:U171" si="225">IF(N169&gt;=28,28,IF(N169&gt;=26,26,(IF(N169&gt;=24,24,IF(N169&gt;=22,22,IF(N169&gt;=20,20,IF(N169&gt;=18,18,IF(N169&gt;=14,14,(IF(N169&gt;=10,10,(IF(N169&gt;=6,6,(IF(N169&gt;=2,2,0))))))))))))))</f>
        <v>28</v>
      </c>
      <c r="V169" s="173">
        <f t="shared" ref="V169:V171" si="226">IF(O169&gt;=28,28,IF(O169&gt;=26,26,(IF(O169&gt;=24,24,IF(O169&gt;=22,22,IF(O169&gt;=20,20,IF(O169&gt;=18,18,IF(O169&gt;=14,14,(IF(O169&gt;=10,10,(IF(O169&gt;=6,6,(IF(O169&gt;=2,2,0))))))))))))))</f>
        <v>28</v>
      </c>
      <c r="W169" s="175">
        <f>IF(P169=2,'A.0_Tablas salariales SC'!$R$9,(IF(P169=6,'A.0_Tablas salariales SC'!$R$10,IF(P169=10,'A.0_Tablas salariales SC'!$R$11,IF(P169=14,'A.0_Tablas salariales SC'!$R$12,IF(P169=18,'A.0_Tablas salariales SC'!$R$13,IF(P169=20,'A.0_Tablas salariales SC'!$R$14,IF(P169=22,'A.0_Tablas salariales SC'!$R$15,IF(P169=24,'A.0_Tablas salariales SC'!$R$16,IF(P169=26,'A.0_Tablas salariales SC'!$R$17,IF(P169=28,'A.0_Tablas salariales SC'!$R$18,0)))))))))))</f>
        <v>611.96</v>
      </c>
      <c r="X169" s="175">
        <f>IF(Q169=2,'A.0_Tablas salariales SC'!$R$36,(IF(Q169=6,'A.0_Tablas salariales SC'!$R$37,IF(Q169=10,'A.0_Tablas salariales SC'!$R$38,IF(Q169=14,'A.0_Tablas salariales SC'!$R$39,IF(Q169=18,'A.0_Tablas salariales SC'!$R$40,IF(Q169=20,'A.0_Tablas salariales SC'!$R$41,IF(Q169=22,'A.0_Tablas salariales SC'!$R$42,IF(Q169=24,'A.0_Tablas salariales SC'!$R$43,IF(Q169=26,'A.0_Tablas salariales SC'!$R$44,IF(Q169=28,'A.0_Tablas salariales SC'!$R$45,0)))))))))))</f>
        <v>633.38</v>
      </c>
      <c r="Y169" s="175">
        <f>IF(R169=2,'A.0_Tablas salariales SC'!$R$63,(IF(R169=6,'A.0_Tablas salariales SC'!$R$64,IF(R169=10,'A.0_Tablas salariales SC'!$R$65,IF(R169=14,'A.0_Tablas salariales SC'!$R$66,IF(R169=18,'A.0_Tablas salariales SC'!$R$67,IF(R169=20,'A.0_Tablas salariales SC'!$R$68,IF(R169=22,'A.0_Tablas salariales SC'!$R$69,IF(R169=24,'A.0_Tablas salariales SC'!$R$70,IF(R169=26,'A.0_Tablas salariales SC'!$R$71,IF(R169=28,'A.0_Tablas salariales SC'!$R$72,0)))))))))))</f>
        <v>658.71</v>
      </c>
      <c r="Z169" s="175">
        <f>IF(S169=2,'A.0_Tablas salariales SC'!$R$90,(IF(S169=6,'A.0_Tablas salariales SC'!$R$91,IF(S169=10,'A.0_Tablas salariales SC'!$R$92,IF(S169=14,'A.0_Tablas salariales SC'!$R$93,IF(S169=18,'A.0_Tablas salariales SC'!$R$94,IF(S169=20,'A.0_Tablas salariales SC'!$R$95,IF(S169=22,'A.0_Tablas salariales SC'!$R$96,IF(S169=24,'A.0_Tablas salariales SC'!$R$97,IF(S169=26,'A.0_Tablas salariales SC'!$R$98,IF(S169=28,'A.0_Tablas salariales SC'!$R$99,0)))))))))))</f>
        <v>688.35</v>
      </c>
      <c r="AA169" s="175">
        <f>IF(T169=2,'A.0_Tablas salariales SC'!$R$117,(IF(T169=6,'A.0_Tablas salariales SC'!$R$118,IF(T169=10,'A.0_Tablas salariales SC'!$R$119,IF(T169=14,'A.0_Tablas salariales SC'!$R$120,IF(T169=18,'A.0_Tablas salariales SC'!$R$121,IF(T169=20,'A.0_Tablas salariales SC'!$R$122,IF(T169=22,'A.0_Tablas salariales SC'!$R$123,IF(T169=24,'A.0_Tablas salariales SC'!$R$124,IF(T169=26,'A.0_Tablas salariales SC'!$R$125,IF(T169=28,'A.0_Tablas salariales SC'!$R$126,0)))))))))))</f>
        <v>722.77</v>
      </c>
      <c r="AB169" s="175">
        <f>IF(U169=2,'A.0_Tablas salariales SC'!$R$145,(IF(U169=6,'A.0_Tablas salariales SC'!$R$146,IF(U169=10,'A.0_Tablas salariales SC'!$R$147,IF(U169=14,'A.0_Tablas salariales SC'!$R$148,IF(U169=18,'A.0_Tablas salariales SC'!$R$149,IF(U169=20,'A.0_Tablas salariales SC'!$R$150,IF(U169=22,'A.0_Tablas salariales SC'!$R$151,IF(U169=24,'A.0_Tablas salariales SC'!$R$152,IF(U169=26,'A.0_Tablas salariales SC'!$R$153,IF(U169=28,'A.0_Tablas salariales SC'!$R$154,0)))))))))))</f>
        <v>744.45309999999995</v>
      </c>
      <c r="AC169" s="175">
        <f>IF(V169=2,'A.0_Tablas salariales SC'!$R$173,(IF(V169=6,'A.0_Tablas salariales SC'!$R$174,IF(V169=10,'A.0_Tablas salariales SC'!$R$175,IF(V169=14,'A.0_Tablas salariales SC'!$R$176,IF(V169=18,'A.0_Tablas salariales SC'!$R$177,IF(V169=20,'A.0_Tablas salariales SC'!$R$178,IF(V169=22,'A.0_Tablas salariales SC'!$R$179,IF(V169=24,'A.0_Tablas salariales SC'!$R$180,IF(V169=26,'A.0_Tablas salariales SC'!$R$181,IF(V169=28,'A.0_Tablas salariales SC'!$R$182,0)))))))))))</f>
        <v>766.78669300000001</v>
      </c>
    </row>
    <row r="170" spans="1:29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2">
        <f t="shared" si="212"/>
        <v>1900</v>
      </c>
      <c r="G170" s="173">
        <f t="shared" si="182"/>
        <v>2026</v>
      </c>
      <c r="H170" s="173">
        <f t="shared" si="182"/>
        <v>2032</v>
      </c>
      <c r="I170" s="173">
        <f t="shared" si="213"/>
        <v>126</v>
      </c>
      <c r="J170" s="173">
        <f t="shared" si="214"/>
        <v>127</v>
      </c>
      <c r="K170" s="173">
        <f t="shared" si="215"/>
        <v>128</v>
      </c>
      <c r="L170" s="173">
        <f t="shared" si="216"/>
        <v>129</v>
      </c>
      <c r="M170" s="173">
        <f t="shared" si="217"/>
        <v>130</v>
      </c>
      <c r="N170" s="173">
        <f t="shared" si="218"/>
        <v>131</v>
      </c>
      <c r="O170" s="173">
        <f t="shared" si="219"/>
        <v>132</v>
      </c>
      <c r="P170" s="173">
        <f t="shared" si="220"/>
        <v>28</v>
      </c>
      <c r="Q170" s="173">
        <f t="shared" si="221"/>
        <v>28</v>
      </c>
      <c r="R170" s="173">
        <f t="shared" si="222"/>
        <v>28</v>
      </c>
      <c r="S170" s="173">
        <f t="shared" si="223"/>
        <v>28</v>
      </c>
      <c r="T170" s="173">
        <f t="shared" si="224"/>
        <v>28</v>
      </c>
      <c r="U170" s="173">
        <f t="shared" si="225"/>
        <v>28</v>
      </c>
      <c r="V170" s="173">
        <f t="shared" si="226"/>
        <v>28</v>
      </c>
      <c r="W170" s="175">
        <f>IF(P170=2,'A.0_Tablas salariales SC'!$R$9,(IF(P170=6,'A.0_Tablas salariales SC'!$R$10,IF(P170=10,'A.0_Tablas salariales SC'!$R$11,IF(P170=14,'A.0_Tablas salariales SC'!$R$12,IF(P170=18,'A.0_Tablas salariales SC'!$R$13,IF(P170=20,'A.0_Tablas salariales SC'!$R$14,IF(P170=22,'A.0_Tablas salariales SC'!$R$15,IF(P170=24,'A.0_Tablas salariales SC'!$R$16,IF(P170=26,'A.0_Tablas salariales SC'!$R$17,IF(P170=28,'A.0_Tablas salariales SC'!$R$18,0)))))))))))</f>
        <v>611.96</v>
      </c>
      <c r="X170" s="175">
        <f>IF(Q170=2,'A.0_Tablas salariales SC'!$R$36,(IF(Q170=6,'A.0_Tablas salariales SC'!$R$37,IF(Q170=10,'A.0_Tablas salariales SC'!$R$38,IF(Q170=14,'A.0_Tablas salariales SC'!$R$39,IF(Q170=18,'A.0_Tablas salariales SC'!$R$40,IF(Q170=20,'A.0_Tablas salariales SC'!$R$41,IF(Q170=22,'A.0_Tablas salariales SC'!$R$42,IF(Q170=24,'A.0_Tablas salariales SC'!$R$43,IF(Q170=26,'A.0_Tablas salariales SC'!$R$44,IF(Q170=28,'A.0_Tablas salariales SC'!$R$45,0)))))))))))</f>
        <v>633.38</v>
      </c>
      <c r="Y170" s="175">
        <f>IF(R170=2,'A.0_Tablas salariales SC'!$R$63,(IF(R170=6,'A.0_Tablas salariales SC'!$R$64,IF(R170=10,'A.0_Tablas salariales SC'!$R$65,IF(R170=14,'A.0_Tablas salariales SC'!$R$66,IF(R170=18,'A.0_Tablas salariales SC'!$R$67,IF(R170=20,'A.0_Tablas salariales SC'!$R$68,IF(R170=22,'A.0_Tablas salariales SC'!$R$69,IF(R170=24,'A.0_Tablas salariales SC'!$R$70,IF(R170=26,'A.0_Tablas salariales SC'!$R$71,IF(R170=28,'A.0_Tablas salariales SC'!$R$72,0)))))))))))</f>
        <v>658.71</v>
      </c>
      <c r="Z170" s="175">
        <f>IF(S170=2,'A.0_Tablas salariales SC'!$R$90,(IF(S170=6,'A.0_Tablas salariales SC'!$R$91,IF(S170=10,'A.0_Tablas salariales SC'!$R$92,IF(S170=14,'A.0_Tablas salariales SC'!$R$93,IF(S170=18,'A.0_Tablas salariales SC'!$R$94,IF(S170=20,'A.0_Tablas salariales SC'!$R$95,IF(S170=22,'A.0_Tablas salariales SC'!$R$96,IF(S170=24,'A.0_Tablas salariales SC'!$R$97,IF(S170=26,'A.0_Tablas salariales SC'!$R$98,IF(S170=28,'A.0_Tablas salariales SC'!$R$99,0)))))))))))</f>
        <v>688.35</v>
      </c>
      <c r="AA170" s="175">
        <f>IF(T170=2,'A.0_Tablas salariales SC'!$R$117,(IF(T170=6,'A.0_Tablas salariales SC'!$R$118,IF(T170=10,'A.0_Tablas salariales SC'!$R$119,IF(T170=14,'A.0_Tablas salariales SC'!$R$120,IF(T170=18,'A.0_Tablas salariales SC'!$R$121,IF(T170=20,'A.0_Tablas salariales SC'!$R$122,IF(T170=22,'A.0_Tablas salariales SC'!$R$123,IF(T170=24,'A.0_Tablas salariales SC'!$R$124,IF(T170=26,'A.0_Tablas salariales SC'!$R$125,IF(T170=28,'A.0_Tablas salariales SC'!$R$126,0)))))))))))</f>
        <v>722.77</v>
      </c>
      <c r="AB170" s="175">
        <f>IF(U170=2,'A.0_Tablas salariales SC'!$R$145,(IF(U170=6,'A.0_Tablas salariales SC'!$R$146,IF(U170=10,'A.0_Tablas salariales SC'!$R$147,IF(U170=14,'A.0_Tablas salariales SC'!$R$148,IF(U170=18,'A.0_Tablas salariales SC'!$R$149,IF(U170=20,'A.0_Tablas salariales SC'!$R$150,IF(U170=22,'A.0_Tablas salariales SC'!$R$151,IF(U170=24,'A.0_Tablas salariales SC'!$R$152,IF(U170=26,'A.0_Tablas salariales SC'!$R$153,IF(U170=28,'A.0_Tablas salariales SC'!$R$154,0)))))))))))</f>
        <v>744.45309999999995</v>
      </c>
      <c r="AC170" s="175">
        <f>IF(V170=2,'A.0_Tablas salariales SC'!$R$173,(IF(V170=6,'A.0_Tablas salariales SC'!$R$174,IF(V170=10,'A.0_Tablas salariales SC'!$R$175,IF(V170=14,'A.0_Tablas salariales SC'!$R$176,IF(V170=18,'A.0_Tablas salariales SC'!$R$177,IF(V170=20,'A.0_Tablas salariales SC'!$R$178,IF(V170=22,'A.0_Tablas salariales SC'!$R$179,IF(V170=24,'A.0_Tablas salariales SC'!$R$180,IF(V170=26,'A.0_Tablas salariales SC'!$R$181,IF(V170=28,'A.0_Tablas salariales SC'!$R$182,0)))))))))))</f>
        <v>766.78669300000001</v>
      </c>
    </row>
    <row r="171" spans="1:29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2">
        <f t="shared" si="212"/>
        <v>1900</v>
      </c>
      <c r="G171" s="173">
        <f t="shared" si="182"/>
        <v>2026</v>
      </c>
      <c r="H171" s="173">
        <f t="shared" si="182"/>
        <v>2032</v>
      </c>
      <c r="I171" s="173">
        <f t="shared" si="213"/>
        <v>126</v>
      </c>
      <c r="J171" s="173">
        <f t="shared" si="214"/>
        <v>127</v>
      </c>
      <c r="K171" s="173">
        <f t="shared" si="215"/>
        <v>128</v>
      </c>
      <c r="L171" s="173">
        <f t="shared" si="216"/>
        <v>129</v>
      </c>
      <c r="M171" s="173">
        <f t="shared" si="217"/>
        <v>130</v>
      </c>
      <c r="N171" s="173">
        <f t="shared" si="218"/>
        <v>131</v>
      </c>
      <c r="O171" s="173">
        <f t="shared" si="219"/>
        <v>132</v>
      </c>
      <c r="P171" s="173">
        <f t="shared" si="220"/>
        <v>28</v>
      </c>
      <c r="Q171" s="173">
        <f t="shared" si="221"/>
        <v>28</v>
      </c>
      <c r="R171" s="173">
        <f t="shared" si="222"/>
        <v>28</v>
      </c>
      <c r="S171" s="173">
        <f t="shared" si="223"/>
        <v>28</v>
      </c>
      <c r="T171" s="173">
        <f t="shared" si="224"/>
        <v>28</v>
      </c>
      <c r="U171" s="173">
        <f t="shared" si="225"/>
        <v>28</v>
      </c>
      <c r="V171" s="173">
        <f t="shared" si="226"/>
        <v>28</v>
      </c>
      <c r="W171" s="175">
        <f>IF(P171=2,'A.0_Tablas salariales SC'!$R$9,(IF(P171=6,'A.0_Tablas salariales SC'!$R$10,IF(P171=10,'A.0_Tablas salariales SC'!$R$11,IF(P171=14,'A.0_Tablas salariales SC'!$R$12,IF(P171=18,'A.0_Tablas salariales SC'!$R$13,IF(P171=20,'A.0_Tablas salariales SC'!$R$14,IF(P171=22,'A.0_Tablas salariales SC'!$R$15,IF(P171=24,'A.0_Tablas salariales SC'!$R$16,IF(P171=26,'A.0_Tablas salariales SC'!$R$17,IF(P171=28,'A.0_Tablas salariales SC'!$R$18,0)))))))))))</f>
        <v>611.96</v>
      </c>
      <c r="X171" s="175">
        <f>IF(Q171=2,'A.0_Tablas salariales SC'!$R$36,(IF(Q171=6,'A.0_Tablas salariales SC'!$R$37,IF(Q171=10,'A.0_Tablas salariales SC'!$R$38,IF(Q171=14,'A.0_Tablas salariales SC'!$R$39,IF(Q171=18,'A.0_Tablas salariales SC'!$R$40,IF(Q171=20,'A.0_Tablas salariales SC'!$R$41,IF(Q171=22,'A.0_Tablas salariales SC'!$R$42,IF(Q171=24,'A.0_Tablas salariales SC'!$R$43,IF(Q171=26,'A.0_Tablas salariales SC'!$R$44,IF(Q171=28,'A.0_Tablas salariales SC'!$R$45,0)))))))))))</f>
        <v>633.38</v>
      </c>
      <c r="Y171" s="175">
        <f>IF(R171=2,'A.0_Tablas salariales SC'!$R$63,(IF(R171=6,'A.0_Tablas salariales SC'!$R$64,IF(R171=10,'A.0_Tablas salariales SC'!$R$65,IF(R171=14,'A.0_Tablas salariales SC'!$R$66,IF(R171=18,'A.0_Tablas salariales SC'!$R$67,IF(R171=20,'A.0_Tablas salariales SC'!$R$68,IF(R171=22,'A.0_Tablas salariales SC'!$R$69,IF(R171=24,'A.0_Tablas salariales SC'!$R$70,IF(R171=26,'A.0_Tablas salariales SC'!$R$71,IF(R171=28,'A.0_Tablas salariales SC'!$R$72,0)))))))))))</f>
        <v>658.71</v>
      </c>
      <c r="Z171" s="175">
        <f>IF(S171=2,'A.0_Tablas salariales SC'!$R$90,(IF(S171=6,'A.0_Tablas salariales SC'!$R$91,IF(S171=10,'A.0_Tablas salariales SC'!$R$92,IF(S171=14,'A.0_Tablas salariales SC'!$R$93,IF(S171=18,'A.0_Tablas salariales SC'!$R$94,IF(S171=20,'A.0_Tablas salariales SC'!$R$95,IF(S171=22,'A.0_Tablas salariales SC'!$R$96,IF(S171=24,'A.0_Tablas salariales SC'!$R$97,IF(S171=26,'A.0_Tablas salariales SC'!$R$98,IF(S171=28,'A.0_Tablas salariales SC'!$R$99,0)))))))))))</f>
        <v>688.35</v>
      </c>
      <c r="AA171" s="175">
        <f>IF(T171=2,'A.0_Tablas salariales SC'!$R$117,(IF(T171=6,'A.0_Tablas salariales SC'!$R$118,IF(T171=10,'A.0_Tablas salariales SC'!$R$119,IF(T171=14,'A.0_Tablas salariales SC'!$R$120,IF(T171=18,'A.0_Tablas salariales SC'!$R$121,IF(T171=20,'A.0_Tablas salariales SC'!$R$122,IF(T171=22,'A.0_Tablas salariales SC'!$R$123,IF(T171=24,'A.0_Tablas salariales SC'!$R$124,IF(T171=26,'A.0_Tablas salariales SC'!$R$125,IF(T171=28,'A.0_Tablas salariales SC'!$R$126,0)))))))))))</f>
        <v>722.77</v>
      </c>
      <c r="AB171" s="175">
        <f>IF(U171=2,'A.0_Tablas salariales SC'!$R$145,(IF(U171=6,'A.0_Tablas salariales SC'!$R$146,IF(U171=10,'A.0_Tablas salariales SC'!$R$147,IF(U171=14,'A.0_Tablas salariales SC'!$R$148,IF(U171=18,'A.0_Tablas salariales SC'!$R$149,IF(U171=20,'A.0_Tablas salariales SC'!$R$150,IF(U171=22,'A.0_Tablas salariales SC'!$R$151,IF(U171=24,'A.0_Tablas salariales SC'!$R$152,IF(U171=26,'A.0_Tablas salariales SC'!$R$153,IF(U171=28,'A.0_Tablas salariales SC'!$R$154,0)))))))))))</f>
        <v>744.45309999999995</v>
      </c>
      <c r="AC171" s="175">
        <f>IF(V171=2,'A.0_Tablas salariales SC'!$R$173,(IF(V171=6,'A.0_Tablas salariales SC'!$R$174,IF(V171=10,'A.0_Tablas salariales SC'!$R$175,IF(V171=14,'A.0_Tablas salariales SC'!$R$176,IF(V171=18,'A.0_Tablas salariales SC'!$R$177,IF(V171=20,'A.0_Tablas salariales SC'!$R$178,IF(V171=22,'A.0_Tablas salariales SC'!$R$179,IF(V171=24,'A.0_Tablas salariales SC'!$R$180,IF(V171=26,'A.0_Tablas salariales SC'!$R$181,IF(V171=28,'A.0_Tablas salariales SC'!$R$182,0)))))))))))</f>
        <v>766.78669300000001</v>
      </c>
    </row>
    <row r="172" spans="1:29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2">
        <f>YEAR(E172)</f>
        <v>1900</v>
      </c>
      <c r="G172" s="173">
        <f t="shared" si="182"/>
        <v>2026</v>
      </c>
      <c r="H172" s="173">
        <f t="shared" si="182"/>
        <v>2032</v>
      </c>
      <c r="I172" s="173">
        <f t="shared" si="183"/>
        <v>126</v>
      </c>
      <c r="J172" s="173">
        <f t="shared" si="184"/>
        <v>127</v>
      </c>
      <c r="K172" s="173">
        <f t="shared" si="185"/>
        <v>128</v>
      </c>
      <c r="L172" s="173">
        <f t="shared" si="186"/>
        <v>129</v>
      </c>
      <c r="M172" s="173">
        <f t="shared" si="187"/>
        <v>130</v>
      </c>
      <c r="N172" s="173">
        <f t="shared" si="188"/>
        <v>131</v>
      </c>
      <c r="O172" s="173">
        <f t="shared" si="189"/>
        <v>132</v>
      </c>
      <c r="P172" s="173">
        <f t="shared" si="190"/>
        <v>28</v>
      </c>
      <c r="Q172" s="173">
        <f t="shared" si="191"/>
        <v>28</v>
      </c>
      <c r="R172" s="173">
        <f t="shared" si="192"/>
        <v>28</v>
      </c>
      <c r="S172" s="173">
        <f t="shared" si="193"/>
        <v>28</v>
      </c>
      <c r="T172" s="173">
        <f t="shared" si="194"/>
        <v>28</v>
      </c>
      <c r="U172" s="173">
        <f t="shared" si="195"/>
        <v>28</v>
      </c>
      <c r="V172" s="173">
        <f t="shared" si="196"/>
        <v>28</v>
      </c>
      <c r="W172" s="175">
        <f>IF(P172=2,'A.0_Tablas salariales SC'!$R$9,(IF(P172=6,'A.0_Tablas salariales SC'!$R$10,IF(P172=10,'A.0_Tablas salariales SC'!$R$11,IF(P172=14,'A.0_Tablas salariales SC'!$R$12,IF(P172=18,'A.0_Tablas salariales SC'!$R$13,IF(P172=20,'A.0_Tablas salariales SC'!$R$14,IF(P172=22,'A.0_Tablas salariales SC'!$R$15,IF(P172=24,'A.0_Tablas salariales SC'!$R$16,IF(P172=26,'A.0_Tablas salariales SC'!$R$17,IF(P172=28,'A.0_Tablas salariales SC'!$R$18,0)))))))))))</f>
        <v>611.96</v>
      </c>
      <c r="X172" s="175">
        <f>IF(Q172=2,'A.0_Tablas salariales SC'!$R$36,(IF(Q172=6,'A.0_Tablas salariales SC'!$R$37,IF(Q172=10,'A.0_Tablas salariales SC'!$R$38,IF(Q172=14,'A.0_Tablas salariales SC'!$R$39,IF(Q172=18,'A.0_Tablas salariales SC'!$R$40,IF(Q172=20,'A.0_Tablas salariales SC'!$R$41,IF(Q172=22,'A.0_Tablas salariales SC'!$R$42,IF(Q172=24,'A.0_Tablas salariales SC'!$R$43,IF(Q172=26,'A.0_Tablas salariales SC'!$R$44,IF(Q172=28,'A.0_Tablas salariales SC'!$R$45,0)))))))))))</f>
        <v>633.38</v>
      </c>
      <c r="Y172" s="175">
        <f>IF(R172=2,'A.0_Tablas salariales SC'!$R$63,(IF(R172=6,'A.0_Tablas salariales SC'!$R$64,IF(R172=10,'A.0_Tablas salariales SC'!$R$65,IF(R172=14,'A.0_Tablas salariales SC'!$R$66,IF(R172=18,'A.0_Tablas salariales SC'!$R$67,IF(R172=20,'A.0_Tablas salariales SC'!$R$68,IF(R172=22,'A.0_Tablas salariales SC'!$R$69,IF(R172=24,'A.0_Tablas salariales SC'!$R$70,IF(R172=26,'A.0_Tablas salariales SC'!$R$71,IF(R172=28,'A.0_Tablas salariales SC'!$R$72,0)))))))))))</f>
        <v>658.71</v>
      </c>
      <c r="Z172" s="175">
        <f>IF(S172=2,'A.0_Tablas salariales SC'!$R$90,(IF(S172=6,'A.0_Tablas salariales SC'!$R$91,IF(S172=10,'A.0_Tablas salariales SC'!$R$92,IF(S172=14,'A.0_Tablas salariales SC'!$R$93,IF(S172=18,'A.0_Tablas salariales SC'!$R$94,IF(S172=20,'A.0_Tablas salariales SC'!$R$95,IF(S172=22,'A.0_Tablas salariales SC'!$R$96,IF(S172=24,'A.0_Tablas salariales SC'!$R$97,IF(S172=26,'A.0_Tablas salariales SC'!$R$98,IF(S172=28,'A.0_Tablas salariales SC'!$R$99,0)))))))))))</f>
        <v>688.35</v>
      </c>
      <c r="AA172" s="175">
        <f>IF(T172=2,'A.0_Tablas salariales SC'!$R$117,(IF(T172=6,'A.0_Tablas salariales SC'!$R$118,IF(T172=10,'A.0_Tablas salariales SC'!$R$119,IF(T172=14,'A.0_Tablas salariales SC'!$R$120,IF(T172=18,'A.0_Tablas salariales SC'!$R$121,IF(T172=20,'A.0_Tablas salariales SC'!$R$122,IF(T172=22,'A.0_Tablas salariales SC'!$R$123,IF(T172=24,'A.0_Tablas salariales SC'!$R$124,IF(T172=26,'A.0_Tablas salariales SC'!$R$125,IF(T172=28,'A.0_Tablas salariales SC'!$R$126,0)))))))))))</f>
        <v>722.77</v>
      </c>
      <c r="AB172" s="175">
        <f>IF(U172=2,'A.0_Tablas salariales SC'!$R$145,(IF(U172=6,'A.0_Tablas salariales SC'!$R$146,IF(U172=10,'A.0_Tablas salariales SC'!$R$147,IF(U172=14,'A.0_Tablas salariales SC'!$R$148,IF(U172=18,'A.0_Tablas salariales SC'!$R$149,IF(U172=20,'A.0_Tablas salariales SC'!$R$150,IF(U172=22,'A.0_Tablas salariales SC'!$R$151,IF(U172=24,'A.0_Tablas salariales SC'!$R$152,IF(U172=26,'A.0_Tablas salariales SC'!$R$153,IF(U172=28,'A.0_Tablas salariales SC'!$R$154,0)))))))))))</f>
        <v>744.45309999999995</v>
      </c>
      <c r="AC172" s="175">
        <f>IF(V172=2,'A.0_Tablas salariales SC'!$R$173,(IF(V172=6,'A.0_Tablas salariales SC'!$R$174,IF(V172=10,'A.0_Tablas salariales SC'!$R$175,IF(V172=14,'A.0_Tablas salariales SC'!$R$176,IF(V172=18,'A.0_Tablas salariales SC'!$R$177,IF(V172=20,'A.0_Tablas salariales SC'!$R$178,IF(V172=22,'A.0_Tablas salariales SC'!$R$179,IF(V172=24,'A.0_Tablas salariales SC'!$R$180,IF(V172=26,'A.0_Tablas salariales SC'!$R$181,IF(V172=28,'A.0_Tablas salariales SC'!$R$182,0)))))))))))</f>
        <v>766.78669300000001</v>
      </c>
    </row>
    <row r="173" spans="1:2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416"/>
      <c r="X173" s="416"/>
      <c r="Y173" s="416"/>
      <c r="Z173" s="416"/>
      <c r="AA173" s="416"/>
      <c r="AB173" s="416"/>
      <c r="AC173" s="416"/>
    </row>
    <row r="174" spans="1:29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2">
        <f>YEAR(E174)</f>
        <v>1900</v>
      </c>
      <c r="G174" s="173">
        <f t="shared" ref="G174:H179" si="227">G$3</f>
        <v>2026</v>
      </c>
      <c r="H174" s="173">
        <f t="shared" si="227"/>
        <v>2032</v>
      </c>
      <c r="I174" s="173">
        <f>($I$3-F174)*$I$4</f>
        <v>126</v>
      </c>
      <c r="J174" s="173">
        <f>($J$3-F174)*$J$4</f>
        <v>127</v>
      </c>
      <c r="K174" s="173">
        <f>($K$3-F174)*$K$4</f>
        <v>128</v>
      </c>
      <c r="L174" s="173">
        <f>($L$3-F174)*$L$4</f>
        <v>129</v>
      </c>
      <c r="M174" s="173">
        <f>($M$3-F174)*$M$4</f>
        <v>130</v>
      </c>
      <c r="N174" s="173">
        <f>($N$3-F174)*$N$4</f>
        <v>131</v>
      </c>
      <c r="O174" s="173">
        <f>($O$3-F174)*$O$4</f>
        <v>132</v>
      </c>
      <c r="P174" s="173">
        <f>IF(I174&gt;=28,28,IF(I174&gt;=26,26,(IF(I174&gt;=24,24,IF(I174&gt;=22,22,IF(I174&gt;=20,20,IF(I174&gt;=18,18,IF(I174&gt;=14,14,(IF(I174&gt;=10,10,(IF(I174&gt;=6,6,(IF(I174&gt;=2,2,0))))))))))))))</f>
        <v>28</v>
      </c>
      <c r="Q174" s="173">
        <f t="shared" ref="Q174" si="228">IF(J174&gt;=28,28,IF(J174&gt;=26,26,(IF(J174&gt;=24,24,IF(J174&gt;=22,22,IF(J174&gt;=20,20,IF(J174&gt;=18,18,IF(J174&gt;=14,14,(IF(J174&gt;=10,10,(IF(J174&gt;=6,6,(IF(J174&gt;=2,2,0))))))))))))))</f>
        <v>28</v>
      </c>
      <c r="R174" s="173">
        <f t="shared" ref="R174" si="229">IF(K174&gt;=28,28,IF(K174&gt;=26,26,(IF(K174&gt;=24,24,IF(K174&gt;=22,22,IF(K174&gt;=20,20,IF(K174&gt;=18,18,IF(K174&gt;=14,14,(IF(K174&gt;=10,10,(IF(K174&gt;=6,6,(IF(K174&gt;=2,2,0))))))))))))))</f>
        <v>28</v>
      </c>
      <c r="S174" s="173">
        <f t="shared" ref="S174" si="230">IF(L174&gt;=28,28,IF(L174&gt;=26,26,(IF(L174&gt;=24,24,IF(L174&gt;=22,22,IF(L174&gt;=20,20,IF(L174&gt;=18,18,IF(L174&gt;=14,14,(IF(L174&gt;=10,10,(IF(L174&gt;=6,6,(IF(L174&gt;=2,2,0))))))))))))))</f>
        <v>28</v>
      </c>
      <c r="T174" s="173">
        <f t="shared" ref="T174" si="231">IF(M174&gt;=28,28,IF(M174&gt;=26,26,(IF(M174&gt;=24,24,IF(M174&gt;=22,22,IF(M174&gt;=20,20,IF(M174&gt;=18,18,IF(M174&gt;=14,14,(IF(M174&gt;=10,10,(IF(M174&gt;=6,6,(IF(M174&gt;=2,2,0))))))))))))))</f>
        <v>28</v>
      </c>
      <c r="U174" s="173">
        <f t="shared" ref="U174" si="232">IF(N174&gt;=28,28,IF(N174&gt;=26,26,(IF(N174&gt;=24,24,IF(N174&gt;=22,22,IF(N174&gt;=20,20,IF(N174&gt;=18,18,IF(N174&gt;=14,14,(IF(N174&gt;=10,10,(IF(N174&gt;=6,6,(IF(N174&gt;=2,2,0))))))))))))))</f>
        <v>28</v>
      </c>
      <c r="V174" s="173">
        <f t="shared" ref="V174" si="233">IF(O174&gt;=28,28,IF(O174&gt;=26,26,(IF(O174&gt;=24,24,IF(O174&gt;=22,22,IF(O174&gt;=20,20,IF(O174&gt;=18,18,IF(O174&gt;=14,14,(IF(O174&gt;=10,10,(IF(O174&gt;=6,6,(IF(O174&gt;=2,2,0))))))))))))))</f>
        <v>28</v>
      </c>
      <c r="W174" s="175">
        <f>IF(P174=2,'A.0_Tablas salariales SC'!$Q$9,(IF(P174=6,'A.0_Tablas salariales SC'!$Q$10,IF(P174=10,'A.0_Tablas salariales SC'!$Q$11,IF(P174=14,'A.0_Tablas salariales SC'!$Q$12,IF(P174=18,'A.0_Tablas salariales SC'!$Q$13,IF(P174=20,'A.0_Tablas salariales SC'!$Q$14,IF(P174=22,'A.0_Tablas salariales SC'!$Q$15,IF(P174=24,'A.0_Tablas salariales SC'!$Q$16,IF(P174=26,'A.0_Tablas salariales SC'!$Q$17,IF(P174=28,'A.0_Tablas salariales SC'!$Q$18,0)))))))))))</f>
        <v>482.18</v>
      </c>
      <c r="X174" s="175">
        <f>IF(Q174=2,'A.0_Tablas salariales SC'!$Q$36,(IF(Q174=6,'A.0_Tablas salariales SC'!$Q$37,IF(Q174=10,'A.0_Tablas salariales SC'!$Q$38,IF(Q174=14,'A.0_Tablas salariales SC'!$Q$39,IF(Q174=18,'A.0_Tablas salariales SC'!$Q$40,IF(Q174=20,'A.0_Tablas salariales SC'!$Q$41,IF(Q174=22,'A.0_Tablas salariales SC'!$Q$42,IF(Q174=24,'A.0_Tablas salariales SC'!$Q$43,IF(Q174=26,'A.0_Tablas salariales SC'!$Q$44,IF(Q174=28,'A.0_Tablas salariales SC'!$Q$45,0)))))))))))</f>
        <v>499.06</v>
      </c>
      <c r="Y174" s="175">
        <f>IF(R174=2,'A.0_Tablas salariales SC'!$Q$63,(IF(R174=6,'A.0_Tablas salariales SC'!$Q$64,IF(R174=10,'A.0_Tablas salariales SC'!$Q$65,IF(R174=14,'A.0_Tablas salariales SC'!$Q$66,IF(R174=18,'A.0_Tablas salariales SC'!$Q$67,IF(R174=20,'A.0_Tablas salariales SC'!$Q$68,IF(R174=22,'A.0_Tablas salariales SC'!$Q$69,IF(R174=24,'A.0_Tablas salariales SC'!$Q$70,IF(R174=26,'A.0_Tablas salariales SC'!$Q$71,IF(R174=28,'A.0_Tablas salariales SC'!$Q$72,0)))))))))))</f>
        <v>519.02</v>
      </c>
      <c r="Z174" s="175">
        <f>IF(S174=2,'A.0_Tablas salariales SC'!$Q$90,(IF(S174=6,'A.0_Tablas salariales SC'!$Q$91,IF(S174=10,'A.0_Tablas salariales SC'!$Q$92,IF(S174=14,'A.0_Tablas salariales SC'!$Q$93,IF(S174=18,'A.0_Tablas salariales SC'!$Q$94,IF(S174=20,'A.0_Tablas salariales SC'!$Q$95,IF(S174=22,'A.0_Tablas salariales SC'!$Q$96,IF(S174=24,'A.0_Tablas salariales SC'!$Q$97,IF(S174=26,'A.0_Tablas salariales SC'!$Q$98,IF(S174=28,'A.0_Tablas salariales SC'!$Q$99,0)))))))))))</f>
        <v>542.37</v>
      </c>
      <c r="AA174" s="175">
        <f>IF(T174=2,'A.0_Tablas salariales SC'!$Q$117,(IF(T174=6,'A.0_Tablas salariales SC'!$Q$118,IF(T174=10,'A.0_Tablas salariales SC'!$Q$119,IF(T174=14,'A.0_Tablas salariales SC'!$Q$120,IF(T174=18,'A.0_Tablas salariales SC'!$Q$121,IF(T174=20,'A.0_Tablas salariales SC'!$Q$122,IF(T174=22,'A.0_Tablas salariales SC'!$Q$123,IF(T174=24,'A.0_Tablas salariales SC'!$Q$124,IF(T174=26,'A.0_Tablas salariales SC'!$Q$125,IF(T174=28,'A.0_Tablas salariales SC'!$Q$126,0)))))))))))</f>
        <v>569.49</v>
      </c>
      <c r="AB174" s="175">
        <f>IF(U174=2,'A.0_Tablas salariales SC'!$Q$145,(IF(U174=6,'A.0_Tablas salariales SC'!$Q$146,IF(U174=10,'A.0_Tablas salariales SC'!$Q$147,IF(U174=14,'A.0_Tablas salariales SC'!$Q$148,IF(U174=18,'A.0_Tablas salariales SC'!$Q$149,IF(U174=20,'A.0_Tablas salariales SC'!$Q$150,IF(U174=22,'A.0_Tablas salariales SC'!$Q$151,IF(U174=24,'A.0_Tablas salariales SC'!$Q$152,IF(U174=26,'A.0_Tablas salariales SC'!$Q$153,IF(U174=28,'A.0_Tablas salariales SC'!$Q$154,0)))))))))))</f>
        <v>586.57470000000001</v>
      </c>
      <c r="AC174" s="175">
        <f>IF(V174=2,'A.0_Tablas salariales SC'!$Q$173,(IF(V174=6,'A.0_Tablas salariales SC'!$Q$174,IF(V174=10,'A.0_Tablas salariales SC'!$Q$175,IF(V174=14,'A.0_Tablas salariales SC'!$Q$176,IF(V174=18,'A.0_Tablas salariales SC'!$Q$177,IF(V174=20,'A.0_Tablas salariales SC'!$Q$178,IF(V174=22,'A.0_Tablas salariales SC'!$Q$179,IF(V174=24,'A.0_Tablas salariales SC'!$Q$180,IF(V174=26,'A.0_Tablas salariales SC'!$Q$181,IF(V174=28,'A.0_Tablas salariales SC'!$Q$182,0)))))))))))</f>
        <v>604.17194100000006</v>
      </c>
    </row>
    <row r="175" spans="1:29">
      <c r="A175" s="508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2">
        <f>YEAR(E175)</f>
        <v>1900</v>
      </c>
      <c r="G175" s="173">
        <f t="shared" si="227"/>
        <v>2026</v>
      </c>
      <c r="H175" s="173">
        <f t="shared" si="227"/>
        <v>2032</v>
      </c>
      <c r="I175" s="173">
        <f>($I$3-F175)*$I$4</f>
        <v>126</v>
      </c>
      <c r="J175" s="173">
        <f>($J$3-F175)*$J$4</f>
        <v>127</v>
      </c>
      <c r="K175" s="173">
        <f>($K$3-F175)*$K$4</f>
        <v>128</v>
      </c>
      <c r="L175" s="173">
        <f>($L$3-F175)*$L$4</f>
        <v>129</v>
      </c>
      <c r="M175" s="173">
        <f>($M$3-F175)*$M$4</f>
        <v>130</v>
      </c>
      <c r="N175" s="173">
        <f>($N$3-F175)*$N$4</f>
        <v>131</v>
      </c>
      <c r="O175" s="173">
        <f>($O$3-F175)*$O$4</f>
        <v>132</v>
      </c>
      <c r="P175" s="173">
        <f>IF(I175&gt;=28,28,IF(I175&gt;=26,26,(IF(I175&gt;=24,24,IF(I175&gt;=22,22,IF(I175&gt;=20,20,IF(I175&gt;=18,18,IF(I175&gt;=14,14,(IF(I175&gt;=10,10,(IF(I175&gt;=6,6,(IF(I175&gt;=2,2,0))))))))))))))</f>
        <v>28</v>
      </c>
      <c r="Q175" s="173">
        <f t="shared" ref="Q175" si="234">IF(J175&gt;=28,28,IF(J175&gt;=26,26,(IF(J175&gt;=24,24,IF(J175&gt;=22,22,IF(J175&gt;=20,20,IF(J175&gt;=18,18,IF(J175&gt;=14,14,(IF(J175&gt;=10,10,(IF(J175&gt;=6,6,(IF(J175&gt;=2,2,0))))))))))))))</f>
        <v>28</v>
      </c>
      <c r="R175" s="173">
        <f t="shared" ref="R175" si="235">IF(K175&gt;=28,28,IF(K175&gt;=26,26,(IF(K175&gt;=24,24,IF(K175&gt;=22,22,IF(K175&gt;=20,20,IF(K175&gt;=18,18,IF(K175&gt;=14,14,(IF(K175&gt;=10,10,(IF(K175&gt;=6,6,(IF(K175&gt;=2,2,0))))))))))))))</f>
        <v>28</v>
      </c>
      <c r="S175" s="173">
        <f t="shared" ref="S175" si="236">IF(L175&gt;=28,28,IF(L175&gt;=26,26,(IF(L175&gt;=24,24,IF(L175&gt;=22,22,IF(L175&gt;=20,20,IF(L175&gt;=18,18,IF(L175&gt;=14,14,(IF(L175&gt;=10,10,(IF(L175&gt;=6,6,(IF(L175&gt;=2,2,0))))))))))))))</f>
        <v>28</v>
      </c>
      <c r="T175" s="173">
        <f t="shared" ref="T175" si="237">IF(M175&gt;=28,28,IF(M175&gt;=26,26,(IF(M175&gt;=24,24,IF(M175&gt;=22,22,IF(M175&gt;=20,20,IF(M175&gt;=18,18,IF(M175&gt;=14,14,(IF(M175&gt;=10,10,(IF(M175&gt;=6,6,(IF(M175&gt;=2,2,0))))))))))))))</f>
        <v>28</v>
      </c>
      <c r="U175" s="173">
        <f t="shared" ref="U175" si="238">IF(N175&gt;=28,28,IF(N175&gt;=26,26,(IF(N175&gt;=24,24,IF(N175&gt;=22,22,IF(N175&gt;=20,20,IF(N175&gt;=18,18,IF(N175&gt;=14,14,(IF(N175&gt;=10,10,(IF(N175&gt;=6,6,(IF(N175&gt;=2,2,0))))))))))))))</f>
        <v>28</v>
      </c>
      <c r="V175" s="173">
        <f t="shared" ref="V175" si="239">IF(O175&gt;=28,28,IF(O175&gt;=26,26,(IF(O175&gt;=24,24,IF(O175&gt;=22,22,IF(O175&gt;=20,20,IF(O175&gt;=18,18,IF(O175&gt;=14,14,(IF(O175&gt;=10,10,(IF(O175&gt;=6,6,(IF(O175&gt;=2,2,0))))))))))))))</f>
        <v>28</v>
      </c>
      <c r="W175" s="175">
        <f>IF(P175=2,'A.0_Tablas salariales SC'!$Q$9,(IF(P175=6,'A.0_Tablas salariales SC'!$Q$10,IF(P175=10,'A.0_Tablas salariales SC'!$Q$11,IF(P175=14,'A.0_Tablas salariales SC'!$Q$12,IF(P175=18,'A.0_Tablas salariales SC'!$Q$13,IF(P175=20,'A.0_Tablas salariales SC'!$Q$14,IF(P175=22,'A.0_Tablas salariales SC'!$Q$15,IF(P175=24,'A.0_Tablas salariales SC'!$Q$16,IF(P175=26,'A.0_Tablas salariales SC'!$Q$17,IF(P175=28,'A.0_Tablas salariales SC'!$Q$18,0)))))))))))</f>
        <v>482.18</v>
      </c>
      <c r="X175" s="175">
        <f>IF(Q175=2,'A.0_Tablas salariales SC'!$Q$36,(IF(Q175=6,'A.0_Tablas salariales SC'!$Q$37,IF(Q175=10,'A.0_Tablas salariales SC'!$Q$38,IF(Q175=14,'A.0_Tablas salariales SC'!$Q$39,IF(Q175=18,'A.0_Tablas salariales SC'!$Q$40,IF(Q175=20,'A.0_Tablas salariales SC'!$Q$41,IF(Q175=22,'A.0_Tablas salariales SC'!$Q$42,IF(Q175=24,'A.0_Tablas salariales SC'!$Q$43,IF(Q175=26,'A.0_Tablas salariales SC'!$Q$44,IF(Q175=28,'A.0_Tablas salariales SC'!$Q$45,0)))))))))))</f>
        <v>499.06</v>
      </c>
      <c r="Y175" s="175">
        <f>IF(R175=2,'A.0_Tablas salariales SC'!$Q$63,(IF(R175=6,'A.0_Tablas salariales SC'!$Q$64,IF(R175=10,'A.0_Tablas salariales SC'!$Q$65,IF(R175=14,'A.0_Tablas salariales SC'!$Q$66,IF(R175=18,'A.0_Tablas salariales SC'!$Q$67,IF(R175=20,'A.0_Tablas salariales SC'!$Q$68,IF(R175=22,'A.0_Tablas salariales SC'!$Q$69,IF(R175=24,'A.0_Tablas salariales SC'!$Q$70,IF(R175=26,'A.0_Tablas salariales SC'!$Q$71,IF(R175=28,'A.0_Tablas salariales SC'!$Q$72,0)))))))))))</f>
        <v>519.02</v>
      </c>
      <c r="Z175" s="175">
        <f>IF(S175=2,'A.0_Tablas salariales SC'!$Q$90,(IF(S175=6,'A.0_Tablas salariales SC'!$Q$91,IF(S175=10,'A.0_Tablas salariales SC'!$Q$92,IF(S175=14,'A.0_Tablas salariales SC'!$Q$93,IF(S175=18,'A.0_Tablas salariales SC'!$Q$94,IF(S175=20,'A.0_Tablas salariales SC'!$Q$95,IF(S175=22,'A.0_Tablas salariales SC'!$Q$96,IF(S175=24,'A.0_Tablas salariales SC'!$Q$97,IF(S175=26,'A.0_Tablas salariales SC'!$Q$98,IF(S175=28,'A.0_Tablas salariales SC'!$Q$99,0)))))))))))</f>
        <v>542.37</v>
      </c>
      <c r="AA175" s="175">
        <f>IF(T175=2,'A.0_Tablas salariales SC'!$Q$117,(IF(T175=6,'A.0_Tablas salariales SC'!$Q$118,IF(T175=10,'A.0_Tablas salariales SC'!$Q$119,IF(T175=14,'A.0_Tablas salariales SC'!$Q$120,IF(T175=18,'A.0_Tablas salariales SC'!$Q$121,IF(T175=20,'A.0_Tablas salariales SC'!$Q$122,IF(T175=22,'A.0_Tablas salariales SC'!$Q$123,IF(T175=24,'A.0_Tablas salariales SC'!$Q$124,IF(T175=26,'A.0_Tablas salariales SC'!$Q$125,IF(T175=28,'A.0_Tablas salariales SC'!$Q$126,0)))))))))))</f>
        <v>569.49</v>
      </c>
      <c r="AB175" s="175">
        <f>IF(U175=2,'A.0_Tablas salariales SC'!$Q$145,(IF(U175=6,'A.0_Tablas salariales SC'!$Q$146,IF(U175=10,'A.0_Tablas salariales SC'!$Q$147,IF(U175=14,'A.0_Tablas salariales SC'!$Q$148,IF(U175=18,'A.0_Tablas salariales SC'!$Q$149,IF(U175=20,'A.0_Tablas salariales SC'!$Q$150,IF(U175=22,'A.0_Tablas salariales SC'!$Q$151,IF(U175=24,'A.0_Tablas salariales SC'!$Q$152,IF(U175=26,'A.0_Tablas salariales SC'!$Q$153,IF(U175=28,'A.0_Tablas salariales SC'!$Q$154,0)))))))))))</f>
        <v>586.57470000000001</v>
      </c>
      <c r="AC175" s="175">
        <f>IF(V175=2,'A.0_Tablas salariales SC'!$Q$173,(IF(V175=6,'A.0_Tablas salariales SC'!$Q$174,IF(V175=10,'A.0_Tablas salariales SC'!$Q$175,IF(V175=14,'A.0_Tablas salariales SC'!$Q$176,IF(V175=18,'A.0_Tablas salariales SC'!$Q$177,IF(V175=20,'A.0_Tablas salariales SC'!$Q$178,IF(V175=22,'A.0_Tablas salariales SC'!$Q$179,IF(V175=24,'A.0_Tablas salariales SC'!$Q$180,IF(V175=26,'A.0_Tablas salariales SC'!$Q$181,IF(V175=28,'A.0_Tablas salariales SC'!$Q$182,0)))))))))))</f>
        <v>604.17194100000006</v>
      </c>
    </row>
    <row r="176" spans="1:29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2">
        <f>YEAR(E176)</f>
        <v>1900</v>
      </c>
      <c r="G176" s="173">
        <f t="shared" si="227"/>
        <v>2026</v>
      </c>
      <c r="H176" s="173">
        <f t="shared" si="227"/>
        <v>2032</v>
      </c>
      <c r="I176" s="173">
        <f>($I$3-F176)*$I$4</f>
        <v>126</v>
      </c>
      <c r="J176" s="173">
        <f>($J$3-F176)*$J$4</f>
        <v>127</v>
      </c>
      <c r="K176" s="173">
        <f>($K$3-F176)*$K$4</f>
        <v>128</v>
      </c>
      <c r="L176" s="173">
        <f>($L$3-F176)*$L$4</f>
        <v>129</v>
      </c>
      <c r="M176" s="173">
        <f>($M$3-F176)*$M$4</f>
        <v>130</v>
      </c>
      <c r="N176" s="173">
        <f>($N$3-F176)*$N$4</f>
        <v>131</v>
      </c>
      <c r="O176" s="173">
        <f>($O$3-F176)*$O$4</f>
        <v>132</v>
      </c>
      <c r="P176" s="173">
        <f>IF(I176&gt;=28,28,IF(I176&gt;=26,26,(IF(I176&gt;=24,24,IF(I176&gt;=22,22,IF(I176&gt;=20,20,IF(I176&gt;=18,18,IF(I176&gt;=14,14,(IF(I176&gt;=10,10,(IF(I176&gt;=6,6,(IF(I176&gt;=2,2,0))))))))))))))</f>
        <v>28</v>
      </c>
      <c r="Q176" s="173">
        <f t="shared" ref="Q176" si="240">IF(J176&gt;=28,28,IF(J176&gt;=26,26,(IF(J176&gt;=24,24,IF(J176&gt;=22,22,IF(J176&gt;=20,20,IF(J176&gt;=18,18,IF(J176&gt;=14,14,(IF(J176&gt;=10,10,(IF(J176&gt;=6,6,(IF(J176&gt;=2,2,0))))))))))))))</f>
        <v>28</v>
      </c>
      <c r="R176" s="173">
        <f t="shared" ref="R176" si="241">IF(K176&gt;=28,28,IF(K176&gt;=26,26,(IF(K176&gt;=24,24,IF(K176&gt;=22,22,IF(K176&gt;=20,20,IF(K176&gt;=18,18,IF(K176&gt;=14,14,(IF(K176&gt;=10,10,(IF(K176&gt;=6,6,(IF(K176&gt;=2,2,0))))))))))))))</f>
        <v>28</v>
      </c>
      <c r="S176" s="173">
        <f t="shared" ref="S176" si="242">IF(L176&gt;=28,28,IF(L176&gt;=26,26,(IF(L176&gt;=24,24,IF(L176&gt;=22,22,IF(L176&gt;=20,20,IF(L176&gt;=18,18,IF(L176&gt;=14,14,(IF(L176&gt;=10,10,(IF(L176&gt;=6,6,(IF(L176&gt;=2,2,0))))))))))))))</f>
        <v>28</v>
      </c>
      <c r="T176" s="173">
        <f t="shared" ref="T176" si="243">IF(M176&gt;=28,28,IF(M176&gt;=26,26,(IF(M176&gt;=24,24,IF(M176&gt;=22,22,IF(M176&gt;=20,20,IF(M176&gt;=18,18,IF(M176&gt;=14,14,(IF(M176&gt;=10,10,(IF(M176&gt;=6,6,(IF(M176&gt;=2,2,0))))))))))))))</f>
        <v>28</v>
      </c>
      <c r="U176" s="173">
        <f t="shared" ref="U176" si="244">IF(N176&gt;=28,28,IF(N176&gt;=26,26,(IF(N176&gt;=24,24,IF(N176&gt;=22,22,IF(N176&gt;=20,20,IF(N176&gt;=18,18,IF(N176&gt;=14,14,(IF(N176&gt;=10,10,(IF(N176&gt;=6,6,(IF(N176&gt;=2,2,0))))))))))))))</f>
        <v>28</v>
      </c>
      <c r="V176" s="173">
        <f t="shared" ref="V176" si="245">IF(O176&gt;=28,28,IF(O176&gt;=26,26,(IF(O176&gt;=24,24,IF(O176&gt;=22,22,IF(O176&gt;=20,20,IF(O176&gt;=18,18,IF(O176&gt;=14,14,(IF(O176&gt;=10,10,(IF(O176&gt;=6,6,(IF(O176&gt;=2,2,0))))))))))))))</f>
        <v>28</v>
      </c>
      <c r="W176" s="175">
        <f>IF(P176=2,'A.0_Tablas salariales SC'!$Q$9,(IF(P176=6,'A.0_Tablas salariales SC'!$Q$10,IF(P176=10,'A.0_Tablas salariales SC'!$Q$11,IF(P176=14,'A.0_Tablas salariales SC'!$Q$12,IF(P176=18,'A.0_Tablas salariales SC'!$Q$13,IF(P176=20,'A.0_Tablas salariales SC'!$Q$14,IF(P176=22,'A.0_Tablas salariales SC'!$Q$15,IF(P176=24,'A.0_Tablas salariales SC'!$Q$16,IF(P176=26,'A.0_Tablas salariales SC'!$Q$17,IF(P176=28,'A.0_Tablas salariales SC'!$Q$18,0)))))))))))</f>
        <v>482.18</v>
      </c>
      <c r="X176" s="175">
        <f>IF(Q176=2,'A.0_Tablas salariales SC'!$Q$36,(IF(Q176=6,'A.0_Tablas salariales SC'!$Q$37,IF(Q176=10,'A.0_Tablas salariales SC'!$Q$38,IF(Q176=14,'A.0_Tablas salariales SC'!$Q$39,IF(Q176=18,'A.0_Tablas salariales SC'!$Q$40,IF(Q176=20,'A.0_Tablas salariales SC'!$Q$41,IF(Q176=22,'A.0_Tablas salariales SC'!$Q$42,IF(Q176=24,'A.0_Tablas salariales SC'!$Q$43,IF(Q176=26,'A.0_Tablas salariales SC'!$Q$44,IF(Q176=28,'A.0_Tablas salariales SC'!$Q$45,0)))))))))))</f>
        <v>499.06</v>
      </c>
      <c r="Y176" s="175">
        <f>IF(R176=2,'A.0_Tablas salariales SC'!$Q$63,(IF(R176=6,'A.0_Tablas salariales SC'!$Q$64,IF(R176=10,'A.0_Tablas salariales SC'!$Q$65,IF(R176=14,'A.0_Tablas salariales SC'!$Q$66,IF(R176=18,'A.0_Tablas salariales SC'!$Q$67,IF(R176=20,'A.0_Tablas salariales SC'!$Q$68,IF(R176=22,'A.0_Tablas salariales SC'!$Q$69,IF(R176=24,'A.0_Tablas salariales SC'!$Q$70,IF(R176=26,'A.0_Tablas salariales SC'!$Q$71,IF(R176=28,'A.0_Tablas salariales SC'!$Q$72,0)))))))))))</f>
        <v>519.02</v>
      </c>
      <c r="Z176" s="175">
        <f>IF(S176=2,'A.0_Tablas salariales SC'!$Q$90,(IF(S176=6,'A.0_Tablas salariales SC'!$Q$91,IF(S176=10,'A.0_Tablas salariales SC'!$Q$92,IF(S176=14,'A.0_Tablas salariales SC'!$Q$93,IF(S176=18,'A.0_Tablas salariales SC'!$Q$94,IF(S176=20,'A.0_Tablas salariales SC'!$Q$95,IF(S176=22,'A.0_Tablas salariales SC'!$Q$96,IF(S176=24,'A.0_Tablas salariales SC'!$Q$97,IF(S176=26,'A.0_Tablas salariales SC'!$Q$98,IF(S176=28,'A.0_Tablas salariales SC'!$Q$99,0)))))))))))</f>
        <v>542.37</v>
      </c>
      <c r="AA176" s="175">
        <f>IF(T176=2,'A.0_Tablas salariales SC'!$Q$117,(IF(T176=6,'A.0_Tablas salariales SC'!$Q$118,IF(T176=10,'A.0_Tablas salariales SC'!$Q$119,IF(T176=14,'A.0_Tablas salariales SC'!$Q$120,IF(T176=18,'A.0_Tablas salariales SC'!$Q$121,IF(T176=20,'A.0_Tablas salariales SC'!$Q$122,IF(T176=22,'A.0_Tablas salariales SC'!$Q$123,IF(T176=24,'A.0_Tablas salariales SC'!$Q$124,IF(T176=26,'A.0_Tablas salariales SC'!$Q$125,IF(T176=28,'A.0_Tablas salariales SC'!$Q$126,0)))))))))))</f>
        <v>569.49</v>
      </c>
      <c r="AB176" s="175">
        <f>IF(U176=2,'A.0_Tablas salariales SC'!$Q$145,(IF(U176=6,'A.0_Tablas salariales SC'!$Q$146,IF(U176=10,'A.0_Tablas salariales SC'!$Q$147,IF(U176=14,'A.0_Tablas salariales SC'!$Q$148,IF(U176=18,'A.0_Tablas salariales SC'!$Q$149,IF(U176=20,'A.0_Tablas salariales SC'!$Q$150,IF(U176=22,'A.0_Tablas salariales SC'!$Q$151,IF(U176=24,'A.0_Tablas salariales SC'!$Q$152,IF(U176=26,'A.0_Tablas salariales SC'!$Q$153,IF(U176=28,'A.0_Tablas salariales SC'!$Q$154,0)))))))))))</f>
        <v>586.57470000000001</v>
      </c>
      <c r="AC176" s="175">
        <f>IF(V176=2,'A.0_Tablas salariales SC'!$Q$173,(IF(V176=6,'A.0_Tablas salariales SC'!$Q$174,IF(V176=10,'A.0_Tablas salariales SC'!$Q$175,IF(V176=14,'A.0_Tablas salariales SC'!$Q$176,IF(V176=18,'A.0_Tablas salariales SC'!$Q$177,IF(V176=20,'A.0_Tablas salariales SC'!$Q$178,IF(V176=22,'A.0_Tablas salariales SC'!$Q$179,IF(V176=24,'A.0_Tablas salariales SC'!$Q$180,IF(V176=26,'A.0_Tablas salariales SC'!$Q$181,IF(V176=28,'A.0_Tablas salariales SC'!$Q$182,0)))))))))))</f>
        <v>604.17194100000006</v>
      </c>
    </row>
    <row r="177" spans="1:2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4"/>
    </row>
    <row r="178" spans="1:29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2">
        <f t="shared" ref="F178:F179" si="246">YEAR(E178)</f>
        <v>1900</v>
      </c>
      <c r="G178" s="173">
        <f t="shared" si="227"/>
        <v>2026</v>
      </c>
      <c r="H178" s="173">
        <f t="shared" si="227"/>
        <v>2032</v>
      </c>
      <c r="I178" s="173">
        <f>($I$3-F178)*$I$4</f>
        <v>126</v>
      </c>
      <c r="J178" s="173">
        <f t="shared" ref="J178:J179" si="247">($J$3-F178)*$J$4</f>
        <v>127</v>
      </c>
      <c r="K178" s="173">
        <f t="shared" ref="K178:K179" si="248">($K$3-F178)*$K$4</f>
        <v>128</v>
      </c>
      <c r="L178" s="173">
        <f t="shared" ref="L178:L179" si="249">($L$3-F178)*$L$4</f>
        <v>129</v>
      </c>
      <c r="M178" s="173">
        <f t="shared" ref="M178:M179" si="250">($M$3-F178)*$M$4</f>
        <v>130</v>
      </c>
      <c r="N178" s="173">
        <f t="shared" ref="N178:N179" si="251">($N$3-F178)*$N$4</f>
        <v>131</v>
      </c>
      <c r="O178" s="173">
        <f t="shared" ref="O178:O179" si="252">($O$3-F178)*$O$4</f>
        <v>132</v>
      </c>
      <c r="P178" s="173">
        <f>IF(I178&gt;=28,28,IF(I178&gt;=26,26,(IF(I178&gt;=24,24,IF(I178&gt;=22,22,IF(I178&gt;=20,20,IF(I178&gt;=18,18,IF(I178&gt;=14,14,(IF(I178&gt;=10,10,(IF(I178&gt;=6,6,(IF(I178&gt;=2,2,0))))))))))))))</f>
        <v>28</v>
      </c>
      <c r="Q178" s="173">
        <f t="shared" ref="Q178:Q179" si="253">IF(J178&gt;=28,28,IF(J178&gt;=26,26,(IF(J178&gt;=24,24,IF(J178&gt;=22,22,IF(J178&gt;=20,20,IF(J178&gt;=18,18,IF(J178&gt;=14,14,(IF(J178&gt;=10,10,(IF(J178&gt;=6,6,(IF(J178&gt;=2,2,0))))))))))))))</f>
        <v>28</v>
      </c>
      <c r="R178" s="173">
        <f t="shared" ref="R178:R179" si="254">IF(K178&gt;=28,28,IF(K178&gt;=26,26,(IF(K178&gt;=24,24,IF(K178&gt;=22,22,IF(K178&gt;=20,20,IF(K178&gt;=18,18,IF(K178&gt;=14,14,(IF(K178&gt;=10,10,(IF(K178&gt;=6,6,(IF(K178&gt;=2,2,0))))))))))))))</f>
        <v>28</v>
      </c>
      <c r="S178" s="173">
        <f t="shared" ref="S178:S179" si="255">IF(L178&gt;=28,28,IF(L178&gt;=26,26,(IF(L178&gt;=24,24,IF(L178&gt;=22,22,IF(L178&gt;=20,20,IF(L178&gt;=18,18,IF(L178&gt;=14,14,(IF(L178&gt;=10,10,(IF(L178&gt;=6,6,(IF(L178&gt;=2,2,0))))))))))))))</f>
        <v>28</v>
      </c>
      <c r="T178" s="173">
        <f t="shared" ref="T178:T179" si="256">IF(M178&gt;=28,28,IF(M178&gt;=26,26,(IF(M178&gt;=24,24,IF(M178&gt;=22,22,IF(M178&gt;=20,20,IF(M178&gt;=18,18,IF(M178&gt;=14,14,(IF(M178&gt;=10,10,(IF(M178&gt;=6,6,(IF(M178&gt;=2,2,0))))))))))))))</f>
        <v>28</v>
      </c>
      <c r="U178" s="173">
        <f t="shared" ref="U178:U179" si="257">IF(N178&gt;=28,28,IF(N178&gt;=26,26,(IF(N178&gt;=24,24,IF(N178&gt;=22,22,IF(N178&gt;=20,20,IF(N178&gt;=18,18,IF(N178&gt;=14,14,(IF(N178&gt;=10,10,(IF(N178&gt;=6,6,(IF(N178&gt;=2,2,0))))))))))))))</f>
        <v>28</v>
      </c>
      <c r="V178" s="173">
        <f t="shared" ref="V178:V179" si="258">IF(O178&gt;=28,28,IF(O178&gt;=26,26,(IF(O178&gt;=24,24,IF(O178&gt;=22,22,IF(O178&gt;=20,20,IF(O178&gt;=18,18,IF(O178&gt;=14,14,(IF(O178&gt;=10,10,(IF(O178&gt;=6,6,(IF(O178&gt;=2,2,0))))))))))))))</f>
        <v>28</v>
      </c>
      <c r="W178" s="175">
        <f>IF(P178=2,'A.0_Tablas salariales SC'!$P$9,(IF(P178=6,'A.0_Tablas salariales SC'!$P$10,IF(P178=10,'A.0_Tablas salariales SC'!$P$11,IF(P178=14,'A.0_Tablas salariales SC'!$P$12,IF(P178=18,'A.0_Tablas salariales SC'!$P$13,IF(P178=20,'A.0_Tablas salariales SC'!$P$14,IF(P178=22,'A.0_Tablas salariales SC'!$P$15,IF(P178=24,'A.0_Tablas salariales SC'!$P$16,IF(P178=26,'A.0_Tablas salariales SC'!$P$17,IF(P178=28,'A.0_Tablas salariales SC'!$P$18,0)))))))))))</f>
        <v>446.8</v>
      </c>
      <c r="X178" s="175">
        <f>IF(Q178=2,'A.0_Tablas salariales SC'!$P$36,(IF(Q178=6,'A.0_Tablas salariales SC'!$P$37,IF(Q178=10,'A.0_Tablas salariales SC'!$P$38,IF(Q178=14,'A.0_Tablas salariales SC'!$P$39,IF(Q178=18,'A.0_Tablas salariales SC'!$P$40,IF(Q178=20,'A.0_Tablas salariales SC'!$P$41,IF(Q178=22,'A.0_Tablas salariales SC'!$P$42,IF(Q178=24,'A.0_Tablas salariales SC'!$P$43,IF(Q178=26,'A.0_Tablas salariales SC'!$P$44,IF(Q178=28,'A.0_Tablas salariales SC'!$P$45,0)))))))))))</f>
        <v>462.44</v>
      </c>
      <c r="Y178" s="175">
        <f>IF(R178=2,'A.0_Tablas salariales SC'!$P$63,(IF(R178=6,'A.0_Tablas salariales SC'!$P$64,IF(R178=10,'A.0_Tablas salariales SC'!$P$65,IF(R178=14,'A.0_Tablas salariales SC'!$P$66,IF(R178=18,'A.0_Tablas salariales SC'!$P$67,IF(R178=20,'A.0_Tablas salariales SC'!$P$68,IF(R178=22,'A.0_Tablas salariales SC'!$P$69,IF(R178=24,'A.0_Tablas salariales SC'!$P$70,IF(R178=26,'A.0_Tablas salariales SC'!$P$71,IF(R178=28,'A.0_Tablas salariales SC'!$P$72,0)))))))))))</f>
        <v>480.93</v>
      </c>
      <c r="Z178" s="175">
        <f>IF(S178=2,'A.0_Tablas salariales SC'!$P$90,(IF(S178=6,'A.0_Tablas salariales SC'!$P$91,IF(S178=10,'A.0_Tablas salariales SC'!$P$92,IF(S178=14,'A.0_Tablas salariales SC'!$P$93,IF(S178=18,'A.0_Tablas salariales SC'!$P$94,IF(S178=20,'A.0_Tablas salariales SC'!$P$95,IF(S178=22,'A.0_Tablas salariales SC'!$P$96,IF(S178=24,'A.0_Tablas salariales SC'!$P$97,IF(S178=26,'A.0_Tablas salariales SC'!$P$98,IF(S178=28,'A.0_Tablas salariales SC'!$P$99,0)))))))))))</f>
        <v>502.58</v>
      </c>
      <c r="AA178" s="175">
        <f>IF(T178=2,'A.0_Tablas salariales SC'!$P$117,(IF(T178=6,'A.0_Tablas salariales SC'!$P$118,IF(T178=10,'A.0_Tablas salariales SC'!$P$119,IF(T178=14,'A.0_Tablas salariales SC'!$P$120,IF(T178=18,'A.0_Tablas salariales SC'!$P$121,IF(T178=20,'A.0_Tablas salariales SC'!$P$122,IF(T178=22,'A.0_Tablas salariales SC'!$P$123,IF(T178=24,'A.0_Tablas salariales SC'!$P$124,IF(T178=26,'A.0_Tablas salariales SC'!$P$125,IF(T178=28,'A.0_Tablas salariales SC'!$P$126,0)))))))))))</f>
        <v>527.70000000000005</v>
      </c>
      <c r="AB178" s="175">
        <f>IF(U178=2,'A.0_Tablas salariales SC'!$P$145,(IF(U178=6,'A.0_Tablas salariales SC'!$P$146,IF(U178=10,'A.0_Tablas salariales SC'!$P$147,IF(U178=14,'A.0_Tablas salariales SC'!$P$148,IF(U178=18,'A.0_Tablas salariales SC'!$P$149,IF(U178=20,'A.0_Tablas salariales SC'!$P$150,IF(U178=22,'A.0_Tablas salariales SC'!$P$151,IF(U178=24,'A.0_Tablas salariales SC'!$P$152,IF(U178=26,'A.0_Tablas salariales SC'!$P$153,IF(U178=28,'A.0_Tablas salariales SC'!$P$154,0)))))))))))</f>
        <v>543.53100000000006</v>
      </c>
      <c r="AC178" s="175">
        <f>IF(V178=2,'A.0_Tablas salariales SC'!$P$173,(IF(V178=6,'A.0_Tablas salariales SC'!$P$174,IF(V178=10,'A.0_Tablas salariales SC'!$P$175,IF(V178=14,'A.0_Tablas salariales SC'!$P$176,IF(V178=18,'A.0_Tablas salariales SC'!$P$177,IF(V178=20,'A.0_Tablas salariales SC'!$P$178,IF(V178=22,'A.0_Tablas salariales SC'!$P$179,IF(V178=24,'A.0_Tablas salariales SC'!$P$180,IF(V178=26,'A.0_Tablas salariales SC'!$P$181,IF(V178=28,'A.0_Tablas salariales SC'!$P$182,0)))))))))))</f>
        <v>559.83693000000005</v>
      </c>
    </row>
    <row r="179" spans="1:29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2">
        <f t="shared" si="246"/>
        <v>1900</v>
      </c>
      <c r="G179" s="173">
        <f t="shared" si="227"/>
        <v>2026</v>
      </c>
      <c r="H179" s="173">
        <f t="shared" si="227"/>
        <v>2032</v>
      </c>
      <c r="I179" s="173">
        <f t="shared" ref="I179" si="259">($I$3-F179)*$I$4</f>
        <v>126</v>
      </c>
      <c r="J179" s="173">
        <f t="shared" si="247"/>
        <v>127</v>
      </c>
      <c r="K179" s="173">
        <f t="shared" si="248"/>
        <v>128</v>
      </c>
      <c r="L179" s="173">
        <f t="shared" si="249"/>
        <v>129</v>
      </c>
      <c r="M179" s="173">
        <f t="shared" si="250"/>
        <v>130</v>
      </c>
      <c r="N179" s="173">
        <f t="shared" si="251"/>
        <v>131</v>
      </c>
      <c r="O179" s="173">
        <f t="shared" si="252"/>
        <v>132</v>
      </c>
      <c r="P179" s="173">
        <f t="shared" ref="P179" si="260">IF(I179&gt;=28,28,IF(I179&gt;=26,26,(IF(I179&gt;=24,24,IF(I179&gt;=22,22,IF(I179&gt;=20,20,IF(I179&gt;=18,18,IF(I179&gt;=14,14,(IF(I179&gt;=10,10,(IF(I179&gt;=6,6,(IF(I179&gt;=2,2,0))))))))))))))</f>
        <v>28</v>
      </c>
      <c r="Q179" s="173">
        <f t="shared" si="253"/>
        <v>28</v>
      </c>
      <c r="R179" s="173">
        <f t="shared" si="254"/>
        <v>28</v>
      </c>
      <c r="S179" s="173">
        <f t="shared" si="255"/>
        <v>28</v>
      </c>
      <c r="T179" s="173">
        <f t="shared" si="256"/>
        <v>28</v>
      </c>
      <c r="U179" s="173">
        <f t="shared" si="257"/>
        <v>28</v>
      </c>
      <c r="V179" s="173">
        <f t="shared" si="258"/>
        <v>28</v>
      </c>
      <c r="W179" s="175">
        <f>IF(P179=2,'A.0_Tablas salariales SC'!$P$9,(IF(P179=6,'A.0_Tablas salariales SC'!$P$10,IF(P179=10,'A.0_Tablas salariales SC'!$P$11,IF(P179=14,'A.0_Tablas salariales SC'!$P$12,IF(P179=18,'A.0_Tablas salariales SC'!$P$13,IF(P179=20,'A.0_Tablas salariales SC'!$P$14,IF(P179=22,'A.0_Tablas salariales SC'!$P$15,IF(P179=24,'A.0_Tablas salariales SC'!$P$16,IF(P179=26,'A.0_Tablas salariales SC'!$P$17,IF(P179=28,'A.0_Tablas salariales SC'!$P$18,0)))))))))))</f>
        <v>446.8</v>
      </c>
      <c r="X179" s="175">
        <f>IF(Q179=2,'A.0_Tablas salariales SC'!$P$36,(IF(Q179=6,'A.0_Tablas salariales SC'!$P$37,IF(Q179=10,'A.0_Tablas salariales SC'!$P$38,IF(Q179=14,'A.0_Tablas salariales SC'!$P$39,IF(Q179=18,'A.0_Tablas salariales SC'!$P$40,IF(Q179=20,'A.0_Tablas salariales SC'!$P$41,IF(Q179=22,'A.0_Tablas salariales SC'!$P$42,IF(Q179=24,'A.0_Tablas salariales SC'!$P$43,IF(Q179=26,'A.0_Tablas salariales SC'!$P$44,IF(Q179=28,'A.0_Tablas salariales SC'!$P$45,0)))))))))))</f>
        <v>462.44</v>
      </c>
      <c r="Y179" s="175">
        <f>IF(R179=2,'A.0_Tablas salariales SC'!$P$63,(IF(R179=6,'A.0_Tablas salariales SC'!$P$64,IF(R179=10,'A.0_Tablas salariales SC'!$P$65,IF(R179=14,'A.0_Tablas salariales SC'!$P$66,IF(R179=18,'A.0_Tablas salariales SC'!$P$67,IF(R179=20,'A.0_Tablas salariales SC'!$P$68,IF(R179=22,'A.0_Tablas salariales SC'!$P$69,IF(R179=24,'A.0_Tablas salariales SC'!$P$70,IF(R179=26,'A.0_Tablas salariales SC'!$P$71,IF(R179=28,'A.0_Tablas salariales SC'!$P$72,0)))))))))))</f>
        <v>480.93</v>
      </c>
      <c r="Z179" s="175">
        <f>IF(S179=2,'A.0_Tablas salariales SC'!$P$90,(IF(S179=6,'A.0_Tablas salariales SC'!$P$91,IF(S179=10,'A.0_Tablas salariales SC'!$P$92,IF(S179=14,'A.0_Tablas salariales SC'!$P$93,IF(S179=18,'A.0_Tablas salariales SC'!$P$94,IF(S179=20,'A.0_Tablas salariales SC'!$P$95,IF(S179=22,'A.0_Tablas salariales SC'!$P$96,IF(S179=24,'A.0_Tablas salariales SC'!$P$97,IF(S179=26,'A.0_Tablas salariales SC'!$P$98,IF(S179=28,'A.0_Tablas salariales SC'!$P$99,0)))))))))))</f>
        <v>502.58</v>
      </c>
      <c r="AA179" s="175">
        <f>IF(T179=2,'A.0_Tablas salariales SC'!$P$117,(IF(T179=6,'A.0_Tablas salariales SC'!$P$118,IF(T179=10,'A.0_Tablas salariales SC'!$P$119,IF(T179=14,'A.0_Tablas salariales SC'!$P$120,IF(T179=18,'A.0_Tablas salariales SC'!$P$121,IF(T179=20,'A.0_Tablas salariales SC'!$P$122,IF(T179=22,'A.0_Tablas salariales SC'!$P$123,IF(T179=24,'A.0_Tablas salariales SC'!$P$124,IF(T179=26,'A.0_Tablas salariales SC'!$P$125,IF(T179=28,'A.0_Tablas salariales SC'!$P$126,0)))))))))))</f>
        <v>527.70000000000005</v>
      </c>
      <c r="AB179" s="175">
        <f>IF(U179=2,'A.0_Tablas salariales SC'!$P$145,(IF(U179=6,'A.0_Tablas salariales SC'!$P$146,IF(U179=10,'A.0_Tablas salariales SC'!$P$147,IF(U179=14,'A.0_Tablas salariales SC'!$P$148,IF(U179=18,'A.0_Tablas salariales SC'!$P$149,IF(U179=20,'A.0_Tablas salariales SC'!$P$150,IF(U179=22,'A.0_Tablas salariales SC'!$P$151,IF(U179=24,'A.0_Tablas salariales SC'!$P$152,IF(U179=26,'A.0_Tablas salariales SC'!$P$153,IF(U179=28,'A.0_Tablas salariales SC'!$P$154,0)))))))))))</f>
        <v>543.53100000000006</v>
      </c>
      <c r="AC179" s="175">
        <f>IF(V179=2,'A.0_Tablas salariales SC'!$P$173,(IF(V179=6,'A.0_Tablas salariales SC'!$P$174,IF(V179=10,'A.0_Tablas salariales SC'!$P$175,IF(V179=14,'A.0_Tablas salariales SC'!$P$176,IF(V179=18,'A.0_Tablas salariales SC'!$P$177,IF(V179=20,'A.0_Tablas salariales SC'!$P$178,IF(V179=22,'A.0_Tablas salariales SC'!$P$179,IF(V179=24,'A.0_Tablas salariales SC'!$P$180,IF(V179=26,'A.0_Tablas salariales SC'!$P$181,IF(V179=28,'A.0_Tablas salariales SC'!$P$182,0)))))))))))</f>
        <v>559.83693000000005</v>
      </c>
    </row>
    <row r="180" spans="1:29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  <c r="AA180" s="174"/>
      <c r="AB180" s="174"/>
      <c r="AC180" s="174"/>
    </row>
    <row r="181" spans="1:29" ht="6" customHeight="1">
      <c r="B181" s="49"/>
      <c r="C181" s="49"/>
      <c r="D181" s="49"/>
      <c r="E181" s="49"/>
      <c r="F181" s="49"/>
    </row>
    <row r="182" spans="1:29">
      <c r="A182" s="240"/>
      <c r="B182" s="676"/>
      <c r="C182" s="676"/>
      <c r="D182" s="676"/>
      <c r="E182" s="676"/>
      <c r="F182" s="242"/>
      <c r="G182" s="242"/>
      <c r="H182" s="242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</row>
    <row r="183" spans="1:29">
      <c r="B183" s="47" t="s">
        <v>195</v>
      </c>
      <c r="E183" s="47" t="s">
        <v>195</v>
      </c>
    </row>
  </sheetData>
  <mergeCells count="3">
    <mergeCell ref="A1:AC1"/>
    <mergeCell ref="C4:E4"/>
    <mergeCell ref="B182:E182"/>
  </mergeCells>
  <phoneticPr fontId="24" type="noConversion"/>
  <conditionalFormatting sqref="A13 A86 A114 A152 A163 A173">
    <cfRule type="cellIs" dxfId="114" priority="5" operator="equal">
      <formula>0</formula>
    </cfRule>
  </conditionalFormatting>
  <conditionalFormatting sqref="A139">
    <cfRule type="cellIs" dxfId="113" priority="4" operator="equal">
      <formula>0</formula>
    </cfRule>
  </conditionalFormatting>
  <conditionalFormatting sqref="I5:AC176">
    <cfRule type="cellIs" dxfId="112" priority="6" operator="equal">
      <formula>0</formula>
    </cfRule>
  </conditionalFormatting>
  <conditionalFormatting sqref="I178:AC179">
    <cfRule type="cellIs" dxfId="111" priority="1" operator="equal">
      <formula>0</formula>
    </cfRule>
  </conditionalFormatting>
  <pageMargins left="0.75" right="0.75" top="1" bottom="1" header="0" footer="0"/>
  <pageSetup paperSize="9" scale="5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44</vt:i4>
      </vt:variant>
      <vt:variant>
        <vt:lpstr>Rangos con nombre</vt:lpstr>
      </vt:variant>
      <vt:variant>
        <vt:i4>61</vt:i4>
      </vt:variant>
    </vt:vector>
  </HeadingPairs>
  <TitlesOfParts>
    <vt:vector size="105" baseType="lpstr">
      <vt:lpstr>Presentación</vt:lpstr>
      <vt:lpstr>Caracteristicas Contrato</vt:lpstr>
      <vt:lpstr>PresupuestoBaseLicitación</vt:lpstr>
      <vt:lpstr>CanonAnual</vt:lpstr>
      <vt:lpstr>Trabajos Medición-Suministro</vt:lpstr>
      <vt:lpstr>A. Resumen Costes Personal Año</vt:lpstr>
      <vt:lpstr>A.0_Tablas salariales SC</vt:lpstr>
      <vt:lpstr>A.1. Plantilla_Subrogacion</vt:lpstr>
      <vt:lpstr>A.1.0_TablaAntigüedad_Sub</vt:lpstr>
      <vt:lpstr>A.1_Tabla Costes Subrog_2026</vt:lpstr>
      <vt:lpstr>A.1_Tabla Costes Subrog_2027</vt:lpstr>
      <vt:lpstr>A.1_Tabla Costes Subrog_2028</vt:lpstr>
      <vt:lpstr>A.1_Tabla Costes Subrog_2029</vt:lpstr>
      <vt:lpstr>A.1_Tabla Costes Subrog_2030</vt:lpstr>
      <vt:lpstr>A.1_Tabla Costes Subrog_2031</vt:lpstr>
      <vt:lpstr>A.1_Tabla Costes Subrog_2032</vt:lpstr>
      <vt:lpstr>A.2.Plantilla_NuevaContratacion</vt:lpstr>
      <vt:lpstr>A.2.0_TablaAntigüedad_NVContr</vt:lpstr>
      <vt:lpstr>A.2_Tabla Costes NuevContr_2026</vt:lpstr>
      <vt:lpstr>A.2_Tabla Costes NuevContr_2027</vt:lpstr>
      <vt:lpstr>A.2_Tabla Costes NuevContr_2028</vt:lpstr>
      <vt:lpstr>A.2_Tabla Costes NuevContr_2029</vt:lpstr>
      <vt:lpstr>A.2_Tabla Costes NuevContr_2030</vt:lpstr>
      <vt:lpstr>A.2_Tabla Costes NuevContr_3031</vt:lpstr>
      <vt:lpstr>A.2_Tabla Costes NuevContr_3032</vt:lpstr>
      <vt:lpstr>estudio coste RRHH</vt:lpstr>
      <vt:lpstr>B. Resumen Costes Veh_Maq</vt:lpstr>
      <vt:lpstr>B.0.ConsumiblesMaquinaria</vt:lpstr>
      <vt:lpstr>B.1.Vehículos</vt:lpstr>
      <vt:lpstr>B.2.Maquinaria</vt:lpstr>
      <vt:lpstr>C. Resumen Costes Vest_Util_Her</vt:lpstr>
      <vt:lpstr>C.1.1.Vestuario_Equip</vt:lpstr>
      <vt:lpstr>C.1.2.PRL</vt:lpstr>
      <vt:lpstr>C.2. Herramientas</vt:lpstr>
      <vt:lpstr>D. Resumen Costes Locales e ins</vt:lpstr>
      <vt:lpstr>D.1_2_Locales_Inst</vt:lpstr>
      <vt:lpstr>E. Resumen Costes Materiales </vt:lpstr>
      <vt:lpstr>E.1. Mat_Primas</vt:lpstr>
      <vt:lpstr>E.2. Productos Fitosanitarios</vt:lpstr>
      <vt:lpstr>F. Resumen Otros Costes</vt:lpstr>
      <vt:lpstr>F.1. Eq_Tecno_Soft</vt:lpstr>
      <vt:lpstr>F.2 Inventario</vt:lpstr>
      <vt:lpstr>F.3 ServiciosProfesionales</vt:lpstr>
      <vt:lpstr>F.4 Otros Costes</vt:lpstr>
      <vt:lpstr>'A. Resumen Costes Personal Año'!Área_de_impresión</vt:lpstr>
      <vt:lpstr>'A.0_Tablas salariales SC'!Área_de_impresión</vt:lpstr>
      <vt:lpstr>'A.1. Plantilla_Subrogacion'!Área_de_impresión</vt:lpstr>
      <vt:lpstr>A.1.0_TablaAntigüedad_Sub!Área_de_impresión</vt:lpstr>
      <vt:lpstr>'A.1_Tabla Costes Subrog_2026'!Área_de_impresión</vt:lpstr>
      <vt:lpstr>'A.1_Tabla Costes Subrog_2027'!Área_de_impresión</vt:lpstr>
      <vt:lpstr>'A.1_Tabla Costes Subrog_2028'!Área_de_impresión</vt:lpstr>
      <vt:lpstr>'A.1_Tabla Costes Subrog_2029'!Área_de_impresión</vt:lpstr>
      <vt:lpstr>'A.1_Tabla Costes Subrog_2030'!Área_de_impresión</vt:lpstr>
      <vt:lpstr>'A.1_Tabla Costes Subrog_2031'!Área_de_impresión</vt:lpstr>
      <vt:lpstr>'A.1_Tabla Costes Subrog_2032'!Área_de_impresión</vt:lpstr>
      <vt:lpstr>A.2.0_TablaAntigüedad_NVContr!Área_de_impresión</vt:lpstr>
      <vt:lpstr>A.2.Plantilla_NuevaContratacion!Área_de_impresión</vt:lpstr>
      <vt:lpstr>'A.2_Tabla Costes NuevContr_2026'!Área_de_impresión</vt:lpstr>
      <vt:lpstr>'A.2_Tabla Costes NuevContr_2027'!Área_de_impresión</vt:lpstr>
      <vt:lpstr>'A.2_Tabla Costes NuevContr_2028'!Área_de_impresión</vt:lpstr>
      <vt:lpstr>'A.2_Tabla Costes NuevContr_2029'!Área_de_impresión</vt:lpstr>
      <vt:lpstr>'A.2_Tabla Costes NuevContr_2030'!Área_de_impresión</vt:lpstr>
      <vt:lpstr>'A.2_Tabla Costes NuevContr_3031'!Área_de_impresión</vt:lpstr>
      <vt:lpstr>'A.2_Tabla Costes NuevContr_3032'!Área_de_impresión</vt:lpstr>
      <vt:lpstr>'B. Resumen Costes Veh_Maq'!Área_de_impresión</vt:lpstr>
      <vt:lpstr>B.0.ConsumiblesMaquinaria!Área_de_impresión</vt:lpstr>
      <vt:lpstr>B.1.Vehículos!Área_de_impresión</vt:lpstr>
      <vt:lpstr>B.2.Maquinaria!Área_de_impresión</vt:lpstr>
      <vt:lpstr>'C. Resumen Costes Vest_Util_Her'!Área_de_impresión</vt:lpstr>
      <vt:lpstr>C.1.1.Vestuario_Equip!Área_de_impresión</vt:lpstr>
      <vt:lpstr>C.1.2.PRL!Área_de_impresión</vt:lpstr>
      <vt:lpstr>'C.2. Herramientas'!Área_de_impresión</vt:lpstr>
      <vt:lpstr>CanonAnual!Área_de_impresión</vt:lpstr>
      <vt:lpstr>'D. Resumen Costes Locales e ins'!Área_de_impresión</vt:lpstr>
      <vt:lpstr>D.1_2_Locales_Inst!Área_de_impresión</vt:lpstr>
      <vt:lpstr>'E. Resumen Costes Materiales '!Área_de_impresión</vt:lpstr>
      <vt:lpstr>'E.1. Mat_Primas'!Área_de_impresión</vt:lpstr>
      <vt:lpstr>'E.2. Productos Fitosanitarios'!Área_de_impresión</vt:lpstr>
      <vt:lpstr>'F. Resumen Otros Costes'!Área_de_impresión</vt:lpstr>
      <vt:lpstr>'F.1. Eq_Tecno_Soft'!Área_de_impresión</vt:lpstr>
      <vt:lpstr>'F.2 Inventario'!Área_de_impresión</vt:lpstr>
      <vt:lpstr>'F.3 ServiciosProfesionales'!Área_de_impresión</vt:lpstr>
      <vt:lpstr>'F.4 Otros Costes'!Área_de_impresión</vt:lpstr>
      <vt:lpstr>PresupuestoBaseLicitación!Área_de_impresión</vt:lpstr>
      <vt:lpstr>'Trabajos Medición-Suministro'!Área_de_impresión</vt:lpstr>
      <vt:lpstr>'A.1. Plantilla_Subrogacion'!Títulos_a_imprimir</vt:lpstr>
      <vt:lpstr>'A.1_Tabla Costes Subrog_2026'!Títulos_a_imprimir</vt:lpstr>
      <vt:lpstr>'A.1_Tabla Costes Subrog_2027'!Títulos_a_imprimir</vt:lpstr>
      <vt:lpstr>'A.1_Tabla Costes Subrog_2028'!Títulos_a_imprimir</vt:lpstr>
      <vt:lpstr>'A.1_Tabla Costes Subrog_2029'!Títulos_a_imprimir</vt:lpstr>
      <vt:lpstr>'A.1_Tabla Costes Subrog_2030'!Títulos_a_imprimir</vt:lpstr>
      <vt:lpstr>'A.1_Tabla Costes Subrog_2031'!Títulos_a_imprimir</vt:lpstr>
      <vt:lpstr>'A.1_Tabla Costes Subrog_2032'!Títulos_a_imprimir</vt:lpstr>
      <vt:lpstr>A.2.Plantilla_NuevaContratacion!Títulos_a_imprimir</vt:lpstr>
      <vt:lpstr>'A.2_Tabla Costes NuevContr_2026'!Títulos_a_imprimir</vt:lpstr>
      <vt:lpstr>'A.2_Tabla Costes NuevContr_2027'!Títulos_a_imprimir</vt:lpstr>
      <vt:lpstr>'A.2_Tabla Costes NuevContr_2028'!Títulos_a_imprimir</vt:lpstr>
      <vt:lpstr>'A.2_Tabla Costes NuevContr_2029'!Títulos_a_imprimir</vt:lpstr>
      <vt:lpstr>'A.2_Tabla Costes NuevContr_2030'!Títulos_a_imprimir</vt:lpstr>
      <vt:lpstr>'A.2_Tabla Costes NuevContr_3031'!Títulos_a_imprimir</vt:lpstr>
      <vt:lpstr>'A.2_Tabla Costes NuevContr_3032'!Títulos_a_imprimir</vt:lpstr>
      <vt:lpstr>B.1.Vehículos!Títulos_a_imprimir</vt:lpstr>
      <vt:lpstr>B.2.Maquinaria!Títulos_a_imprimir</vt:lpstr>
      <vt:lpstr>'C.2. Herramientas'!Títulos_a_imprimir</vt:lpstr>
      <vt:lpstr>'F.3 ServiciosProfesionales'!Títulos_a_imprimir</vt:lpstr>
    </vt:vector>
  </TitlesOfParts>
  <Manager/>
  <Company>Velasco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mblazquez</dc:creator>
  <cp:keywords/>
  <dc:description/>
  <cp:lastModifiedBy>María Blázquez</cp:lastModifiedBy>
  <cp:revision/>
  <dcterms:created xsi:type="dcterms:W3CDTF">2008-02-06T08:29:00Z</dcterms:created>
  <dcterms:modified xsi:type="dcterms:W3CDTF">2026-07-16T16:26:47Z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EEF5E5E76DBC468B8A175709FD60D4C2</vt:lpwstr>
  </property>
  <property fmtid="{D5CDD505-2E9C-101B-9397-08002B2CF9AE}" pid="3" name="KSOProductBuildVer">
    <vt:lpwstr>3082-11.2.0.11513</vt:lpwstr>
  </property>
</Properties>
</file>