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lazquez\Desktop\FormacionFEMP\"/>
    </mc:Choice>
  </mc:AlternateContent>
  <bookViews>
    <workbookView xWindow="0" yWindow="0" windowWidth="28800" windowHeight="12492" firstSheet="6" activeTab="8"/>
  </bookViews>
  <sheets>
    <sheet name="Presentación" sheetId="65" r:id="rId1"/>
    <sheet name="PresupuestoBaseLicitación" sheetId="52" r:id="rId2"/>
    <sheet name="CanonAnual" sheetId="53" r:id="rId3"/>
    <sheet name="Trabajos Medición-Suministro" sheetId="54" r:id="rId4"/>
    <sheet name="A. Resumen Costes Personal" sheetId="55" r:id="rId5"/>
    <sheet name="A.0_Tablas salariales SC" sheetId="14" r:id="rId6"/>
    <sheet name="A.1_Tabla Costes Subrogación" sheetId="43" r:id="rId7"/>
    <sheet name="A.1.0_TablaAntigüedad_Sub" sheetId="57" r:id="rId8"/>
    <sheet name="A.2_Tabla Costes Nueva Contr" sheetId="56" r:id="rId9"/>
    <sheet name="A.2.0_TablaAntigüedad_NuevContr" sheetId="58" r:id="rId10"/>
    <sheet name="estudio coste RRHH" sheetId="44" state="hidden" r:id="rId11"/>
    <sheet name="B. Resumen Costes Veh_Maq" sheetId="59" r:id="rId12"/>
    <sheet name="B.0.ConsumiblesMaquinaria" sheetId="47" r:id="rId13"/>
    <sheet name="B.1.Vehículos" sheetId="45" r:id="rId14"/>
    <sheet name="B.2.Maquinaria" sheetId="46" r:id="rId15"/>
    <sheet name="C. Resumen Costes Vest_Util_Her" sheetId="60" r:id="rId16"/>
    <sheet name="C.1.1.Vestuario_Equip" sheetId="35" r:id="rId17"/>
    <sheet name="C.1.2.PRL" sheetId="34" r:id="rId18"/>
    <sheet name="C.2. Herramientas" sheetId="49" r:id="rId19"/>
    <sheet name="D. Resumen Costes Locales e ins" sheetId="61" r:id="rId20"/>
    <sheet name="D.1_2_Locales_Inst" sheetId="62" r:id="rId21"/>
    <sheet name="E. Resumen Costes Materiales " sheetId="63" r:id="rId22"/>
    <sheet name="E.1. Mat_Primas" sheetId="48" r:id="rId23"/>
    <sheet name="E.2. Productos Fitosanitarios" sheetId="50" r:id="rId24"/>
    <sheet name="F. Resumen Otros Costes" sheetId="67" r:id="rId25"/>
    <sheet name="F.1. Eq_Tecno_Soft" sheetId="51" r:id="rId26"/>
    <sheet name="F.2 Inventario" sheetId="68" r:id="rId27"/>
    <sheet name="F.3 ServiciosProfesionales" sheetId="70" r:id="rId28"/>
    <sheet name="F.4 Otros Costes" sheetId="69" r:id="rId29"/>
  </sheets>
  <externalReferences>
    <externalReference r:id="rId30"/>
    <externalReference r:id="rId31"/>
  </externalReferences>
  <definedNames>
    <definedName name="aa" localSheetId="11">#REF!</definedName>
    <definedName name="aa" localSheetId="15">#REF!</definedName>
    <definedName name="aa" localSheetId="19">#REF!</definedName>
    <definedName name="aa" localSheetId="20">#REF!</definedName>
    <definedName name="aa" localSheetId="21">#REF!</definedName>
    <definedName name="aa" localSheetId="24">#REF!</definedName>
    <definedName name="aa" localSheetId="26">#REF!</definedName>
    <definedName name="aa" localSheetId="27">#REF!</definedName>
    <definedName name="aa" localSheetId="28">#REF!</definedName>
    <definedName name="aa">#REF!</definedName>
    <definedName name="aaa" localSheetId="20">#REF!</definedName>
    <definedName name="aaa" localSheetId="21">#REF!</definedName>
    <definedName name="aaa" localSheetId="24">#REF!</definedName>
    <definedName name="aaa" localSheetId="26">#REF!</definedName>
    <definedName name="aaa" localSheetId="27">#REF!</definedName>
    <definedName name="aaa" localSheetId="28">#REF!</definedName>
    <definedName name="aaa">#REF!</definedName>
    <definedName name="ADMINISTRATIVO" localSheetId="16">[1]TABLAS!$A$14:$A$19</definedName>
    <definedName name="ADMINISTRATIVO" localSheetId="17">[1]TABLAS!$A$14:$A$19</definedName>
    <definedName name="ADMINISTRATIVO">[2]TABLAS!$A$14:$A$19</definedName>
    <definedName name="_xlnm.Print_Area" localSheetId="4">'A. Resumen Costes Personal'!$B$1:$Q$24</definedName>
    <definedName name="_xlnm.Print_Area" localSheetId="5">'A.0_Tablas salariales SC'!$A$1:$AC$169</definedName>
    <definedName name="_xlnm.Print_Area" localSheetId="7">A.1.0_TablaAntigüedad_Sub!$B$1:$E$97</definedName>
    <definedName name="_xlnm.Print_Area" localSheetId="6">'A.1_Tabla Costes Subrogación'!$A$1:$AA$97</definedName>
    <definedName name="_xlnm.Print_Area" localSheetId="9">A.2.0_TablaAntigüedad_NuevContr!$B$1:$E$29</definedName>
    <definedName name="_xlnm.Print_Area" localSheetId="8">'A.2_Tabla Costes Nueva Contr'!$B$1:$Z$30</definedName>
    <definedName name="_xlnm.Print_Area" localSheetId="11">'B. Resumen Costes Veh_Maq'!$B$1:$O$7</definedName>
    <definedName name="_xlnm.Print_Area" localSheetId="12">B.0.ConsumiblesMaquinaria!$A$1:$F$56</definedName>
    <definedName name="_xlnm.Print_Area" localSheetId="13">B.1.Vehículos!$A$1:$AH$50</definedName>
    <definedName name="_xlnm.Print_Area" localSheetId="14">B.2.Maquinaria!$A$1:$AH$102</definedName>
    <definedName name="_xlnm.Print_Area" localSheetId="15">'C. Resumen Costes Vest_Util_Her'!$B$1:$Q$12</definedName>
    <definedName name="_xlnm.Print_Area" localSheetId="16">C.1.1.Vestuario_Equip!$A$1:$G$14</definedName>
    <definedName name="_xlnm.Print_Area" localSheetId="17">C.1.2.PRL!$C$1:$I$35</definedName>
    <definedName name="_xlnm.Print_Area" localSheetId="18">'C.2. Herramientas'!$C$1:$I$90</definedName>
    <definedName name="_xlnm.Print_Area" localSheetId="2">CanonAnual!$B$1:$AA$27</definedName>
    <definedName name="_xlnm.Print_Area" localSheetId="19">'D. Resumen Costes Locales e ins'!$B$1:$Q$10</definedName>
    <definedName name="_xlnm.Print_Area" localSheetId="20">D.1_2_Locales_Inst!$A$1:$H$25</definedName>
    <definedName name="_xlnm.Print_Area" localSheetId="21">'E. Resumen Costes Materiales '!$B$1:$Q$7</definedName>
    <definedName name="_xlnm.Print_Area" localSheetId="22">'E.1. Mat_Primas'!$A$1:$K$21</definedName>
    <definedName name="_xlnm.Print_Area" localSheetId="23">'E.2. Productos Fitosanitarios'!$A$1:$E$17</definedName>
    <definedName name="_xlnm.Print_Area" localSheetId="24">'F. Resumen Otros Costes'!$B$1:$O$12</definedName>
    <definedName name="_xlnm.Print_Area" localSheetId="25">'F.1. Eq_Tecno_Soft'!$C$1:$I$18</definedName>
    <definedName name="_xlnm.Print_Area" localSheetId="26">'F.2 Inventario'!$A$1:$F$21</definedName>
    <definedName name="_xlnm.Print_Area" localSheetId="27">'F.3 ServiciosProfesionales'!$A$1:$F$127</definedName>
    <definedName name="_xlnm.Print_Area" localSheetId="28">'F.4 Otros Costes'!$B$1:$H$16</definedName>
    <definedName name="_xlnm.Print_Area" localSheetId="1">PresupuestoBaseLicitación!$B$1:$AC$33</definedName>
    <definedName name="_xlnm.Print_Area" localSheetId="3">'Trabajos Medición-Suministro'!$B$1:$Z$50</definedName>
    <definedName name="Capítulos" localSheetId="7">#REF!</definedName>
    <definedName name="Capítulos" localSheetId="9">#REF!</definedName>
    <definedName name="Capítulos" localSheetId="11">#REF!</definedName>
    <definedName name="Capítulos" localSheetId="15">#REF!</definedName>
    <definedName name="Capítulos" localSheetId="19">#REF!</definedName>
    <definedName name="Capítulos" localSheetId="20">#REF!</definedName>
    <definedName name="Capítulos" localSheetId="21">#REF!</definedName>
    <definedName name="Capítulos" localSheetId="24">#REF!</definedName>
    <definedName name="Capítulos" localSheetId="26">#REF!</definedName>
    <definedName name="Capítulos" localSheetId="27">#REF!</definedName>
    <definedName name="Capítulos" localSheetId="28">#REF!</definedName>
    <definedName name="Capítulos">#REF!</definedName>
    <definedName name="cc">#REF!</definedName>
    <definedName name="MAQID" localSheetId="7">#REF!</definedName>
    <definedName name="MAQID" localSheetId="9">#REF!</definedName>
    <definedName name="MAQID" localSheetId="11">#REF!</definedName>
    <definedName name="MAQID" localSheetId="15">#REF!</definedName>
    <definedName name="MAQID" localSheetId="19">#REF!</definedName>
    <definedName name="MAQID" localSheetId="20">#REF!</definedName>
    <definedName name="MAQID" localSheetId="21">#REF!</definedName>
    <definedName name="MAQID" localSheetId="24">#REF!</definedName>
    <definedName name="MAQID" localSheetId="26">#REF!</definedName>
    <definedName name="MAQID" localSheetId="27">#REF!</definedName>
    <definedName name="MAQID" localSheetId="28">#REF!</definedName>
    <definedName name="MAQID">#REF!</definedName>
    <definedName name="Med_armaduras" localSheetId="7">#REF!</definedName>
    <definedName name="Med_armaduras" localSheetId="9">#REF!</definedName>
    <definedName name="Med_armaduras" localSheetId="11">#REF!</definedName>
    <definedName name="Med_armaduras" localSheetId="15">#REF!</definedName>
    <definedName name="Med_armaduras" localSheetId="19">#REF!</definedName>
    <definedName name="Med_armaduras" localSheetId="20">#REF!</definedName>
    <definedName name="Med_armaduras" localSheetId="21">#REF!</definedName>
    <definedName name="Med_armaduras" localSheetId="24">#REF!</definedName>
    <definedName name="Med_armaduras" localSheetId="26">#REF!</definedName>
    <definedName name="Med_armaduras" localSheetId="27">#REF!</definedName>
    <definedName name="Med_armaduras" localSheetId="28">#REF!</definedName>
    <definedName name="Med_armaduras">#REF!</definedName>
    <definedName name="Med_tierras" localSheetId="7">#REF!</definedName>
    <definedName name="Med_tierras" localSheetId="9">#REF!</definedName>
    <definedName name="Med_tierras" localSheetId="11">#REF!</definedName>
    <definedName name="Med_tierras" localSheetId="15">#REF!</definedName>
    <definedName name="Med_tierras" localSheetId="19">#REF!</definedName>
    <definedName name="Med_tierras" localSheetId="20">#REF!</definedName>
    <definedName name="Med_tierras" localSheetId="21">#REF!</definedName>
    <definedName name="Med_tierras" localSheetId="24">#REF!</definedName>
    <definedName name="Med_tierras" localSheetId="26">#REF!</definedName>
    <definedName name="Med_tierras" localSheetId="27">#REF!</definedName>
    <definedName name="Med_tierras" localSheetId="28">#REF!</definedName>
    <definedName name="Med_tierras">#REF!</definedName>
    <definedName name="Presupuesto" localSheetId="7">#REF!</definedName>
    <definedName name="Presupuesto" localSheetId="9">#REF!</definedName>
    <definedName name="Presupuesto" localSheetId="11">#REF!</definedName>
    <definedName name="Presupuesto" localSheetId="15">#REF!</definedName>
    <definedName name="Presupuesto" localSheetId="19">#REF!</definedName>
    <definedName name="Presupuesto" localSheetId="20">#REF!</definedName>
    <definedName name="Presupuesto" localSheetId="21">#REF!</definedName>
    <definedName name="Presupuesto" localSheetId="24">#REF!</definedName>
    <definedName name="Presupuesto" localSheetId="26">#REF!</definedName>
    <definedName name="Presupuesto" localSheetId="27">#REF!</definedName>
    <definedName name="Presupuesto" localSheetId="28">#REF!</definedName>
    <definedName name="Presupuesto">#REF!</definedName>
    <definedName name="TECNICO" localSheetId="16">[1]TABLAS!$A$7:$A$11</definedName>
    <definedName name="TECNICO" localSheetId="17">[1]TABLAS!$A$7:$A$11</definedName>
    <definedName name="TECNICO">[2]TABLAS!$A$7:$A$11</definedName>
    <definedName name="_xlnm.Print_Titles" localSheetId="6">'A.1_Tabla Costes Subrogación'!$3:$4</definedName>
    <definedName name="_xlnm.Print_Titles" localSheetId="8">'A.2_Tabla Costes Nueva Contr'!$3:$4</definedName>
    <definedName name="_xlnm.Print_Titles" localSheetId="13">B.1.Vehículos!$A:$D,B.1.Vehículos!$2:$5</definedName>
    <definedName name="_xlnm.Print_Titles" localSheetId="14">B.2.Maquinaria!$A:$AE,B.2.Maquinaria!$2:$5</definedName>
    <definedName name="_xlnm.Print_Titles" localSheetId="18">'C.2. Herramientas'!$2:$2</definedName>
    <definedName name="_xlnm.Print_Titles" localSheetId="27">'F.3 ServiciosProfesionales'!$2:$2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56" l="1"/>
  <c r="T24" i="56"/>
  <c r="T22" i="56"/>
  <c r="T20" i="56"/>
  <c r="T19" i="56"/>
  <c r="T18" i="56"/>
  <c r="T17" i="56"/>
  <c r="T16" i="56"/>
  <c r="T14" i="56"/>
  <c r="T13" i="56"/>
  <c r="T11" i="56"/>
  <c r="T10" i="56"/>
  <c r="T9" i="56"/>
  <c r="T8" i="56"/>
  <c r="T6" i="56"/>
  <c r="T5" i="56"/>
  <c r="P5" i="56"/>
  <c r="Y93" i="43" l="1"/>
  <c r="Y91" i="43"/>
  <c r="Y90" i="43"/>
  <c r="Y89" i="43"/>
  <c r="Y87" i="43"/>
  <c r="Y86" i="43"/>
  <c r="Y84" i="43"/>
  <c r="Y83" i="43"/>
  <c r="Y82" i="43"/>
  <c r="Y81" i="43"/>
  <c r="Y80" i="43"/>
  <c r="Y79" i="43"/>
  <c r="Y78" i="43"/>
  <c r="Y77" i="43"/>
  <c r="Y76" i="43"/>
  <c r="Y75" i="43"/>
  <c r="Y74" i="43"/>
  <c r="Y73" i="43"/>
  <c r="Y72" i="43"/>
  <c r="Y71" i="43"/>
  <c r="Y69" i="43"/>
  <c r="Y68" i="43"/>
  <c r="Y67" i="43"/>
  <c r="Y66" i="43"/>
  <c r="Y64" i="43"/>
  <c r="Y63" i="43"/>
  <c r="Y62" i="43"/>
  <c r="Y61" i="43"/>
  <c r="Y60" i="43"/>
  <c r="Y59" i="43"/>
  <c r="Y58" i="43"/>
  <c r="Y57" i="43"/>
  <c r="Y56" i="43"/>
  <c r="Y55" i="43"/>
  <c r="Y54" i="43"/>
  <c r="Y53" i="43"/>
  <c r="Y52" i="43"/>
  <c r="Y51" i="43"/>
  <c r="Y50" i="43"/>
  <c r="Y49" i="43"/>
  <c r="Y48" i="43"/>
  <c r="Y47" i="43"/>
  <c r="Y46" i="43"/>
  <c r="Y45" i="43"/>
  <c r="Y44" i="43"/>
  <c r="Y43" i="43"/>
  <c r="Y42" i="43"/>
  <c r="Y41" i="43"/>
  <c r="Y40" i="43"/>
  <c r="Y39" i="43"/>
  <c r="Y38" i="43"/>
  <c r="Y37" i="43"/>
  <c r="Y36" i="43"/>
  <c r="Y35" i="43"/>
  <c r="Y34" i="43"/>
  <c r="Y33" i="43"/>
  <c r="Y32" i="43"/>
  <c r="Y31" i="43"/>
  <c r="Y30" i="43"/>
  <c r="Y29" i="43"/>
  <c r="Y28" i="43"/>
  <c r="Y27" i="43"/>
  <c r="Y26" i="43"/>
  <c r="Y25" i="43"/>
  <c r="Y24" i="43"/>
  <c r="Y23" i="43"/>
  <c r="Y22" i="43"/>
  <c r="Y21" i="43"/>
  <c r="Y20" i="43"/>
  <c r="Y19" i="43"/>
  <c r="Y18" i="43"/>
  <c r="Y17" i="43"/>
  <c r="Y16" i="43"/>
  <c r="Y15" i="43"/>
  <c r="Y14" i="43"/>
  <c r="Y13" i="43"/>
  <c r="Y12" i="43"/>
  <c r="Y11" i="43"/>
  <c r="Y10" i="43"/>
  <c r="Y9" i="43"/>
  <c r="Y7" i="43"/>
  <c r="Y6" i="43"/>
  <c r="Y5" i="43"/>
  <c r="V5" i="43" l="1"/>
  <c r="P26" i="56"/>
  <c r="P24" i="56"/>
  <c r="P22" i="56"/>
  <c r="P20" i="56"/>
  <c r="P19" i="56"/>
  <c r="P18" i="56"/>
  <c r="P17" i="56"/>
  <c r="P14" i="56"/>
  <c r="P13" i="56"/>
  <c r="P11" i="56"/>
  <c r="P10" i="56"/>
  <c r="Q90" i="43"/>
  <c r="Q84" i="43"/>
  <c r="Q83" i="43"/>
  <c r="Q82" i="43"/>
  <c r="Q69" i="43"/>
  <c r="N10" i="43"/>
  <c r="U5" i="43"/>
  <c r="A5" i="57"/>
  <c r="N13" i="45"/>
  <c r="AF48" i="45" l="1"/>
  <c r="AF47" i="45"/>
  <c r="AF46" i="45"/>
  <c r="AF45" i="45"/>
  <c r="AF44" i="45"/>
  <c r="AF43" i="45"/>
  <c r="AF42" i="45"/>
  <c r="AF41" i="45"/>
  <c r="AF40" i="45"/>
  <c r="AF39" i="45"/>
  <c r="AF37" i="45"/>
  <c r="AF36" i="45"/>
  <c r="AF35" i="45"/>
  <c r="AF34" i="45"/>
  <c r="AF33" i="45"/>
  <c r="AF32" i="45"/>
  <c r="AF31" i="45"/>
  <c r="AF29" i="45"/>
  <c r="AF28" i="45"/>
  <c r="AF26" i="45"/>
  <c r="AF25" i="45"/>
  <c r="AF24" i="45"/>
  <c r="AF23" i="45"/>
  <c r="AF22" i="45"/>
  <c r="AF21" i="45"/>
  <c r="AF18" i="45"/>
  <c r="AF17" i="45"/>
  <c r="AF16" i="45"/>
  <c r="AF15" i="45"/>
  <c r="AF14" i="45"/>
  <c r="AF13" i="45"/>
  <c r="AF12" i="45"/>
  <c r="AF11" i="45"/>
  <c r="AF10" i="45"/>
  <c r="AF9" i="45"/>
  <c r="AF8" i="45"/>
  <c r="H5" i="59"/>
  <c r="AF98" i="46"/>
  <c r="AG98" i="46" s="1"/>
  <c r="AH98" i="46" s="1"/>
  <c r="AF97" i="46"/>
  <c r="AG97" i="46" s="1"/>
  <c r="AH97" i="46" s="1"/>
  <c r="AF96" i="46"/>
  <c r="AG96" i="46" s="1"/>
  <c r="AH96" i="46" s="1"/>
  <c r="AF95" i="46"/>
  <c r="AG95" i="46" s="1"/>
  <c r="AH95" i="46" s="1"/>
  <c r="AF94" i="46"/>
  <c r="AG94" i="46" s="1"/>
  <c r="AH94" i="46" s="1"/>
  <c r="AF93" i="46"/>
  <c r="AG93" i="46" s="1"/>
  <c r="AH93" i="46" s="1"/>
  <c r="AF92" i="46"/>
  <c r="AG92" i="46" s="1"/>
  <c r="AH92" i="46" s="1"/>
  <c r="AF91" i="46"/>
  <c r="AG91" i="46" s="1"/>
  <c r="AH91" i="46" s="1"/>
  <c r="AF90" i="46"/>
  <c r="AG90" i="46" s="1"/>
  <c r="AH90" i="46" s="1"/>
  <c r="AF89" i="46"/>
  <c r="AG89" i="46" s="1"/>
  <c r="AH89" i="46" s="1"/>
  <c r="AF88" i="46"/>
  <c r="AG88" i="46" s="1"/>
  <c r="AH88" i="46" s="1"/>
  <c r="AF87" i="46"/>
  <c r="AG87" i="46" s="1"/>
  <c r="AH87" i="46" s="1"/>
  <c r="AF86" i="46"/>
  <c r="AG86" i="46" s="1"/>
  <c r="AH86" i="46" s="1"/>
  <c r="AF85" i="46"/>
  <c r="AG85" i="46" s="1"/>
  <c r="AH85" i="46" s="1"/>
  <c r="AF84" i="46"/>
  <c r="AG84" i="46" s="1"/>
  <c r="AH84" i="46" s="1"/>
  <c r="AF83" i="46"/>
  <c r="AG83" i="46" s="1"/>
  <c r="AH83" i="46" s="1"/>
  <c r="AF82" i="46"/>
  <c r="AG82" i="46" s="1"/>
  <c r="AH82" i="46" s="1"/>
  <c r="AF81" i="46"/>
  <c r="AG81" i="46" s="1"/>
  <c r="AH81" i="46" s="1"/>
  <c r="AF80" i="46"/>
  <c r="AG80" i="46" s="1"/>
  <c r="AH80" i="46" s="1"/>
  <c r="AF78" i="46"/>
  <c r="AG78" i="46" s="1"/>
  <c r="AH78" i="46" s="1"/>
  <c r="AF77" i="46"/>
  <c r="AG77" i="46" s="1"/>
  <c r="AH77" i="46" s="1"/>
  <c r="AG76" i="46"/>
  <c r="AH76" i="46" s="1"/>
  <c r="AF76" i="46"/>
  <c r="AF75" i="46"/>
  <c r="AG75" i="46" s="1"/>
  <c r="AH75" i="46" s="1"/>
  <c r="AF74" i="46"/>
  <c r="AG74" i="46" s="1"/>
  <c r="AH74" i="46" s="1"/>
  <c r="AF73" i="46"/>
  <c r="AG73" i="46" s="1"/>
  <c r="AH73" i="46" s="1"/>
  <c r="AF72" i="46"/>
  <c r="AG72" i="46" s="1"/>
  <c r="AH72" i="46" s="1"/>
  <c r="AF71" i="46"/>
  <c r="AG71" i="46" s="1"/>
  <c r="AH71" i="46" s="1"/>
  <c r="AG70" i="46"/>
  <c r="AF70" i="46"/>
  <c r="AF69" i="46"/>
  <c r="AG69" i="46" s="1"/>
  <c r="AH69" i="46" s="1"/>
  <c r="AF68" i="46"/>
  <c r="AG68" i="46" s="1"/>
  <c r="AH68" i="46" s="1"/>
  <c r="AF67" i="46"/>
  <c r="AG67" i="46" s="1"/>
  <c r="AH67" i="46" s="1"/>
  <c r="AF66" i="46"/>
  <c r="AG66" i="46" s="1"/>
  <c r="AH66" i="46" s="1"/>
  <c r="AF64" i="46"/>
  <c r="AG64" i="46" s="1"/>
  <c r="AH64" i="46" s="1"/>
  <c r="AF63" i="46"/>
  <c r="AG63" i="46" s="1"/>
  <c r="AH63" i="46" s="1"/>
  <c r="AF62" i="46"/>
  <c r="AG62" i="46" s="1"/>
  <c r="AH62" i="46" s="1"/>
  <c r="AF60" i="46"/>
  <c r="AG60" i="46" s="1"/>
  <c r="AH60" i="46" s="1"/>
  <c r="AF59" i="46"/>
  <c r="AG59" i="46" s="1"/>
  <c r="AH59" i="46" s="1"/>
  <c r="AF58" i="46"/>
  <c r="AG58" i="46" s="1"/>
  <c r="AH58" i="46" s="1"/>
  <c r="AF57" i="46"/>
  <c r="AG57" i="46" s="1"/>
  <c r="AH57" i="46" s="1"/>
  <c r="AF56" i="46"/>
  <c r="AG56" i="46" s="1"/>
  <c r="AH56" i="46" s="1"/>
  <c r="AF54" i="46"/>
  <c r="AG54" i="46" s="1"/>
  <c r="AH54" i="46" s="1"/>
  <c r="AF53" i="46"/>
  <c r="AG53" i="46" s="1"/>
  <c r="AH53" i="46" s="1"/>
  <c r="AF52" i="46"/>
  <c r="AG52" i="46" s="1"/>
  <c r="AH52" i="46" s="1"/>
  <c r="AF51" i="46"/>
  <c r="AG51" i="46" s="1"/>
  <c r="AH51" i="46" s="1"/>
  <c r="AF50" i="46"/>
  <c r="AG50" i="46" s="1"/>
  <c r="AH50" i="46" s="1"/>
  <c r="AF49" i="46"/>
  <c r="AG49" i="46" s="1"/>
  <c r="AH49" i="46" s="1"/>
  <c r="AF47" i="46"/>
  <c r="AG47" i="46" s="1"/>
  <c r="AH47" i="46" s="1"/>
  <c r="AF46" i="46"/>
  <c r="AG46" i="46" s="1"/>
  <c r="AH46" i="46" s="1"/>
  <c r="AF45" i="46"/>
  <c r="AG45" i="46" s="1"/>
  <c r="AH45" i="46" s="1"/>
  <c r="AF44" i="46"/>
  <c r="AG44" i="46" s="1"/>
  <c r="AH44" i="46" s="1"/>
  <c r="AF43" i="46"/>
  <c r="AG43" i="46" s="1"/>
  <c r="AH43" i="46" s="1"/>
  <c r="AF42" i="46"/>
  <c r="AG42" i="46" s="1"/>
  <c r="AH42" i="46" s="1"/>
  <c r="AF41" i="46"/>
  <c r="AG41" i="46" s="1"/>
  <c r="AH41" i="46" s="1"/>
  <c r="AF40" i="46"/>
  <c r="AG40" i="46" s="1"/>
  <c r="AH40" i="46" s="1"/>
  <c r="AF39" i="46"/>
  <c r="AG39" i="46" s="1"/>
  <c r="AH39" i="46" s="1"/>
  <c r="AF38" i="46"/>
  <c r="AG38" i="46" s="1"/>
  <c r="AH38" i="46" s="1"/>
  <c r="AF37" i="46"/>
  <c r="AG37" i="46" s="1"/>
  <c r="AH37" i="46" s="1"/>
  <c r="AF36" i="46"/>
  <c r="AG36" i="46" s="1"/>
  <c r="AH36" i="46" s="1"/>
  <c r="AF35" i="46"/>
  <c r="AG35" i="46" s="1"/>
  <c r="AH35" i="46" s="1"/>
  <c r="AF34" i="46"/>
  <c r="AG34" i="46" s="1"/>
  <c r="AH34" i="46" s="1"/>
  <c r="AF33" i="46"/>
  <c r="AG33" i="46" s="1"/>
  <c r="AH33" i="46" s="1"/>
  <c r="AF32" i="46"/>
  <c r="AG32" i="46" s="1"/>
  <c r="AH32" i="46" s="1"/>
  <c r="AF30" i="46"/>
  <c r="AG30" i="46" s="1"/>
  <c r="AH30" i="46" s="1"/>
  <c r="AF29" i="46"/>
  <c r="AG29" i="46" s="1"/>
  <c r="AH29" i="46" s="1"/>
  <c r="AF28" i="46"/>
  <c r="AG28" i="46" s="1"/>
  <c r="AH28" i="46" s="1"/>
  <c r="AF27" i="46"/>
  <c r="AG27" i="46" s="1"/>
  <c r="AH27" i="46" s="1"/>
  <c r="AF25" i="46"/>
  <c r="AG25" i="46" s="1"/>
  <c r="AH25" i="46" s="1"/>
  <c r="AF24" i="46"/>
  <c r="AG24" i="46" s="1"/>
  <c r="AH24" i="46" s="1"/>
  <c r="AF23" i="46"/>
  <c r="AG23" i="46" s="1"/>
  <c r="AH23" i="46" s="1"/>
  <c r="AF22" i="46"/>
  <c r="AG22" i="46" s="1"/>
  <c r="AH22" i="46" s="1"/>
  <c r="AF21" i="46"/>
  <c r="AG21" i="46" s="1"/>
  <c r="AH21" i="46" s="1"/>
  <c r="AF20" i="46"/>
  <c r="AG20" i="46" s="1"/>
  <c r="AH20" i="46" s="1"/>
  <c r="AF19" i="46"/>
  <c r="AG19" i="46" s="1"/>
  <c r="AH19" i="46" s="1"/>
  <c r="AF18" i="46"/>
  <c r="AG18" i="46" s="1"/>
  <c r="AH18" i="46" s="1"/>
  <c r="AF17" i="46"/>
  <c r="AG17" i="46" s="1"/>
  <c r="AH17" i="46" s="1"/>
  <c r="AF16" i="46"/>
  <c r="AG16" i="46" s="1"/>
  <c r="AH16" i="46" s="1"/>
  <c r="AF15" i="46"/>
  <c r="AG15" i="46" s="1"/>
  <c r="AH15" i="46" s="1"/>
  <c r="AF14" i="46"/>
  <c r="AG14" i="46" s="1"/>
  <c r="AH14" i="46" s="1"/>
  <c r="AF13" i="46"/>
  <c r="AG13" i="46" s="1"/>
  <c r="AH13" i="46" s="1"/>
  <c r="AF12" i="46"/>
  <c r="AG12" i="46" s="1"/>
  <c r="AH12" i="46" s="1"/>
  <c r="AF11" i="46"/>
  <c r="AG11" i="46" s="1"/>
  <c r="AH11" i="46" s="1"/>
  <c r="AF10" i="46"/>
  <c r="AG10" i="46" s="1"/>
  <c r="AH10" i="46" s="1"/>
  <c r="AF9" i="46"/>
  <c r="AG9" i="46" s="1"/>
  <c r="AH9" i="46" s="1"/>
  <c r="AF8" i="46"/>
  <c r="AG8" i="46" s="1"/>
  <c r="AH8" i="46" s="1"/>
  <c r="AH70" i="46"/>
  <c r="AH7" i="46"/>
  <c r="AG7" i="46"/>
  <c r="AF7" i="46"/>
  <c r="AD98" i="46"/>
  <c r="AD97" i="46"/>
  <c r="AD88" i="46"/>
  <c r="AD87" i="46"/>
  <c r="AD86" i="46"/>
  <c r="AD80" i="46"/>
  <c r="AD78" i="46"/>
  <c r="AD77" i="46"/>
  <c r="AD76" i="46"/>
  <c r="AD74" i="46"/>
  <c r="AD73" i="46"/>
  <c r="AD72" i="46"/>
  <c r="AD71" i="46"/>
  <c r="AD69" i="46"/>
  <c r="AD68" i="46"/>
  <c r="AD67" i="46"/>
  <c r="AD64" i="46"/>
  <c r="AD63" i="46"/>
  <c r="AD59" i="46"/>
  <c r="AD58" i="46"/>
  <c r="AD57" i="46"/>
  <c r="AD56" i="46"/>
  <c r="AD54" i="46"/>
  <c r="AD52" i="46"/>
  <c r="AD51" i="46"/>
  <c r="AD50" i="46"/>
  <c r="AD49" i="46"/>
  <c r="AD47" i="46"/>
  <c r="AD45" i="46"/>
  <c r="AD44" i="46"/>
  <c r="AD43" i="46"/>
  <c r="AD42" i="46"/>
  <c r="AD41" i="46"/>
  <c r="AD38" i="46"/>
  <c r="AD34" i="46"/>
  <c r="AD32" i="46"/>
  <c r="AD30" i="46"/>
  <c r="AD27" i="46"/>
  <c r="AD25" i="46"/>
  <c r="AD24" i="46"/>
  <c r="AD23" i="46"/>
  <c r="AD22" i="46"/>
  <c r="AD21" i="46"/>
  <c r="AD20" i="46"/>
  <c r="AD18" i="46"/>
  <c r="AD14" i="46"/>
  <c r="AD13" i="46"/>
  <c r="AD10" i="46"/>
  <c r="N7" i="46"/>
  <c r="S98" i="46"/>
  <c r="S86" i="46"/>
  <c r="S80" i="46"/>
  <c r="S78" i="46"/>
  <c r="S77" i="46"/>
  <c r="S76" i="46"/>
  <c r="S74" i="46"/>
  <c r="S73" i="46"/>
  <c r="S72" i="46"/>
  <c r="S71" i="46"/>
  <c r="S69" i="46"/>
  <c r="S68" i="46"/>
  <c r="S67" i="46"/>
  <c r="S63" i="46"/>
  <c r="S59" i="46"/>
  <c r="S58" i="46"/>
  <c r="S57" i="46"/>
  <c r="S52" i="46"/>
  <c r="S51" i="46"/>
  <c r="S50" i="46"/>
  <c r="S49" i="46"/>
  <c r="S47" i="46"/>
  <c r="S45" i="46"/>
  <c r="S44" i="46"/>
  <c r="S43" i="46"/>
  <c r="S42" i="46"/>
  <c r="S41" i="46"/>
  <c r="S38" i="46"/>
  <c r="S34" i="46"/>
  <c r="S32" i="46"/>
  <c r="S30" i="46"/>
  <c r="S27" i="46"/>
  <c r="S25" i="46"/>
  <c r="S24" i="46"/>
  <c r="S23" i="46"/>
  <c r="S22" i="46"/>
  <c r="S21" i="46"/>
  <c r="S20" i="46"/>
  <c r="S18" i="46"/>
  <c r="S14" i="46"/>
  <c r="S13" i="46"/>
  <c r="S10" i="46"/>
  <c r="S48" i="45"/>
  <c r="S47" i="45"/>
  <c r="S46" i="45"/>
  <c r="S44" i="45"/>
  <c r="S43" i="45"/>
  <c r="S41" i="45"/>
  <c r="S40" i="45"/>
  <c r="S39" i="45"/>
  <c r="S37" i="45"/>
  <c r="S36" i="45"/>
  <c r="S35" i="45"/>
  <c r="S34" i="45"/>
  <c r="S33" i="45"/>
  <c r="S31" i="45"/>
  <c r="S29" i="45"/>
  <c r="S24" i="45"/>
  <c r="S21" i="45"/>
  <c r="S9" i="45"/>
  <c r="S10" i="45"/>
  <c r="S11" i="45"/>
  <c r="S12" i="45"/>
  <c r="S13" i="45"/>
  <c r="S14" i="45"/>
  <c r="S15" i="45"/>
  <c r="S16" i="45"/>
  <c r="S17" i="45"/>
  <c r="S7" i="45"/>
  <c r="T48" i="45"/>
  <c r="T47" i="45"/>
  <c r="T46" i="45"/>
  <c r="T44" i="45"/>
  <c r="T43" i="45"/>
  <c r="T41" i="45"/>
  <c r="T40" i="45"/>
  <c r="T39" i="45"/>
  <c r="T37" i="45"/>
  <c r="T36" i="45"/>
  <c r="T35" i="45"/>
  <c r="T34" i="45"/>
  <c r="T33" i="45"/>
  <c r="T31" i="45"/>
  <c r="T29" i="45"/>
  <c r="T24" i="45"/>
  <c r="T21" i="45"/>
  <c r="T9" i="45"/>
  <c r="T10" i="45"/>
  <c r="T11" i="45"/>
  <c r="T12" i="45"/>
  <c r="T13" i="45"/>
  <c r="T14" i="45"/>
  <c r="T15" i="45"/>
  <c r="T16" i="45"/>
  <c r="T17" i="45"/>
  <c r="T7" i="45"/>
  <c r="F4" i="68" l="1"/>
  <c r="D11" i="69"/>
  <c r="H11" i="69" s="1"/>
  <c r="F10" i="69"/>
  <c r="F7" i="69"/>
  <c r="F5" i="69"/>
  <c r="H5" i="69" s="1"/>
  <c r="F4" i="69"/>
  <c r="H4" i="69" s="1"/>
  <c r="H16" i="69" s="1"/>
  <c r="F111" i="70"/>
  <c r="F105" i="70"/>
  <c r="F103" i="70"/>
  <c r="F102" i="70"/>
  <c r="F101" i="70"/>
  <c r="F100" i="70"/>
  <c r="F99" i="70"/>
  <c r="F98" i="70"/>
  <c r="F96" i="70"/>
  <c r="F95" i="70"/>
  <c r="F94" i="70"/>
  <c r="F93" i="70"/>
  <c r="F92" i="70"/>
  <c r="F91" i="70"/>
  <c r="F89" i="70"/>
  <c r="F84" i="70"/>
  <c r="F82" i="70"/>
  <c r="F81" i="70"/>
  <c r="F80" i="70"/>
  <c r="F79" i="70"/>
  <c r="F78" i="70"/>
  <c r="F77" i="70"/>
  <c r="F75" i="70"/>
  <c r="F74" i="70"/>
  <c r="F73" i="70"/>
  <c r="F72" i="70"/>
  <c r="F71" i="70"/>
  <c r="F70" i="70"/>
  <c r="F68" i="70"/>
  <c r="F63" i="70"/>
  <c r="F61" i="70"/>
  <c r="F60" i="70"/>
  <c r="F59" i="70"/>
  <c r="F58" i="70"/>
  <c r="F57" i="70"/>
  <c r="F56" i="70"/>
  <c r="F54" i="70"/>
  <c r="F53" i="70"/>
  <c r="F52" i="70"/>
  <c r="F51" i="70"/>
  <c r="F50" i="70"/>
  <c r="F49" i="70"/>
  <c r="F47" i="70"/>
  <c r="F42" i="70"/>
  <c r="F40" i="70"/>
  <c r="F39" i="70"/>
  <c r="F38" i="70"/>
  <c r="F37" i="70"/>
  <c r="F36" i="70"/>
  <c r="F35" i="70"/>
  <c r="F33" i="70"/>
  <c r="F32" i="70"/>
  <c r="F31" i="70"/>
  <c r="F30" i="70"/>
  <c r="F29" i="70"/>
  <c r="F28" i="70"/>
  <c r="F26" i="70"/>
  <c r="F24" i="70"/>
  <c r="F22" i="70"/>
  <c r="F21" i="70"/>
  <c r="F20" i="70"/>
  <c r="F18" i="70"/>
  <c r="F17" i="70"/>
  <c r="F16" i="70"/>
  <c r="F15" i="70"/>
  <c r="F14" i="70"/>
  <c r="F13" i="70"/>
  <c r="F11" i="70"/>
  <c r="F10" i="70"/>
  <c r="F9" i="70"/>
  <c r="F8" i="70"/>
  <c r="F7" i="70"/>
  <c r="F6" i="70"/>
  <c r="F4" i="70"/>
  <c r="F17" i="68"/>
  <c r="F16" i="68"/>
  <c r="F14" i="68"/>
  <c r="F11" i="68"/>
  <c r="F10" i="68"/>
  <c r="F8" i="68"/>
  <c r="B7" i="68"/>
  <c r="F5" i="68"/>
  <c r="G16" i="51"/>
  <c r="G15" i="51"/>
  <c r="G14" i="51"/>
  <c r="G13" i="51"/>
  <c r="G11" i="51"/>
  <c r="M10" i="51"/>
  <c r="C11" i="51" s="1"/>
  <c r="I11" i="51" s="1"/>
  <c r="G10" i="51"/>
  <c r="M9" i="51"/>
  <c r="C4" i="51" s="1"/>
  <c r="I4" i="51" s="1"/>
  <c r="G8" i="51"/>
  <c r="G7" i="51"/>
  <c r="G6" i="51"/>
  <c r="G4" i="51"/>
  <c r="L7" i="67"/>
  <c r="D16" i="50"/>
  <c r="E16" i="50" s="1"/>
  <c r="D15" i="50"/>
  <c r="E15" i="50" s="1"/>
  <c r="D14" i="50"/>
  <c r="E14" i="50" s="1"/>
  <c r="E12" i="50"/>
  <c r="E11" i="50"/>
  <c r="E9" i="50"/>
  <c r="E7" i="50"/>
  <c r="D6" i="50"/>
  <c r="E6" i="50" s="1"/>
  <c r="D4" i="50"/>
  <c r="E4" i="50" s="1"/>
  <c r="E17" i="50" s="1"/>
  <c r="H20" i="48"/>
  <c r="J20" i="48" s="1"/>
  <c r="H19" i="48"/>
  <c r="J19" i="48" s="1"/>
  <c r="H18" i="48"/>
  <c r="J18" i="48" s="1"/>
  <c r="H17" i="48"/>
  <c r="J17" i="48" s="1"/>
  <c r="H16" i="48"/>
  <c r="J16" i="48" s="1"/>
  <c r="H15" i="48"/>
  <c r="J15" i="48" s="1"/>
  <c r="E11" i="48"/>
  <c r="D11" i="48"/>
  <c r="H8" i="48"/>
  <c r="J8" i="48" s="1"/>
  <c r="D7" i="48"/>
  <c r="H7" i="48" s="1"/>
  <c r="J7" i="48" s="1"/>
  <c r="D4" i="48"/>
  <c r="N5" i="63"/>
  <c r="E21" i="62"/>
  <c r="A21" i="62"/>
  <c r="E20" i="62"/>
  <c r="A20" i="62"/>
  <c r="E19" i="62"/>
  <c r="A19" i="62"/>
  <c r="F18" i="62"/>
  <c r="E6" i="62"/>
  <c r="G6" i="62" s="1"/>
  <c r="E5" i="62"/>
  <c r="G5" i="62" s="1"/>
  <c r="E4" i="62"/>
  <c r="G4" i="62" s="1"/>
  <c r="G11" i="62" s="1"/>
  <c r="N4" i="61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2" i="49"/>
  <c r="G51" i="49"/>
  <c r="G49" i="49"/>
  <c r="G48" i="49"/>
  <c r="G47" i="49"/>
  <c r="G46" i="49"/>
  <c r="G45" i="49"/>
  <c r="G44" i="49"/>
  <c r="G43" i="49"/>
  <c r="G42" i="49"/>
  <c r="G40" i="49"/>
  <c r="G39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4" i="49"/>
  <c r="G23" i="49"/>
  <c r="G22" i="49"/>
  <c r="G21" i="49"/>
  <c r="G20" i="49"/>
  <c r="G19" i="49"/>
  <c r="G18" i="49"/>
  <c r="G17" i="49"/>
  <c r="A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4" i="49"/>
  <c r="H3" i="49"/>
  <c r="G33" i="34"/>
  <c r="E32" i="34"/>
  <c r="G32" i="34" s="1"/>
  <c r="G31" i="34"/>
  <c r="G30" i="34"/>
  <c r="G29" i="34"/>
  <c r="G28" i="34"/>
  <c r="G27" i="34"/>
  <c r="G26" i="34"/>
  <c r="G25" i="34"/>
  <c r="G24" i="34"/>
  <c r="G22" i="34"/>
  <c r="G21" i="34"/>
  <c r="G20" i="34"/>
  <c r="G19" i="34"/>
  <c r="G17" i="34"/>
  <c r="G16" i="34"/>
  <c r="G15" i="34"/>
  <c r="G13" i="34"/>
  <c r="G12" i="34"/>
  <c r="G11" i="34"/>
  <c r="G10" i="34"/>
  <c r="G9" i="34"/>
  <c r="G8" i="34"/>
  <c r="G7" i="34"/>
  <c r="G6" i="34"/>
  <c r="G5" i="34"/>
  <c r="G4" i="34"/>
  <c r="H3" i="34"/>
  <c r="E13" i="35"/>
  <c r="C13" i="35"/>
  <c r="E12" i="35"/>
  <c r="C12" i="35"/>
  <c r="E11" i="35"/>
  <c r="C11" i="35"/>
  <c r="E10" i="35"/>
  <c r="C10" i="35"/>
  <c r="E9" i="35"/>
  <c r="C9" i="35"/>
  <c r="E7" i="35"/>
  <c r="C7" i="35"/>
  <c r="E6" i="35"/>
  <c r="C6" i="35"/>
  <c r="K5" i="35"/>
  <c r="E5" i="35"/>
  <c r="C5" i="35"/>
  <c r="E4" i="35"/>
  <c r="C4" i="35"/>
  <c r="F3" i="35"/>
  <c r="AC98" i="46"/>
  <c r="AB98" i="46"/>
  <c r="Z98" i="46"/>
  <c r="Y98" i="46"/>
  <c r="X98" i="46"/>
  <c r="V98" i="46"/>
  <c r="O98" i="46"/>
  <c r="N98" i="46"/>
  <c r="G98" i="46"/>
  <c r="AC97" i="46"/>
  <c r="Y97" i="46"/>
  <c r="X97" i="46"/>
  <c r="O97" i="46"/>
  <c r="N97" i="46"/>
  <c r="G97" i="46"/>
  <c r="V97" i="46" s="1"/>
  <c r="AC96" i="46"/>
  <c r="AA96" i="46"/>
  <c r="Y96" i="46"/>
  <c r="O96" i="46"/>
  <c r="N96" i="46"/>
  <c r="G96" i="46"/>
  <c r="AC95" i="46"/>
  <c r="AA95" i="46"/>
  <c r="Y95" i="46"/>
  <c r="O95" i="46"/>
  <c r="N95" i="46"/>
  <c r="G95" i="46"/>
  <c r="AC94" i="46"/>
  <c r="AA94" i="46"/>
  <c r="Y94" i="46"/>
  <c r="O94" i="46"/>
  <c r="N94" i="46"/>
  <c r="G94" i="46"/>
  <c r="AC93" i="46"/>
  <c r="AA93" i="46"/>
  <c r="Y93" i="46"/>
  <c r="O93" i="46"/>
  <c r="N93" i="46"/>
  <c r="G93" i="46"/>
  <c r="F93" i="46"/>
  <c r="AC92" i="46"/>
  <c r="AA92" i="46"/>
  <c r="Y92" i="46"/>
  <c r="O92" i="46"/>
  <c r="N92" i="46"/>
  <c r="G92" i="46"/>
  <c r="AC91" i="46"/>
  <c r="AA91" i="46"/>
  <c r="Y91" i="46"/>
  <c r="O91" i="46"/>
  <c r="N91" i="46"/>
  <c r="G91" i="46"/>
  <c r="AC90" i="46"/>
  <c r="AA90" i="46"/>
  <c r="Y90" i="46"/>
  <c r="O90" i="46"/>
  <c r="N90" i="46"/>
  <c r="G90" i="46"/>
  <c r="F90" i="46"/>
  <c r="AC89" i="46"/>
  <c r="AA89" i="46"/>
  <c r="Y89" i="46"/>
  <c r="O89" i="46"/>
  <c r="N89" i="46"/>
  <c r="G89" i="46"/>
  <c r="AC88" i="46"/>
  <c r="Y88" i="46"/>
  <c r="X88" i="46"/>
  <c r="O88" i="46"/>
  <c r="N88" i="46"/>
  <c r="G88" i="46"/>
  <c r="V88" i="46" s="1"/>
  <c r="AC87" i="46"/>
  <c r="Y87" i="46"/>
  <c r="X87" i="46"/>
  <c r="O87" i="46"/>
  <c r="N87" i="46"/>
  <c r="G87" i="46"/>
  <c r="V87" i="46" s="1"/>
  <c r="AC86" i="46"/>
  <c r="AB86" i="46"/>
  <c r="AA86" i="46"/>
  <c r="Z86" i="46"/>
  <c r="Y86" i="46"/>
  <c r="V86" i="46"/>
  <c r="O86" i="46"/>
  <c r="N86" i="46"/>
  <c r="G86" i="46"/>
  <c r="AC85" i="46"/>
  <c r="AA85" i="46"/>
  <c r="Y85" i="46"/>
  <c r="O85" i="46"/>
  <c r="N85" i="46"/>
  <c r="G85" i="46"/>
  <c r="AC84" i="46"/>
  <c r="AA84" i="46"/>
  <c r="Y84" i="46"/>
  <c r="O84" i="46"/>
  <c r="N84" i="46"/>
  <c r="G84" i="46"/>
  <c r="AC83" i="46"/>
  <c r="AA83" i="46"/>
  <c r="Y83" i="46"/>
  <c r="O83" i="46"/>
  <c r="N83" i="46"/>
  <c r="G83" i="46"/>
  <c r="F83" i="46"/>
  <c r="AC82" i="46"/>
  <c r="AA82" i="46"/>
  <c r="Y82" i="46"/>
  <c r="O82" i="46"/>
  <c r="N82" i="46"/>
  <c r="G82" i="46"/>
  <c r="F82" i="46"/>
  <c r="AC81" i="46"/>
  <c r="AA81" i="46"/>
  <c r="Y81" i="46"/>
  <c r="O81" i="46"/>
  <c r="N81" i="46"/>
  <c r="G81" i="46"/>
  <c r="F81" i="46"/>
  <c r="AC80" i="46"/>
  <c r="AB80" i="46"/>
  <c r="AA80" i="46"/>
  <c r="Z80" i="46"/>
  <c r="Y80" i="46"/>
  <c r="V80" i="46"/>
  <c r="O80" i="46"/>
  <c r="N80" i="46"/>
  <c r="G80" i="46"/>
  <c r="F80" i="46"/>
  <c r="AC78" i="46"/>
  <c r="AB78" i="46"/>
  <c r="AA78" i="46"/>
  <c r="Z78" i="46"/>
  <c r="Y78" i="46"/>
  <c r="V78" i="46"/>
  <c r="O78" i="46"/>
  <c r="N78" i="46"/>
  <c r="G78" i="46"/>
  <c r="AC77" i="46"/>
  <c r="AB77" i="46"/>
  <c r="AA77" i="46"/>
  <c r="Z77" i="46"/>
  <c r="Y77" i="46"/>
  <c r="V77" i="46"/>
  <c r="O77" i="46"/>
  <c r="N77" i="46"/>
  <c r="G77" i="46"/>
  <c r="AC76" i="46"/>
  <c r="AB76" i="46"/>
  <c r="AA76" i="46"/>
  <c r="Z76" i="46"/>
  <c r="Y76" i="46"/>
  <c r="V76" i="46"/>
  <c r="O76" i="46"/>
  <c r="N76" i="46"/>
  <c r="G76" i="46"/>
  <c r="AC75" i="46"/>
  <c r="AA75" i="46"/>
  <c r="Y75" i="46"/>
  <c r="O75" i="46"/>
  <c r="N75" i="46"/>
  <c r="G75" i="46"/>
  <c r="AC74" i="46"/>
  <c r="AB74" i="46"/>
  <c r="AA74" i="46"/>
  <c r="Z74" i="46"/>
  <c r="Y74" i="46"/>
  <c r="X74" i="46"/>
  <c r="V74" i="46"/>
  <c r="O74" i="46"/>
  <c r="N74" i="46"/>
  <c r="G74" i="46"/>
  <c r="AC73" i="46"/>
  <c r="AB73" i="46"/>
  <c r="AA73" i="46"/>
  <c r="Z73" i="46"/>
  <c r="Y73" i="46"/>
  <c r="X73" i="46"/>
  <c r="V73" i="46"/>
  <c r="O73" i="46"/>
  <c r="N73" i="46"/>
  <c r="G73" i="46"/>
  <c r="AC72" i="46"/>
  <c r="AB72" i="46"/>
  <c r="AA72" i="46"/>
  <c r="Z72" i="46"/>
  <c r="Y72" i="46"/>
  <c r="X72" i="46"/>
  <c r="V72" i="46"/>
  <c r="O72" i="46"/>
  <c r="N72" i="46"/>
  <c r="G72" i="46"/>
  <c r="AC71" i="46"/>
  <c r="AB71" i="46"/>
  <c r="AA71" i="46"/>
  <c r="Z71" i="46"/>
  <c r="Y71" i="46"/>
  <c r="X71" i="46"/>
  <c r="V71" i="46"/>
  <c r="O71" i="46"/>
  <c r="N71" i="46"/>
  <c r="G71" i="46"/>
  <c r="AC70" i="46"/>
  <c r="AA70" i="46"/>
  <c r="Y70" i="46"/>
  <c r="X70" i="46"/>
  <c r="O70" i="46"/>
  <c r="N70" i="46"/>
  <c r="G70" i="46"/>
  <c r="V70" i="46" s="1"/>
  <c r="AC69" i="46"/>
  <c r="AB69" i="46"/>
  <c r="AA69" i="46"/>
  <c r="Z69" i="46"/>
  <c r="Y69" i="46"/>
  <c r="X69" i="46"/>
  <c r="V69" i="46"/>
  <c r="O69" i="46"/>
  <c r="N69" i="46"/>
  <c r="G69" i="46"/>
  <c r="AC68" i="46"/>
  <c r="AB68" i="46"/>
  <c r="AA68" i="46"/>
  <c r="Z68" i="46"/>
  <c r="Y68" i="46"/>
  <c r="X68" i="46"/>
  <c r="V68" i="46"/>
  <c r="O68" i="46"/>
  <c r="N68" i="46"/>
  <c r="G68" i="46"/>
  <c r="AC67" i="46"/>
  <c r="AB67" i="46"/>
  <c r="AA67" i="46"/>
  <c r="Z67" i="46"/>
  <c r="Y67" i="46"/>
  <c r="V67" i="46"/>
  <c r="O67" i="46"/>
  <c r="N67" i="46"/>
  <c r="G67" i="46"/>
  <c r="AC66" i="46"/>
  <c r="AA66" i="46"/>
  <c r="Y66" i="46"/>
  <c r="O66" i="46"/>
  <c r="N66" i="46"/>
  <c r="G66" i="46"/>
  <c r="AC64" i="46"/>
  <c r="Y64" i="46"/>
  <c r="X64" i="46"/>
  <c r="O64" i="46"/>
  <c r="N64" i="46"/>
  <c r="G64" i="46"/>
  <c r="V64" i="46" s="1"/>
  <c r="AC63" i="46"/>
  <c r="AB63" i="46"/>
  <c r="AA63" i="46"/>
  <c r="Z63" i="46"/>
  <c r="Y63" i="46"/>
  <c r="V63" i="46"/>
  <c r="O63" i="46"/>
  <c r="N63" i="46"/>
  <c r="G63" i="46"/>
  <c r="AC62" i="46"/>
  <c r="AA62" i="46"/>
  <c r="Y62" i="46"/>
  <c r="X62" i="46"/>
  <c r="O62" i="46"/>
  <c r="N62" i="46"/>
  <c r="G62" i="46"/>
  <c r="V62" i="46" s="1"/>
  <c r="AC60" i="46"/>
  <c r="AA60" i="46"/>
  <c r="Y60" i="46"/>
  <c r="O60" i="46"/>
  <c r="N60" i="46"/>
  <c r="G60" i="46"/>
  <c r="AC59" i="46"/>
  <c r="AB59" i="46"/>
  <c r="AA59" i="46"/>
  <c r="Z59" i="46"/>
  <c r="Y59" i="46"/>
  <c r="V59" i="46"/>
  <c r="O59" i="46"/>
  <c r="N59" i="46"/>
  <c r="G59" i="46"/>
  <c r="AC58" i="46"/>
  <c r="AB58" i="46"/>
  <c r="AA58" i="46"/>
  <c r="Z58" i="46"/>
  <c r="Y58" i="46"/>
  <c r="V58" i="46"/>
  <c r="O58" i="46"/>
  <c r="N58" i="46"/>
  <c r="G58" i="46"/>
  <c r="AC57" i="46"/>
  <c r="AB57" i="46"/>
  <c r="AA57" i="46"/>
  <c r="Z57" i="46"/>
  <c r="Y57" i="46"/>
  <c r="V57" i="46"/>
  <c r="O57" i="46"/>
  <c r="N57" i="46"/>
  <c r="G57" i="46"/>
  <c r="AC56" i="46"/>
  <c r="Y56" i="46"/>
  <c r="X56" i="46"/>
  <c r="O56" i="46"/>
  <c r="N56" i="46"/>
  <c r="G56" i="46"/>
  <c r="V56" i="46" s="1"/>
  <c r="AC54" i="46"/>
  <c r="Y54" i="46"/>
  <c r="X54" i="46"/>
  <c r="O54" i="46"/>
  <c r="N54" i="46"/>
  <c r="G54" i="46"/>
  <c r="V54" i="46" s="1"/>
  <c r="AC53" i="46"/>
  <c r="AA53" i="46"/>
  <c r="Y53" i="46"/>
  <c r="W53" i="46"/>
  <c r="O53" i="46"/>
  <c r="N53" i="46"/>
  <c r="G53" i="46"/>
  <c r="AC52" i="46"/>
  <c r="AB52" i="46"/>
  <c r="AA52" i="46"/>
  <c r="Z52" i="46"/>
  <c r="Y52" i="46"/>
  <c r="V52" i="46"/>
  <c r="O52" i="46"/>
  <c r="N52" i="46"/>
  <c r="G52" i="46"/>
  <c r="AC51" i="46"/>
  <c r="AB51" i="46"/>
  <c r="Z51" i="46"/>
  <c r="Y51" i="46"/>
  <c r="X51" i="46"/>
  <c r="V51" i="46"/>
  <c r="O51" i="46"/>
  <c r="N51" i="46"/>
  <c r="G51" i="46"/>
  <c r="AC50" i="46"/>
  <c r="AB50" i="46"/>
  <c r="Z50" i="46"/>
  <c r="Y50" i="46"/>
  <c r="X50" i="46"/>
  <c r="V50" i="46"/>
  <c r="O50" i="46"/>
  <c r="N50" i="46"/>
  <c r="G50" i="46"/>
  <c r="AC49" i="46"/>
  <c r="AB49" i="46"/>
  <c r="Z49" i="46"/>
  <c r="Y49" i="46"/>
  <c r="X49" i="46"/>
  <c r="V49" i="46"/>
  <c r="O49" i="46"/>
  <c r="N49" i="46"/>
  <c r="G49" i="46"/>
  <c r="AC47" i="46"/>
  <c r="AB47" i="46"/>
  <c r="AA47" i="46"/>
  <c r="Z47" i="46"/>
  <c r="Y47" i="46"/>
  <c r="V47" i="46"/>
  <c r="O47" i="46"/>
  <c r="N47" i="46"/>
  <c r="G47" i="46"/>
  <c r="AC46" i="46"/>
  <c r="AA46" i="46"/>
  <c r="Y46" i="46"/>
  <c r="O46" i="46"/>
  <c r="N46" i="46"/>
  <c r="G46" i="46"/>
  <c r="AC45" i="46"/>
  <c r="AB45" i="46"/>
  <c r="AA45" i="46"/>
  <c r="Z45" i="46"/>
  <c r="Y45" i="46"/>
  <c r="V45" i="46"/>
  <c r="O45" i="46"/>
  <c r="N45" i="46"/>
  <c r="G45" i="46"/>
  <c r="AC44" i="46"/>
  <c r="AB44" i="46"/>
  <c r="AA44" i="46"/>
  <c r="Z44" i="46"/>
  <c r="Y44" i="46"/>
  <c r="V44" i="46"/>
  <c r="O44" i="46"/>
  <c r="N44" i="46"/>
  <c r="G44" i="46"/>
  <c r="AC43" i="46"/>
  <c r="AB43" i="46"/>
  <c r="AA43" i="46"/>
  <c r="Z43" i="46"/>
  <c r="Y43" i="46"/>
  <c r="W43" i="46"/>
  <c r="V43" i="46"/>
  <c r="O43" i="46"/>
  <c r="N43" i="46"/>
  <c r="G43" i="46"/>
  <c r="AC42" i="46"/>
  <c r="AB42" i="46"/>
  <c r="AA42" i="46"/>
  <c r="Z42" i="46"/>
  <c r="Y42" i="46"/>
  <c r="W42" i="46"/>
  <c r="V42" i="46"/>
  <c r="O42" i="46"/>
  <c r="N42" i="46"/>
  <c r="G42" i="46"/>
  <c r="AC41" i="46"/>
  <c r="AB41" i="46"/>
  <c r="AA41" i="46"/>
  <c r="Z41" i="46"/>
  <c r="Y41" i="46"/>
  <c r="W41" i="46"/>
  <c r="V41" i="46"/>
  <c r="O41" i="46"/>
  <c r="N41" i="46"/>
  <c r="G41" i="46"/>
  <c r="AC40" i="46"/>
  <c r="AA40" i="46"/>
  <c r="Y40" i="46"/>
  <c r="W40" i="46"/>
  <c r="O40" i="46"/>
  <c r="N40" i="46"/>
  <c r="G40" i="46"/>
  <c r="AC39" i="46"/>
  <c r="AA39" i="46"/>
  <c r="Y39" i="46"/>
  <c r="W39" i="46"/>
  <c r="O39" i="46"/>
  <c r="N39" i="46"/>
  <c r="G39" i="46"/>
  <c r="AC38" i="46"/>
  <c r="AB38" i="46"/>
  <c r="AA38" i="46"/>
  <c r="Z38" i="46"/>
  <c r="Y38" i="46"/>
  <c r="W38" i="46"/>
  <c r="V38" i="46"/>
  <c r="O38" i="46"/>
  <c r="N38" i="46"/>
  <c r="G38" i="46"/>
  <c r="AC37" i="46"/>
  <c r="AA37" i="46"/>
  <c r="Y37" i="46"/>
  <c r="W37" i="46"/>
  <c r="O37" i="46"/>
  <c r="N37" i="46"/>
  <c r="G37" i="46"/>
  <c r="AC36" i="46"/>
  <c r="AA36" i="46"/>
  <c r="Y36" i="46"/>
  <c r="W36" i="46"/>
  <c r="O36" i="46"/>
  <c r="N36" i="46"/>
  <c r="G36" i="46"/>
  <c r="AC35" i="46"/>
  <c r="AA35" i="46"/>
  <c r="Y35" i="46"/>
  <c r="W35" i="46"/>
  <c r="O35" i="46"/>
  <c r="N35" i="46"/>
  <c r="G35" i="46"/>
  <c r="AC34" i="46"/>
  <c r="AB34" i="46"/>
  <c r="AA34" i="46"/>
  <c r="Z34" i="46"/>
  <c r="Y34" i="46"/>
  <c r="W34" i="46"/>
  <c r="V34" i="46"/>
  <c r="O34" i="46"/>
  <c r="N34" i="46"/>
  <c r="G34" i="46"/>
  <c r="AC33" i="46"/>
  <c r="Y33" i="46"/>
  <c r="O33" i="46"/>
  <c r="N33" i="46"/>
  <c r="G33" i="46"/>
  <c r="AC32" i="46"/>
  <c r="AB32" i="46"/>
  <c r="Z32" i="46"/>
  <c r="Y32" i="46"/>
  <c r="V32" i="46"/>
  <c r="O32" i="46"/>
  <c r="N32" i="46"/>
  <c r="G32" i="46"/>
  <c r="AC30" i="46"/>
  <c r="AB30" i="46"/>
  <c r="AA30" i="46"/>
  <c r="Z30" i="46"/>
  <c r="Y30" i="46"/>
  <c r="V30" i="46"/>
  <c r="O30" i="46"/>
  <c r="N30" i="46"/>
  <c r="G30" i="46"/>
  <c r="AC29" i="46"/>
  <c r="AA29" i="46"/>
  <c r="Y29" i="46"/>
  <c r="O29" i="46"/>
  <c r="N29" i="46"/>
  <c r="G29" i="46"/>
  <c r="AC28" i="46"/>
  <c r="AA28" i="46"/>
  <c r="Y28" i="46"/>
  <c r="O28" i="46"/>
  <c r="N28" i="46"/>
  <c r="G28" i="46"/>
  <c r="AC27" i="46"/>
  <c r="AB27" i="46"/>
  <c r="AA27" i="46"/>
  <c r="Z27" i="46"/>
  <c r="Y27" i="46"/>
  <c r="V27" i="46"/>
  <c r="O27" i="46"/>
  <c r="N27" i="46"/>
  <c r="G27" i="46"/>
  <c r="AC25" i="46"/>
  <c r="AB25" i="46"/>
  <c r="AA25" i="46"/>
  <c r="Z25" i="46"/>
  <c r="Y25" i="46"/>
  <c r="X25" i="46"/>
  <c r="V25" i="46"/>
  <c r="O25" i="46"/>
  <c r="N25" i="46"/>
  <c r="G25" i="46"/>
  <c r="AC24" i="46"/>
  <c r="AB24" i="46"/>
  <c r="AA24" i="46"/>
  <c r="Z24" i="46"/>
  <c r="Y24" i="46"/>
  <c r="X24" i="46"/>
  <c r="V24" i="46"/>
  <c r="O24" i="46"/>
  <c r="N24" i="46"/>
  <c r="G24" i="46"/>
  <c r="AC23" i="46"/>
  <c r="AB23" i="46"/>
  <c r="AA23" i="46"/>
  <c r="Z23" i="46"/>
  <c r="Y23" i="46"/>
  <c r="W23" i="46"/>
  <c r="V23" i="46"/>
  <c r="O23" i="46"/>
  <c r="N23" i="46"/>
  <c r="G23" i="46"/>
  <c r="AC22" i="46"/>
  <c r="AB22" i="46"/>
  <c r="AA22" i="46"/>
  <c r="Z22" i="46"/>
  <c r="Y22" i="46"/>
  <c r="W22" i="46"/>
  <c r="V22" i="46"/>
  <c r="O22" i="46"/>
  <c r="N22" i="46"/>
  <c r="G22" i="46"/>
  <c r="AC21" i="46"/>
  <c r="AB21" i="46"/>
  <c r="AA21" i="46"/>
  <c r="Z21" i="46"/>
  <c r="Y21" i="46"/>
  <c r="W21" i="46"/>
  <c r="V21" i="46"/>
  <c r="O21" i="46"/>
  <c r="N21" i="46"/>
  <c r="G21" i="46"/>
  <c r="AC20" i="46"/>
  <c r="AB20" i="46"/>
  <c r="AA20" i="46"/>
  <c r="Z20" i="46"/>
  <c r="Y20" i="46"/>
  <c r="W20" i="46"/>
  <c r="V20" i="46"/>
  <c r="O20" i="46"/>
  <c r="N20" i="46"/>
  <c r="G20" i="46"/>
  <c r="AC19" i="46"/>
  <c r="AA19" i="46"/>
  <c r="Y19" i="46"/>
  <c r="W19" i="46"/>
  <c r="O19" i="46"/>
  <c r="N19" i="46"/>
  <c r="G19" i="46"/>
  <c r="AC18" i="46"/>
  <c r="AB18" i="46"/>
  <c r="AA18" i="46"/>
  <c r="Z18" i="46"/>
  <c r="Y18" i="46"/>
  <c r="W18" i="46"/>
  <c r="V18" i="46"/>
  <c r="O18" i="46"/>
  <c r="N18" i="46"/>
  <c r="G18" i="46"/>
  <c r="AC17" i="46"/>
  <c r="AA17" i="46"/>
  <c r="Y17" i="46"/>
  <c r="W17" i="46"/>
  <c r="O17" i="46"/>
  <c r="N17" i="46"/>
  <c r="G17" i="46"/>
  <c r="AC16" i="46"/>
  <c r="AA16" i="46"/>
  <c r="Y16" i="46"/>
  <c r="W16" i="46"/>
  <c r="O16" i="46"/>
  <c r="N16" i="46"/>
  <c r="G16" i="46"/>
  <c r="AC15" i="46"/>
  <c r="AA15" i="46"/>
  <c r="Y15" i="46"/>
  <c r="W15" i="46"/>
  <c r="O15" i="46"/>
  <c r="N15" i="46"/>
  <c r="G15" i="46"/>
  <c r="AC14" i="46"/>
  <c r="AB14" i="46"/>
  <c r="AA14" i="46"/>
  <c r="Z14" i="46"/>
  <c r="Y14" i="46"/>
  <c r="W14" i="46"/>
  <c r="V14" i="46"/>
  <c r="O14" i="46"/>
  <c r="N14" i="46"/>
  <c r="G14" i="46"/>
  <c r="AC13" i="46"/>
  <c r="AB13" i="46"/>
  <c r="AA13" i="46"/>
  <c r="Z13" i="46"/>
  <c r="Y13" i="46"/>
  <c r="V13" i="46"/>
  <c r="O13" i="46"/>
  <c r="N13" i="46"/>
  <c r="G13" i="46"/>
  <c r="AC12" i="46"/>
  <c r="AA12" i="46"/>
  <c r="Y12" i="46"/>
  <c r="O12" i="46"/>
  <c r="N12" i="46"/>
  <c r="G12" i="46"/>
  <c r="AC11" i="46"/>
  <c r="AA11" i="46"/>
  <c r="Y11" i="46"/>
  <c r="O11" i="46"/>
  <c r="N11" i="46"/>
  <c r="G11" i="46"/>
  <c r="AC10" i="46"/>
  <c r="AB10" i="46"/>
  <c r="AA10" i="46"/>
  <c r="Z10" i="46"/>
  <c r="Y10" i="46"/>
  <c r="V10" i="46"/>
  <c r="O10" i="46"/>
  <c r="N10" i="46"/>
  <c r="G10" i="46"/>
  <c r="AC9" i="46"/>
  <c r="AA9" i="46"/>
  <c r="Y9" i="46"/>
  <c r="O9" i="46"/>
  <c r="N9" i="46"/>
  <c r="G9" i="46"/>
  <c r="AC8" i="46"/>
  <c r="AA8" i="46"/>
  <c r="Y8" i="46"/>
  <c r="O8" i="46"/>
  <c r="N8" i="46"/>
  <c r="G8" i="46"/>
  <c r="AC7" i="46"/>
  <c r="AA7" i="46"/>
  <c r="Y7" i="46"/>
  <c r="O7" i="46"/>
  <c r="G7" i="46"/>
  <c r="P6" i="46"/>
  <c r="AD48" i="45"/>
  <c r="AG48" i="45" s="1"/>
  <c r="AH48" i="45" s="1"/>
  <c r="AB48" i="45"/>
  <c r="Y48" i="45"/>
  <c r="X48" i="45"/>
  <c r="U48" i="45"/>
  <c r="O48" i="45"/>
  <c r="N48" i="45"/>
  <c r="AD47" i="45"/>
  <c r="AG47" i="45" s="1"/>
  <c r="AH47" i="45" s="1"/>
  <c r="AB47" i="45"/>
  <c r="Y47" i="45"/>
  <c r="X47" i="45"/>
  <c r="U47" i="45"/>
  <c r="O47" i="45"/>
  <c r="N47" i="45"/>
  <c r="AD46" i="45"/>
  <c r="AG46" i="45" s="1"/>
  <c r="AH46" i="45" s="1"/>
  <c r="AB46" i="45"/>
  <c r="Y46" i="45"/>
  <c r="X46" i="45"/>
  <c r="U46" i="45"/>
  <c r="Z46" i="45" s="1"/>
  <c r="O46" i="45"/>
  <c r="N46" i="45"/>
  <c r="X45" i="45"/>
  <c r="U45" i="45"/>
  <c r="O45" i="45"/>
  <c r="N45" i="45"/>
  <c r="AD44" i="45"/>
  <c r="AG44" i="45" s="1"/>
  <c r="AH44" i="45" s="1"/>
  <c r="AB44" i="45"/>
  <c r="Y44" i="45"/>
  <c r="X44" i="45"/>
  <c r="U44" i="45"/>
  <c r="O44" i="45"/>
  <c r="N44" i="45"/>
  <c r="AD43" i="45"/>
  <c r="AG43" i="45" s="1"/>
  <c r="AH43" i="45" s="1"/>
  <c r="AB43" i="45"/>
  <c r="Y43" i="45"/>
  <c r="X43" i="45"/>
  <c r="U43" i="45"/>
  <c r="O43" i="45"/>
  <c r="N43" i="45"/>
  <c r="Z42" i="45"/>
  <c r="Y42" i="45"/>
  <c r="O42" i="45"/>
  <c r="N42" i="45"/>
  <c r="AD41" i="45"/>
  <c r="AG41" i="45" s="1"/>
  <c r="AH41" i="45" s="1"/>
  <c r="AB41" i="45"/>
  <c r="Z41" i="45"/>
  <c r="Y41" i="45"/>
  <c r="O41" i="45"/>
  <c r="N41" i="45"/>
  <c r="AD40" i="45"/>
  <c r="AG40" i="45" s="1"/>
  <c r="AH40" i="45" s="1"/>
  <c r="AB40" i="45"/>
  <c r="Y40" i="45"/>
  <c r="U40" i="45"/>
  <c r="Z40" i="45" s="1"/>
  <c r="O40" i="45"/>
  <c r="N40" i="45"/>
  <c r="AD39" i="45"/>
  <c r="AG39" i="45" s="1"/>
  <c r="AH39" i="45" s="1"/>
  <c r="AB39" i="45"/>
  <c r="Y39" i="45"/>
  <c r="U39" i="45"/>
  <c r="O39" i="45"/>
  <c r="N39" i="45"/>
  <c r="AD37" i="45"/>
  <c r="AG37" i="45" s="1"/>
  <c r="AH37" i="45" s="1"/>
  <c r="AB37" i="45"/>
  <c r="Y37" i="45"/>
  <c r="X37" i="45"/>
  <c r="U37" i="45"/>
  <c r="O37" i="45"/>
  <c r="N37" i="45"/>
  <c r="AD36" i="45"/>
  <c r="AG36" i="45" s="1"/>
  <c r="AH36" i="45" s="1"/>
  <c r="AB36" i="45"/>
  <c r="Y36" i="45"/>
  <c r="X36" i="45"/>
  <c r="U36" i="45"/>
  <c r="O36" i="45"/>
  <c r="N36" i="45"/>
  <c r="AD35" i="45"/>
  <c r="AG35" i="45" s="1"/>
  <c r="AH35" i="45" s="1"/>
  <c r="AB35" i="45"/>
  <c r="Y35" i="45"/>
  <c r="X35" i="45"/>
  <c r="U35" i="45"/>
  <c r="O35" i="45"/>
  <c r="N35" i="45"/>
  <c r="AD34" i="45"/>
  <c r="AG34" i="45" s="1"/>
  <c r="AH34" i="45" s="1"/>
  <c r="AB34" i="45"/>
  <c r="Z34" i="45"/>
  <c r="Y34" i="45"/>
  <c r="X34" i="45"/>
  <c r="W34" i="45"/>
  <c r="O34" i="45"/>
  <c r="N34" i="45"/>
  <c r="AD33" i="45"/>
  <c r="AG33" i="45" s="1"/>
  <c r="AH33" i="45" s="1"/>
  <c r="AB33" i="45"/>
  <c r="Y33" i="45"/>
  <c r="X33" i="45"/>
  <c r="U33" i="45"/>
  <c r="O33" i="45"/>
  <c r="N33" i="45"/>
  <c r="Y32" i="45"/>
  <c r="U32" i="45"/>
  <c r="Z32" i="45" s="1"/>
  <c r="O32" i="45"/>
  <c r="N32" i="45"/>
  <c r="AD31" i="45"/>
  <c r="AG31" i="45" s="1"/>
  <c r="AH31" i="45" s="1"/>
  <c r="AB31" i="45"/>
  <c r="Z31" i="45"/>
  <c r="Y31" i="45"/>
  <c r="W31" i="45"/>
  <c r="O31" i="45"/>
  <c r="N31" i="45"/>
  <c r="AD29" i="45"/>
  <c r="AG29" i="45" s="1"/>
  <c r="AH29" i="45" s="1"/>
  <c r="AB29" i="45"/>
  <c r="Y29" i="45"/>
  <c r="X29" i="45"/>
  <c r="U29" i="45"/>
  <c r="O29" i="45"/>
  <c r="N29" i="45"/>
  <c r="Z28" i="45"/>
  <c r="Y28" i="45"/>
  <c r="O28" i="45"/>
  <c r="N28" i="45"/>
  <c r="X26" i="45"/>
  <c r="U26" i="45"/>
  <c r="O26" i="45"/>
  <c r="N26" i="45"/>
  <c r="X25" i="45"/>
  <c r="U25" i="45"/>
  <c r="O25" i="45"/>
  <c r="N25" i="45"/>
  <c r="AD24" i="45"/>
  <c r="AG24" i="45" s="1"/>
  <c r="AH24" i="45" s="1"/>
  <c r="AB24" i="45"/>
  <c r="Y24" i="45"/>
  <c r="X24" i="45"/>
  <c r="U24" i="45"/>
  <c r="O24" i="45"/>
  <c r="N24" i="45"/>
  <c r="X23" i="45"/>
  <c r="U23" i="45"/>
  <c r="O23" i="45"/>
  <c r="N23" i="45"/>
  <c r="X22" i="45"/>
  <c r="U22" i="45"/>
  <c r="O22" i="45"/>
  <c r="N22" i="45"/>
  <c r="AD21" i="45"/>
  <c r="AG21" i="45" s="1"/>
  <c r="AH21" i="45" s="1"/>
  <c r="AB21" i="45"/>
  <c r="Z21" i="45"/>
  <c r="Y21" i="45"/>
  <c r="X21" i="45"/>
  <c r="W21" i="45"/>
  <c r="O21" i="45"/>
  <c r="N21" i="45"/>
  <c r="Z20" i="45"/>
  <c r="Y20" i="45"/>
  <c r="O20" i="45"/>
  <c r="N20" i="45"/>
  <c r="X18" i="45"/>
  <c r="U18" i="45"/>
  <c r="O18" i="45"/>
  <c r="N18" i="45"/>
  <c r="AD17" i="45"/>
  <c r="AG17" i="45" s="1"/>
  <c r="AH17" i="45" s="1"/>
  <c r="AB17" i="45"/>
  <c r="Y17" i="45"/>
  <c r="X17" i="45"/>
  <c r="U17" i="45"/>
  <c r="O17" i="45"/>
  <c r="N17" i="45"/>
  <c r="AD16" i="45"/>
  <c r="AG16" i="45" s="1"/>
  <c r="AH16" i="45" s="1"/>
  <c r="AB16" i="45"/>
  <c r="Y16" i="45"/>
  <c r="X16" i="45"/>
  <c r="U16" i="45"/>
  <c r="O16" i="45"/>
  <c r="N16" i="45"/>
  <c r="AD15" i="45"/>
  <c r="AG15" i="45" s="1"/>
  <c r="AH15" i="45" s="1"/>
  <c r="AB15" i="45"/>
  <c r="Y15" i="45"/>
  <c r="X15" i="45"/>
  <c r="U15" i="45"/>
  <c r="O15" i="45"/>
  <c r="N15" i="45"/>
  <c r="AD14" i="45"/>
  <c r="AG14" i="45" s="1"/>
  <c r="AH14" i="45" s="1"/>
  <c r="AB14" i="45"/>
  <c r="Y14" i="45"/>
  <c r="X14" i="45"/>
  <c r="U14" i="45"/>
  <c r="O14" i="45"/>
  <c r="N14" i="45"/>
  <c r="AD13" i="45"/>
  <c r="AG13" i="45" s="1"/>
  <c r="AH13" i="45" s="1"/>
  <c r="AB13" i="45"/>
  <c r="Y13" i="45"/>
  <c r="X13" i="45"/>
  <c r="U13" i="45"/>
  <c r="O13" i="45"/>
  <c r="AD12" i="45"/>
  <c r="AG12" i="45" s="1"/>
  <c r="AH12" i="45" s="1"/>
  <c r="AB12" i="45"/>
  <c r="Y12" i="45"/>
  <c r="X12" i="45"/>
  <c r="U12" i="45"/>
  <c r="O12" i="45"/>
  <c r="N12" i="45"/>
  <c r="AD11" i="45"/>
  <c r="AG11" i="45" s="1"/>
  <c r="AH11" i="45" s="1"/>
  <c r="AB11" i="45"/>
  <c r="Y11" i="45"/>
  <c r="X11" i="45"/>
  <c r="U11" i="45"/>
  <c r="O11" i="45"/>
  <c r="N11" i="45"/>
  <c r="AD10" i="45"/>
  <c r="AG10" i="45" s="1"/>
  <c r="AH10" i="45" s="1"/>
  <c r="AB10" i="45"/>
  <c r="Y10" i="45"/>
  <c r="X10" i="45"/>
  <c r="U10" i="45"/>
  <c r="O10" i="45"/>
  <c r="N10" i="45"/>
  <c r="AD9" i="45"/>
  <c r="AG9" i="45" s="1"/>
  <c r="AH9" i="45" s="1"/>
  <c r="AB9" i="45"/>
  <c r="Y9" i="45"/>
  <c r="X9" i="45"/>
  <c r="U9" i="45"/>
  <c r="O9" i="45"/>
  <c r="N9" i="45"/>
  <c r="X8" i="45"/>
  <c r="U8" i="45"/>
  <c r="O8" i="45"/>
  <c r="N8" i="45"/>
  <c r="AD7" i="45"/>
  <c r="AB7" i="45"/>
  <c r="Y7" i="45"/>
  <c r="X7" i="45"/>
  <c r="U7" i="45"/>
  <c r="O7" i="45"/>
  <c r="N7" i="45"/>
  <c r="P6" i="45"/>
  <c r="AA5" i="45"/>
  <c r="H5" i="45"/>
  <c r="G5" i="45"/>
  <c r="F56" i="47"/>
  <c r="E56" i="47"/>
  <c r="F55" i="47"/>
  <c r="E55" i="47"/>
  <c r="F54" i="47"/>
  <c r="E54" i="47"/>
  <c r="F53" i="47"/>
  <c r="E53" i="47"/>
  <c r="F52" i="47"/>
  <c r="E52" i="47"/>
  <c r="F51" i="47"/>
  <c r="E51" i="47"/>
  <c r="F50" i="47"/>
  <c r="E50" i="47"/>
  <c r="F49" i="47"/>
  <c r="E49" i="47"/>
  <c r="F48" i="47"/>
  <c r="E48" i="47"/>
  <c r="F47" i="47"/>
  <c r="E47" i="47"/>
  <c r="F46" i="47"/>
  <c r="E46" i="47"/>
  <c r="F45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J23" i="47"/>
  <c r="C16" i="47"/>
  <c r="C15" i="47"/>
  <c r="C14" i="47"/>
  <c r="C13" i="47"/>
  <c r="C12" i="47"/>
  <c r="C11" i="47"/>
  <c r="C10" i="47"/>
  <c r="C9" i="47"/>
  <c r="AC52" i="44"/>
  <c r="Z52" i="44"/>
  <c r="W52" i="44"/>
  <c r="V52" i="44"/>
  <c r="R52" i="44"/>
  <c r="P52" i="44"/>
  <c r="N52" i="44"/>
  <c r="L52" i="44"/>
  <c r="AD52" i="44" s="1"/>
  <c r="J52" i="44"/>
  <c r="AC51" i="44"/>
  <c r="Z51" i="44"/>
  <c r="W51" i="44"/>
  <c r="V51" i="44"/>
  <c r="R51" i="44"/>
  <c r="P51" i="44"/>
  <c r="N51" i="44"/>
  <c r="L51" i="44"/>
  <c r="AD51" i="44" s="1"/>
  <c r="J51" i="44"/>
  <c r="AC50" i="44"/>
  <c r="Z50" i="44"/>
  <c r="W50" i="44"/>
  <c r="V50" i="44"/>
  <c r="R50" i="44"/>
  <c r="P50" i="44"/>
  <c r="N50" i="44"/>
  <c r="L50" i="44"/>
  <c r="AD50" i="44" s="1"/>
  <c r="J50" i="44"/>
  <c r="AC49" i="44"/>
  <c r="Z49" i="44"/>
  <c r="V49" i="44"/>
  <c r="S49" i="44"/>
  <c r="R49" i="44"/>
  <c r="P49" i="44"/>
  <c r="N49" i="44"/>
  <c r="L49" i="44"/>
  <c r="AD49" i="44" s="1"/>
  <c r="J49" i="44"/>
  <c r="AC48" i="44"/>
  <c r="Z48" i="44"/>
  <c r="V48" i="44"/>
  <c r="S48" i="44"/>
  <c r="R48" i="44"/>
  <c r="P48" i="44"/>
  <c r="N48" i="44"/>
  <c r="L48" i="44"/>
  <c r="AD48" i="44" s="1"/>
  <c r="J48" i="44"/>
  <c r="AC47" i="44"/>
  <c r="Z47" i="44"/>
  <c r="V47" i="44"/>
  <c r="S47" i="44"/>
  <c r="R47" i="44"/>
  <c r="P47" i="44"/>
  <c r="N47" i="44"/>
  <c r="L47" i="44"/>
  <c r="AD47" i="44" s="1"/>
  <c r="J47" i="44"/>
  <c r="AC46" i="44"/>
  <c r="Z46" i="44"/>
  <c r="V46" i="44"/>
  <c r="S46" i="44"/>
  <c r="R46" i="44"/>
  <c r="P46" i="44"/>
  <c r="N46" i="44"/>
  <c r="L46" i="44"/>
  <c r="AD46" i="44" s="1"/>
  <c r="J46" i="44"/>
  <c r="AC45" i="44"/>
  <c r="Z45" i="44"/>
  <c r="V45" i="44"/>
  <c r="S45" i="44"/>
  <c r="R45" i="44"/>
  <c r="P45" i="44"/>
  <c r="N45" i="44"/>
  <c r="L45" i="44"/>
  <c r="AD45" i="44" s="1"/>
  <c r="J45" i="44"/>
  <c r="AC44" i="44"/>
  <c r="Z44" i="44"/>
  <c r="V44" i="44"/>
  <c r="S44" i="44"/>
  <c r="R44" i="44"/>
  <c r="P44" i="44"/>
  <c r="N44" i="44"/>
  <c r="L44" i="44"/>
  <c r="AD44" i="44" s="1"/>
  <c r="J44" i="44"/>
  <c r="AC43" i="44"/>
  <c r="Z43" i="44"/>
  <c r="V43" i="44"/>
  <c r="S43" i="44"/>
  <c r="R43" i="44"/>
  <c r="P43" i="44"/>
  <c r="N43" i="44"/>
  <c r="L43" i="44"/>
  <c r="AD43" i="44" s="1"/>
  <c r="J43" i="44"/>
  <c r="AC42" i="44"/>
  <c r="Z42" i="44"/>
  <c r="V42" i="44"/>
  <c r="S42" i="44"/>
  <c r="R42" i="44"/>
  <c r="P42" i="44"/>
  <c r="N42" i="44"/>
  <c r="L42" i="44"/>
  <c r="AD42" i="44" s="1"/>
  <c r="J42" i="44"/>
  <c r="AC41" i="44"/>
  <c r="Z41" i="44"/>
  <c r="V41" i="44"/>
  <c r="S41" i="44"/>
  <c r="R41" i="44"/>
  <c r="P41" i="44"/>
  <c r="N41" i="44"/>
  <c r="L41" i="44"/>
  <c r="AD41" i="44" s="1"/>
  <c r="J41" i="44"/>
  <c r="AC40" i="44"/>
  <c r="Z40" i="44"/>
  <c r="V40" i="44"/>
  <c r="R40" i="44"/>
  <c r="P40" i="44"/>
  <c r="T40" i="44" s="1"/>
  <c r="X40" i="44" s="1"/>
  <c r="AB40" i="44" s="1"/>
  <c r="N40" i="44"/>
  <c r="L40" i="44"/>
  <c r="K40" i="44"/>
  <c r="O40" i="44" s="1"/>
  <c r="S40" i="44" s="1"/>
  <c r="W40" i="44" s="1"/>
  <c r="AA40" i="44" s="1"/>
  <c r="AC39" i="44"/>
  <c r="Z39" i="44"/>
  <c r="V39" i="44"/>
  <c r="R39" i="44"/>
  <c r="P39" i="44"/>
  <c r="T39" i="44" s="1"/>
  <c r="X39" i="44" s="1"/>
  <c r="AB39" i="44" s="1"/>
  <c r="N39" i="44"/>
  <c r="L39" i="44"/>
  <c r="K39" i="44"/>
  <c r="O39" i="44" s="1"/>
  <c r="S39" i="44" s="1"/>
  <c r="W39" i="44" s="1"/>
  <c r="AA39" i="44" s="1"/>
  <c r="AC38" i="44"/>
  <c r="Z38" i="44"/>
  <c r="V38" i="44"/>
  <c r="R38" i="44"/>
  <c r="P38" i="44"/>
  <c r="T38" i="44" s="1"/>
  <c r="X38" i="44" s="1"/>
  <c r="AB38" i="44" s="1"/>
  <c r="N38" i="44"/>
  <c r="L38" i="44"/>
  <c r="K38" i="44"/>
  <c r="O38" i="44" s="1"/>
  <c r="S38" i="44" s="1"/>
  <c r="W38" i="44" s="1"/>
  <c r="AA38" i="44" s="1"/>
  <c r="AC37" i="44"/>
  <c r="Z37" i="44"/>
  <c r="V37" i="44"/>
  <c r="R37" i="44"/>
  <c r="P37" i="44"/>
  <c r="T37" i="44" s="1"/>
  <c r="X37" i="44" s="1"/>
  <c r="AB37" i="44" s="1"/>
  <c r="N37" i="44"/>
  <c r="L37" i="44"/>
  <c r="K37" i="44"/>
  <c r="O37" i="44" s="1"/>
  <c r="S37" i="44" s="1"/>
  <c r="W37" i="44" s="1"/>
  <c r="AA37" i="44" s="1"/>
  <c r="AC36" i="44"/>
  <c r="Z36" i="44"/>
  <c r="V36" i="44"/>
  <c r="R36" i="44"/>
  <c r="P36" i="44"/>
  <c r="T36" i="44" s="1"/>
  <c r="X36" i="44" s="1"/>
  <c r="AB36" i="44" s="1"/>
  <c r="N36" i="44"/>
  <c r="L36" i="44"/>
  <c r="K36" i="44"/>
  <c r="O36" i="44" s="1"/>
  <c r="S36" i="44" s="1"/>
  <c r="W36" i="44" s="1"/>
  <c r="AA36" i="44" s="1"/>
  <c r="AC35" i="44"/>
  <c r="Z35" i="44"/>
  <c r="V35" i="44"/>
  <c r="R35" i="44"/>
  <c r="P35" i="44"/>
  <c r="T35" i="44" s="1"/>
  <c r="X35" i="44" s="1"/>
  <c r="AB35" i="44" s="1"/>
  <c r="N35" i="44"/>
  <c r="L35" i="44"/>
  <c r="K35" i="44"/>
  <c r="O35" i="44" s="1"/>
  <c r="S35" i="44" s="1"/>
  <c r="W35" i="44" s="1"/>
  <c r="AA35" i="44" s="1"/>
  <c r="AC34" i="44"/>
  <c r="Z34" i="44"/>
  <c r="V34" i="44"/>
  <c r="R34" i="44"/>
  <c r="P34" i="44"/>
  <c r="T34" i="44" s="1"/>
  <c r="X34" i="44" s="1"/>
  <c r="AB34" i="44" s="1"/>
  <c r="N34" i="44"/>
  <c r="L34" i="44"/>
  <c r="K34" i="44"/>
  <c r="O34" i="44" s="1"/>
  <c r="S34" i="44" s="1"/>
  <c r="W34" i="44" s="1"/>
  <c r="AA34" i="44" s="1"/>
  <c r="AC33" i="44"/>
  <c r="Z33" i="44"/>
  <c r="V33" i="44"/>
  <c r="R33" i="44"/>
  <c r="P33" i="44"/>
  <c r="T33" i="44" s="1"/>
  <c r="X33" i="44" s="1"/>
  <c r="AB33" i="44" s="1"/>
  <c r="N33" i="44"/>
  <c r="L33" i="44"/>
  <c r="K33" i="44"/>
  <c r="O33" i="44" s="1"/>
  <c r="S33" i="44" s="1"/>
  <c r="W33" i="44" s="1"/>
  <c r="AA33" i="44" s="1"/>
  <c r="AC32" i="44"/>
  <c r="Z32" i="44"/>
  <c r="V32" i="44"/>
  <c r="R32" i="44"/>
  <c r="P32" i="44"/>
  <c r="T32" i="44" s="1"/>
  <c r="X32" i="44" s="1"/>
  <c r="AB32" i="44" s="1"/>
  <c r="N32" i="44"/>
  <c r="L32" i="44"/>
  <c r="K32" i="44"/>
  <c r="O32" i="44" s="1"/>
  <c r="S32" i="44" s="1"/>
  <c r="W32" i="44" s="1"/>
  <c r="AA32" i="44" s="1"/>
  <c r="AC31" i="44"/>
  <c r="Z31" i="44"/>
  <c r="V31" i="44"/>
  <c r="R31" i="44"/>
  <c r="P31" i="44"/>
  <c r="T31" i="44" s="1"/>
  <c r="X31" i="44" s="1"/>
  <c r="AB31" i="44" s="1"/>
  <c r="N31" i="44"/>
  <c r="L31" i="44"/>
  <c r="K31" i="44"/>
  <c r="O31" i="44" s="1"/>
  <c r="S31" i="44" s="1"/>
  <c r="W31" i="44" s="1"/>
  <c r="AA31" i="44" s="1"/>
  <c r="AC30" i="44"/>
  <c r="Z30" i="44"/>
  <c r="V30" i="44"/>
  <c r="R30" i="44"/>
  <c r="P30" i="44"/>
  <c r="T30" i="44" s="1"/>
  <c r="X30" i="44" s="1"/>
  <c r="AB30" i="44" s="1"/>
  <c r="N30" i="44"/>
  <c r="L30" i="44"/>
  <c r="K30" i="44"/>
  <c r="O30" i="44" s="1"/>
  <c r="S30" i="44" s="1"/>
  <c r="W30" i="44" s="1"/>
  <c r="AA30" i="44" s="1"/>
  <c r="AC29" i="44"/>
  <c r="Z29" i="44"/>
  <c r="V29" i="44"/>
  <c r="R29" i="44"/>
  <c r="P29" i="44"/>
  <c r="T29" i="44" s="1"/>
  <c r="X29" i="44" s="1"/>
  <c r="AB29" i="44" s="1"/>
  <c r="N29" i="44"/>
  <c r="L29" i="44"/>
  <c r="K29" i="44"/>
  <c r="O29" i="44" s="1"/>
  <c r="S29" i="44" s="1"/>
  <c r="W29" i="44" s="1"/>
  <c r="AA29" i="44" s="1"/>
  <c r="AC28" i="44"/>
  <c r="Z28" i="44"/>
  <c r="V28" i="44"/>
  <c r="R28" i="44"/>
  <c r="P28" i="44"/>
  <c r="T28" i="44" s="1"/>
  <c r="X28" i="44" s="1"/>
  <c r="AB28" i="44" s="1"/>
  <c r="N28" i="44"/>
  <c r="L28" i="44"/>
  <c r="K28" i="44"/>
  <c r="O28" i="44" s="1"/>
  <c r="S28" i="44" s="1"/>
  <c r="W28" i="44" s="1"/>
  <c r="AA28" i="44" s="1"/>
  <c r="AC27" i="44"/>
  <c r="Z27" i="44"/>
  <c r="V27" i="44"/>
  <c r="R27" i="44"/>
  <c r="P27" i="44"/>
  <c r="T27" i="44" s="1"/>
  <c r="X27" i="44" s="1"/>
  <c r="AB27" i="44" s="1"/>
  <c r="N27" i="44"/>
  <c r="L27" i="44"/>
  <c r="K27" i="44"/>
  <c r="O27" i="44" s="1"/>
  <c r="S27" i="44" s="1"/>
  <c r="W27" i="44" s="1"/>
  <c r="AA27" i="44" s="1"/>
  <c r="AC26" i="44"/>
  <c r="Z26" i="44"/>
  <c r="V26" i="44"/>
  <c r="R26" i="44"/>
  <c r="P26" i="44"/>
  <c r="T26" i="44" s="1"/>
  <c r="X26" i="44" s="1"/>
  <c r="AB26" i="44" s="1"/>
  <c r="N26" i="44"/>
  <c r="L26" i="44"/>
  <c r="K26" i="44"/>
  <c r="O26" i="44" s="1"/>
  <c r="S26" i="44" s="1"/>
  <c r="W26" i="44" s="1"/>
  <c r="AA26" i="44" s="1"/>
  <c r="AC25" i="44"/>
  <c r="Z25" i="44"/>
  <c r="V25" i="44"/>
  <c r="R25" i="44"/>
  <c r="P25" i="44"/>
  <c r="T25" i="44" s="1"/>
  <c r="X25" i="44" s="1"/>
  <c r="AB25" i="44" s="1"/>
  <c r="N25" i="44"/>
  <c r="L25" i="44"/>
  <c r="K25" i="44"/>
  <c r="O25" i="44" s="1"/>
  <c r="S25" i="44" s="1"/>
  <c r="W25" i="44" s="1"/>
  <c r="AA25" i="44" s="1"/>
  <c r="AC24" i="44"/>
  <c r="Z24" i="44"/>
  <c r="V24" i="44"/>
  <c r="R24" i="44"/>
  <c r="P24" i="44"/>
  <c r="T24" i="44" s="1"/>
  <c r="X24" i="44" s="1"/>
  <c r="AB24" i="44" s="1"/>
  <c r="N24" i="44"/>
  <c r="L24" i="44"/>
  <c r="K24" i="44"/>
  <c r="O24" i="44" s="1"/>
  <c r="S24" i="44" s="1"/>
  <c r="W24" i="44" s="1"/>
  <c r="AA24" i="44" s="1"/>
  <c r="AC23" i="44"/>
  <c r="Z23" i="44"/>
  <c r="V23" i="44"/>
  <c r="R23" i="44"/>
  <c r="P23" i="44"/>
  <c r="T23" i="44" s="1"/>
  <c r="X23" i="44" s="1"/>
  <c r="AB23" i="44" s="1"/>
  <c r="N23" i="44"/>
  <c r="L23" i="44"/>
  <c r="K23" i="44"/>
  <c r="O23" i="44" s="1"/>
  <c r="S23" i="44" s="1"/>
  <c r="W23" i="44" s="1"/>
  <c r="AA23" i="44" s="1"/>
  <c r="AC22" i="44"/>
  <c r="Z22" i="44"/>
  <c r="V22" i="44"/>
  <c r="R22" i="44"/>
  <c r="P22" i="44"/>
  <c r="T22" i="44" s="1"/>
  <c r="X22" i="44" s="1"/>
  <c r="AB22" i="44" s="1"/>
  <c r="N22" i="44"/>
  <c r="L22" i="44"/>
  <c r="K22" i="44"/>
  <c r="O22" i="44" s="1"/>
  <c r="S22" i="44" s="1"/>
  <c r="W22" i="44" s="1"/>
  <c r="AA22" i="44" s="1"/>
  <c r="AC21" i="44"/>
  <c r="Z21" i="44"/>
  <c r="V21" i="44"/>
  <c r="R21" i="44"/>
  <c r="P21" i="44"/>
  <c r="T21" i="44" s="1"/>
  <c r="X21" i="44" s="1"/>
  <c r="AB21" i="44" s="1"/>
  <c r="N21" i="44"/>
  <c r="L21" i="44"/>
  <c r="K21" i="44"/>
  <c r="O21" i="44" s="1"/>
  <c r="S21" i="44" s="1"/>
  <c r="W21" i="44" s="1"/>
  <c r="AA21" i="44" s="1"/>
  <c r="AC20" i="44"/>
  <c r="Z20" i="44"/>
  <c r="V20" i="44"/>
  <c r="R20" i="44"/>
  <c r="P20" i="44"/>
  <c r="T20" i="44" s="1"/>
  <c r="X20" i="44" s="1"/>
  <c r="AB20" i="44" s="1"/>
  <c r="N20" i="44"/>
  <c r="L20" i="44"/>
  <c r="K20" i="44"/>
  <c r="O20" i="44" s="1"/>
  <c r="S20" i="44" s="1"/>
  <c r="W20" i="44" s="1"/>
  <c r="AA20" i="44" s="1"/>
  <c r="AC19" i="44"/>
  <c r="Z19" i="44"/>
  <c r="V19" i="44"/>
  <c r="R19" i="44"/>
  <c r="P19" i="44"/>
  <c r="T19" i="44" s="1"/>
  <c r="X19" i="44" s="1"/>
  <c r="AB19" i="44" s="1"/>
  <c r="N19" i="44"/>
  <c r="L19" i="44"/>
  <c r="K19" i="44"/>
  <c r="O19" i="44" s="1"/>
  <c r="S19" i="44" s="1"/>
  <c r="W19" i="44" s="1"/>
  <c r="AA19" i="44" s="1"/>
  <c r="AC18" i="44"/>
  <c r="Z18" i="44"/>
  <c r="V18" i="44"/>
  <c r="R18" i="44"/>
  <c r="P18" i="44"/>
  <c r="T18" i="44" s="1"/>
  <c r="X18" i="44" s="1"/>
  <c r="AB18" i="44" s="1"/>
  <c r="N18" i="44"/>
  <c r="L18" i="44"/>
  <c r="K18" i="44"/>
  <c r="O18" i="44" s="1"/>
  <c r="S18" i="44" s="1"/>
  <c r="W18" i="44" s="1"/>
  <c r="AA18" i="44" s="1"/>
  <c r="AC17" i="44"/>
  <c r="Z17" i="44"/>
  <c r="V17" i="44"/>
  <c r="R17" i="44"/>
  <c r="P17" i="44"/>
  <c r="T17" i="44" s="1"/>
  <c r="X17" i="44" s="1"/>
  <c r="AB17" i="44" s="1"/>
  <c r="N17" i="44"/>
  <c r="L17" i="44"/>
  <c r="K17" i="44"/>
  <c r="O17" i="44" s="1"/>
  <c r="S17" i="44" s="1"/>
  <c r="W17" i="44" s="1"/>
  <c r="AA17" i="44" s="1"/>
  <c r="AC16" i="44"/>
  <c r="Z16" i="44"/>
  <c r="V16" i="44"/>
  <c r="R16" i="44"/>
  <c r="P16" i="44"/>
  <c r="T16" i="44" s="1"/>
  <c r="X16" i="44" s="1"/>
  <c r="AB16" i="44" s="1"/>
  <c r="N16" i="44"/>
  <c r="L16" i="44"/>
  <c r="K16" i="44"/>
  <c r="O16" i="44" s="1"/>
  <c r="S16" i="44" s="1"/>
  <c r="W16" i="44" s="1"/>
  <c r="AA16" i="44" s="1"/>
  <c r="AC15" i="44"/>
  <c r="Z15" i="44"/>
  <c r="V15" i="44"/>
  <c r="R15" i="44"/>
  <c r="P15" i="44"/>
  <c r="T15" i="44" s="1"/>
  <c r="X15" i="44" s="1"/>
  <c r="AB15" i="44" s="1"/>
  <c r="N15" i="44"/>
  <c r="L15" i="44"/>
  <c r="K15" i="44"/>
  <c r="O15" i="44" s="1"/>
  <c r="S15" i="44" s="1"/>
  <c r="W15" i="44" s="1"/>
  <c r="AA15" i="44" s="1"/>
  <c r="AC14" i="44"/>
  <c r="Z14" i="44"/>
  <c r="V14" i="44"/>
  <c r="R14" i="44"/>
  <c r="P14" i="44"/>
  <c r="T14" i="44" s="1"/>
  <c r="X14" i="44" s="1"/>
  <c r="AB14" i="44" s="1"/>
  <c r="N14" i="44"/>
  <c r="L14" i="44"/>
  <c r="K14" i="44"/>
  <c r="O14" i="44" s="1"/>
  <c r="S14" i="44" s="1"/>
  <c r="W14" i="44" s="1"/>
  <c r="AA14" i="44" s="1"/>
  <c r="AC13" i="44"/>
  <c r="Z13" i="44"/>
  <c r="V13" i="44"/>
  <c r="R13" i="44"/>
  <c r="P13" i="44"/>
  <c r="T13" i="44" s="1"/>
  <c r="X13" i="44" s="1"/>
  <c r="AB13" i="44" s="1"/>
  <c r="N13" i="44"/>
  <c r="L13" i="44"/>
  <c r="K13" i="44"/>
  <c r="O13" i="44" s="1"/>
  <c r="S13" i="44" s="1"/>
  <c r="W13" i="44" s="1"/>
  <c r="AA13" i="44" s="1"/>
  <c r="AC12" i="44"/>
  <c r="Z12" i="44"/>
  <c r="V12" i="44"/>
  <c r="R12" i="44"/>
  <c r="P12" i="44"/>
  <c r="T12" i="44" s="1"/>
  <c r="X12" i="44" s="1"/>
  <c r="AB12" i="44" s="1"/>
  <c r="N12" i="44"/>
  <c r="L12" i="44"/>
  <c r="K12" i="44"/>
  <c r="O12" i="44" s="1"/>
  <c r="S12" i="44" s="1"/>
  <c r="W12" i="44" s="1"/>
  <c r="AA12" i="44" s="1"/>
  <c r="AC11" i="44"/>
  <c r="Z11" i="44"/>
  <c r="V11" i="44"/>
  <c r="R11" i="44"/>
  <c r="P11" i="44"/>
  <c r="T11" i="44" s="1"/>
  <c r="X11" i="44" s="1"/>
  <c r="AB11" i="44" s="1"/>
  <c r="N11" i="44"/>
  <c r="L11" i="44"/>
  <c r="K11" i="44"/>
  <c r="O11" i="44" s="1"/>
  <c r="S11" i="44" s="1"/>
  <c r="W11" i="44" s="1"/>
  <c r="AA11" i="44" s="1"/>
  <c r="AC10" i="44"/>
  <c r="Z10" i="44"/>
  <c r="V10" i="44"/>
  <c r="R10" i="44"/>
  <c r="P10" i="44"/>
  <c r="T10" i="44" s="1"/>
  <c r="X10" i="44" s="1"/>
  <c r="AB10" i="44" s="1"/>
  <c r="N10" i="44"/>
  <c r="L10" i="44"/>
  <c r="K10" i="44"/>
  <c r="O10" i="44" s="1"/>
  <c r="S10" i="44" s="1"/>
  <c r="W10" i="44" s="1"/>
  <c r="AA10" i="44" s="1"/>
  <c r="AC9" i="44"/>
  <c r="Z9" i="44"/>
  <c r="V9" i="44"/>
  <c r="R9" i="44"/>
  <c r="P9" i="44"/>
  <c r="T9" i="44" s="1"/>
  <c r="X9" i="44" s="1"/>
  <c r="AB9" i="44" s="1"/>
  <c r="N9" i="44"/>
  <c r="L9" i="44"/>
  <c r="K9" i="44"/>
  <c r="O9" i="44" s="1"/>
  <c r="S9" i="44" s="1"/>
  <c r="W9" i="44" s="1"/>
  <c r="AA9" i="44" s="1"/>
  <c r="AC8" i="44"/>
  <c r="Z8" i="44"/>
  <c r="V8" i="44"/>
  <c r="R8" i="44"/>
  <c r="P8" i="44"/>
  <c r="T8" i="44" s="1"/>
  <c r="X8" i="44" s="1"/>
  <c r="AB8" i="44" s="1"/>
  <c r="N8" i="44"/>
  <c r="L8" i="44"/>
  <c r="K8" i="44"/>
  <c r="O8" i="44" s="1"/>
  <c r="S8" i="44" s="1"/>
  <c r="W8" i="44" s="1"/>
  <c r="AA8" i="44" s="1"/>
  <c r="AC7" i="44"/>
  <c r="Z7" i="44"/>
  <c r="V7" i="44"/>
  <c r="R7" i="44"/>
  <c r="P7" i="44"/>
  <c r="T7" i="44" s="1"/>
  <c r="X7" i="44" s="1"/>
  <c r="AB7" i="44" s="1"/>
  <c r="N7" i="44"/>
  <c r="L7" i="44"/>
  <c r="K7" i="44"/>
  <c r="O7" i="44" s="1"/>
  <c r="S7" i="44" s="1"/>
  <c r="W7" i="44" s="1"/>
  <c r="AA7" i="44" s="1"/>
  <c r="AC6" i="44"/>
  <c r="Z6" i="44"/>
  <c r="V6" i="44"/>
  <c r="R6" i="44"/>
  <c r="P6" i="44"/>
  <c r="T6" i="44" s="1"/>
  <c r="X6" i="44" s="1"/>
  <c r="AB6" i="44" s="1"/>
  <c r="N6" i="44"/>
  <c r="L6" i="44"/>
  <c r="K6" i="44"/>
  <c r="O6" i="44" s="1"/>
  <c r="S6" i="44" s="1"/>
  <c r="W6" i="44" s="1"/>
  <c r="AA6" i="44" s="1"/>
  <c r="AC5" i="44"/>
  <c r="Z5" i="44"/>
  <c r="V5" i="44"/>
  <c r="R5" i="44"/>
  <c r="P5" i="44"/>
  <c r="T5" i="44" s="1"/>
  <c r="X5" i="44" s="1"/>
  <c r="AB5" i="44" s="1"/>
  <c r="N5" i="44"/>
  <c r="L5" i="44"/>
  <c r="K5" i="44"/>
  <c r="O5" i="44" s="1"/>
  <c r="S5" i="44" s="1"/>
  <c r="W5" i="44" s="1"/>
  <c r="AA5" i="44" s="1"/>
  <c r="AC4" i="44"/>
  <c r="Z4" i="44"/>
  <c r="V4" i="44"/>
  <c r="R4" i="44"/>
  <c r="P4" i="44"/>
  <c r="T4" i="44" s="1"/>
  <c r="X4" i="44" s="1"/>
  <c r="AB4" i="44" s="1"/>
  <c r="N4" i="44"/>
  <c r="L4" i="44"/>
  <c r="K4" i="44"/>
  <c r="O4" i="44" s="1"/>
  <c r="S4" i="44" s="1"/>
  <c r="W4" i="44" s="1"/>
  <c r="AA4" i="44" s="1"/>
  <c r="AC3" i="44"/>
  <c r="Z3" i="44"/>
  <c r="V3" i="44"/>
  <c r="R3" i="44"/>
  <c r="P3" i="44"/>
  <c r="T3" i="44" s="1"/>
  <c r="X3" i="44" s="1"/>
  <c r="AB3" i="44" s="1"/>
  <c r="N3" i="44"/>
  <c r="L3" i="44"/>
  <c r="K3" i="44"/>
  <c r="O3" i="44" s="1"/>
  <c r="S3" i="44" s="1"/>
  <c r="W3" i="44" s="1"/>
  <c r="AA3" i="44" s="1"/>
  <c r="U33" i="58"/>
  <c r="T33" i="58"/>
  <c r="S33" i="58"/>
  <c r="R33" i="58"/>
  <c r="Q33" i="58"/>
  <c r="P33" i="58"/>
  <c r="O33" i="58"/>
  <c r="N33" i="58"/>
  <c r="M33" i="58"/>
  <c r="L33" i="58"/>
  <c r="U32" i="58"/>
  <c r="T32" i="58"/>
  <c r="S32" i="58"/>
  <c r="R32" i="58"/>
  <c r="Q32" i="58"/>
  <c r="P32" i="58"/>
  <c r="O32" i="58"/>
  <c r="N32" i="58"/>
  <c r="M32" i="58"/>
  <c r="L32" i="58"/>
  <c r="U31" i="58"/>
  <c r="T31" i="58"/>
  <c r="S31" i="58"/>
  <c r="R31" i="58"/>
  <c r="Q31" i="58"/>
  <c r="P31" i="58"/>
  <c r="O31" i="58"/>
  <c r="N31" i="58"/>
  <c r="M31" i="58"/>
  <c r="L31" i="58"/>
  <c r="F26" i="58"/>
  <c r="B26" i="58"/>
  <c r="A26" i="58"/>
  <c r="V26" i="58" s="1"/>
  <c r="I26" i="56" s="1"/>
  <c r="F24" i="58"/>
  <c r="B24" i="58"/>
  <c r="A24" i="58"/>
  <c r="V24" i="58" s="1"/>
  <c r="I24" i="56" s="1"/>
  <c r="F22" i="58"/>
  <c r="B22" i="58"/>
  <c r="A22" i="58"/>
  <c r="V22" i="58" s="1"/>
  <c r="I22" i="56" s="1"/>
  <c r="F20" i="58"/>
  <c r="B20" i="58"/>
  <c r="A20" i="58"/>
  <c r="V20" i="58" s="1"/>
  <c r="I20" i="56" s="1"/>
  <c r="F19" i="58"/>
  <c r="B19" i="58"/>
  <c r="A19" i="58"/>
  <c r="V19" i="58" s="1"/>
  <c r="I19" i="56" s="1"/>
  <c r="F18" i="58"/>
  <c r="B18" i="58"/>
  <c r="A18" i="58"/>
  <c r="V18" i="58" s="1"/>
  <c r="I18" i="56" s="1"/>
  <c r="F17" i="58"/>
  <c r="B17" i="58"/>
  <c r="A17" i="58"/>
  <c r="V17" i="58" s="1"/>
  <c r="I17" i="56" s="1"/>
  <c r="F16" i="58"/>
  <c r="B16" i="58"/>
  <c r="A16" i="58"/>
  <c r="F14" i="58"/>
  <c r="B14" i="58"/>
  <c r="A14" i="58"/>
  <c r="V14" i="58" s="1"/>
  <c r="I14" i="56" s="1"/>
  <c r="F13" i="58"/>
  <c r="B13" i="58"/>
  <c r="A13" i="58"/>
  <c r="V13" i="58" s="1"/>
  <c r="I13" i="56" s="1"/>
  <c r="F11" i="58"/>
  <c r="B11" i="58"/>
  <c r="A11" i="58"/>
  <c r="V11" i="58" s="1"/>
  <c r="I11" i="56" s="1"/>
  <c r="F10" i="58"/>
  <c r="B10" i="58"/>
  <c r="A10" i="58"/>
  <c r="V10" i="58" s="1"/>
  <c r="I10" i="56" s="1"/>
  <c r="F9" i="58"/>
  <c r="B9" i="58"/>
  <c r="A9" i="58"/>
  <c r="F8" i="58"/>
  <c r="B8" i="58"/>
  <c r="A8" i="58"/>
  <c r="F6" i="58"/>
  <c r="B6" i="58"/>
  <c r="A6" i="58"/>
  <c r="F5" i="58"/>
  <c r="B5" i="58"/>
  <c r="A5" i="58"/>
  <c r="I4" i="58"/>
  <c r="G4" i="58"/>
  <c r="U101" i="57"/>
  <c r="T101" i="57"/>
  <c r="S101" i="57"/>
  <c r="R101" i="57"/>
  <c r="Q101" i="57"/>
  <c r="P101" i="57"/>
  <c r="O101" i="57"/>
  <c r="N101" i="57"/>
  <c r="M101" i="57"/>
  <c r="L101" i="57"/>
  <c r="U100" i="57"/>
  <c r="T100" i="57"/>
  <c r="S100" i="57"/>
  <c r="R100" i="57"/>
  <c r="Q100" i="57"/>
  <c r="P100" i="57"/>
  <c r="O100" i="57"/>
  <c r="N100" i="57"/>
  <c r="M100" i="57"/>
  <c r="L100" i="57"/>
  <c r="U99" i="57"/>
  <c r="T99" i="57"/>
  <c r="S99" i="57"/>
  <c r="R99" i="57"/>
  <c r="Q99" i="57"/>
  <c r="P99" i="57"/>
  <c r="O99" i="57"/>
  <c r="N99" i="57"/>
  <c r="M99" i="57"/>
  <c r="L99" i="57"/>
  <c r="E93" i="57"/>
  <c r="F93" i="57" s="1"/>
  <c r="B93" i="57"/>
  <c r="A93" i="57"/>
  <c r="E91" i="57"/>
  <c r="F91" i="57" s="1"/>
  <c r="B91" i="57"/>
  <c r="A91" i="57"/>
  <c r="E90" i="57"/>
  <c r="F90" i="57" s="1"/>
  <c r="B90" i="57"/>
  <c r="A90" i="57"/>
  <c r="V90" i="57" s="1"/>
  <c r="J90" i="43" s="1"/>
  <c r="E89" i="57"/>
  <c r="F89" i="57" s="1"/>
  <c r="B89" i="57"/>
  <c r="A89" i="57"/>
  <c r="E87" i="57"/>
  <c r="F87" i="57" s="1"/>
  <c r="B87" i="57"/>
  <c r="A87" i="57"/>
  <c r="E86" i="57"/>
  <c r="F86" i="57" s="1"/>
  <c r="B86" i="57"/>
  <c r="A86" i="57"/>
  <c r="E84" i="57"/>
  <c r="F84" i="57" s="1"/>
  <c r="B84" i="57"/>
  <c r="A84" i="57"/>
  <c r="V84" i="57" s="1"/>
  <c r="J84" i="43" s="1"/>
  <c r="E83" i="57"/>
  <c r="F83" i="57" s="1"/>
  <c r="B83" i="57"/>
  <c r="A83" i="57"/>
  <c r="V83" i="57" s="1"/>
  <c r="J83" i="43" s="1"/>
  <c r="E82" i="57"/>
  <c r="F82" i="57" s="1"/>
  <c r="B82" i="57"/>
  <c r="A82" i="57"/>
  <c r="V82" i="57" s="1"/>
  <c r="J82" i="43" s="1"/>
  <c r="E81" i="57"/>
  <c r="F81" i="57" s="1"/>
  <c r="B81" i="57"/>
  <c r="A81" i="57"/>
  <c r="E80" i="57"/>
  <c r="F80" i="57" s="1"/>
  <c r="B80" i="57"/>
  <c r="A80" i="57"/>
  <c r="E79" i="57"/>
  <c r="F79" i="57" s="1"/>
  <c r="B79" i="57"/>
  <c r="A79" i="57"/>
  <c r="E78" i="57"/>
  <c r="F78" i="57" s="1"/>
  <c r="B78" i="57"/>
  <c r="A78" i="57"/>
  <c r="E77" i="57"/>
  <c r="F77" i="57" s="1"/>
  <c r="B77" i="57"/>
  <c r="A77" i="57"/>
  <c r="E76" i="57"/>
  <c r="F76" i="57" s="1"/>
  <c r="B76" i="57"/>
  <c r="A76" i="57"/>
  <c r="E75" i="57"/>
  <c r="F75" i="57" s="1"/>
  <c r="B75" i="57"/>
  <c r="A75" i="57"/>
  <c r="E74" i="57"/>
  <c r="F74" i="57" s="1"/>
  <c r="B74" i="57"/>
  <c r="A74" i="57"/>
  <c r="E73" i="57"/>
  <c r="F73" i="57" s="1"/>
  <c r="B73" i="57"/>
  <c r="A73" i="57"/>
  <c r="E72" i="57"/>
  <c r="F72" i="57" s="1"/>
  <c r="B72" i="57"/>
  <c r="A72" i="57"/>
  <c r="E71" i="57"/>
  <c r="F71" i="57" s="1"/>
  <c r="B71" i="57"/>
  <c r="A71" i="57"/>
  <c r="E69" i="57"/>
  <c r="F69" i="57" s="1"/>
  <c r="B69" i="57"/>
  <c r="A69" i="57"/>
  <c r="V69" i="57" s="1"/>
  <c r="J69" i="43" s="1"/>
  <c r="E68" i="57"/>
  <c r="F68" i="57" s="1"/>
  <c r="B68" i="57"/>
  <c r="A68" i="57"/>
  <c r="E67" i="57"/>
  <c r="F67" i="57" s="1"/>
  <c r="B67" i="57"/>
  <c r="A67" i="57"/>
  <c r="E66" i="57"/>
  <c r="F66" i="57" s="1"/>
  <c r="B66" i="57"/>
  <c r="A66" i="57"/>
  <c r="E64" i="57"/>
  <c r="F64" i="57" s="1"/>
  <c r="B64" i="57"/>
  <c r="A64" i="57"/>
  <c r="E63" i="57"/>
  <c r="F63" i="57" s="1"/>
  <c r="B63" i="57"/>
  <c r="A63" i="57"/>
  <c r="E62" i="57"/>
  <c r="F62" i="57" s="1"/>
  <c r="B62" i="57"/>
  <c r="A62" i="57"/>
  <c r="E61" i="57"/>
  <c r="F61" i="57" s="1"/>
  <c r="B61" i="57"/>
  <c r="A61" i="57"/>
  <c r="E60" i="57"/>
  <c r="F60" i="57" s="1"/>
  <c r="B60" i="57"/>
  <c r="A60" i="57"/>
  <c r="E59" i="57"/>
  <c r="F59" i="57" s="1"/>
  <c r="B59" i="57"/>
  <c r="A59" i="57"/>
  <c r="E58" i="57"/>
  <c r="F58" i="57" s="1"/>
  <c r="B58" i="57"/>
  <c r="A58" i="57"/>
  <c r="E57" i="57"/>
  <c r="F57" i="57" s="1"/>
  <c r="B57" i="57"/>
  <c r="A57" i="57"/>
  <c r="E56" i="57"/>
  <c r="F56" i="57" s="1"/>
  <c r="B56" i="57"/>
  <c r="A56" i="57"/>
  <c r="E55" i="57"/>
  <c r="F55" i="57" s="1"/>
  <c r="B55" i="57"/>
  <c r="A55" i="57"/>
  <c r="E54" i="57"/>
  <c r="F54" i="57" s="1"/>
  <c r="B54" i="57"/>
  <c r="A54" i="57"/>
  <c r="E53" i="57"/>
  <c r="F53" i="57" s="1"/>
  <c r="B53" i="57"/>
  <c r="A53" i="57"/>
  <c r="E52" i="57"/>
  <c r="F52" i="57" s="1"/>
  <c r="B52" i="57"/>
  <c r="A52" i="57"/>
  <c r="E51" i="57"/>
  <c r="F51" i="57" s="1"/>
  <c r="B51" i="57"/>
  <c r="A51" i="57"/>
  <c r="E50" i="57"/>
  <c r="F50" i="57" s="1"/>
  <c r="B50" i="57"/>
  <c r="A50" i="57"/>
  <c r="E49" i="57"/>
  <c r="F49" i="57" s="1"/>
  <c r="B49" i="57"/>
  <c r="A49" i="57"/>
  <c r="E48" i="57"/>
  <c r="F48" i="57" s="1"/>
  <c r="B48" i="57"/>
  <c r="A48" i="57"/>
  <c r="E47" i="57"/>
  <c r="F47" i="57" s="1"/>
  <c r="B47" i="57"/>
  <c r="A47" i="57"/>
  <c r="E46" i="57"/>
  <c r="F46" i="57" s="1"/>
  <c r="B46" i="57"/>
  <c r="A46" i="57"/>
  <c r="E45" i="57"/>
  <c r="F45" i="57" s="1"/>
  <c r="B45" i="57"/>
  <c r="A45" i="57"/>
  <c r="E44" i="57"/>
  <c r="F44" i="57" s="1"/>
  <c r="B44" i="57"/>
  <c r="A44" i="57"/>
  <c r="E43" i="57"/>
  <c r="F43" i="57" s="1"/>
  <c r="B43" i="57"/>
  <c r="A43" i="57"/>
  <c r="E42" i="57"/>
  <c r="F42" i="57" s="1"/>
  <c r="B42" i="57"/>
  <c r="A42" i="57"/>
  <c r="E41" i="57"/>
  <c r="F41" i="57" s="1"/>
  <c r="B41" i="57"/>
  <c r="A41" i="57"/>
  <c r="E40" i="57"/>
  <c r="F40" i="57" s="1"/>
  <c r="B40" i="57"/>
  <c r="A40" i="57"/>
  <c r="E39" i="57"/>
  <c r="F39" i="57" s="1"/>
  <c r="B39" i="57"/>
  <c r="A39" i="57"/>
  <c r="E38" i="57"/>
  <c r="F38" i="57" s="1"/>
  <c r="B38" i="57"/>
  <c r="A38" i="57"/>
  <c r="E37" i="57"/>
  <c r="F37" i="57" s="1"/>
  <c r="B37" i="57"/>
  <c r="A37" i="57"/>
  <c r="E36" i="57"/>
  <c r="F36" i="57" s="1"/>
  <c r="B36" i="57"/>
  <c r="A36" i="57"/>
  <c r="E35" i="57"/>
  <c r="F35" i="57" s="1"/>
  <c r="B35" i="57"/>
  <c r="A35" i="57"/>
  <c r="E34" i="57"/>
  <c r="F34" i="57" s="1"/>
  <c r="B34" i="57"/>
  <c r="A34" i="57"/>
  <c r="E33" i="57"/>
  <c r="F33" i="57" s="1"/>
  <c r="B33" i="57"/>
  <c r="A33" i="57"/>
  <c r="E32" i="57"/>
  <c r="F32" i="57" s="1"/>
  <c r="B32" i="57"/>
  <c r="A32" i="57"/>
  <c r="E31" i="57"/>
  <c r="F31" i="57" s="1"/>
  <c r="B31" i="57"/>
  <c r="A31" i="57"/>
  <c r="E30" i="57"/>
  <c r="F30" i="57" s="1"/>
  <c r="B30" i="57"/>
  <c r="A30" i="57"/>
  <c r="E29" i="57"/>
  <c r="F29" i="57" s="1"/>
  <c r="B29" i="57"/>
  <c r="A29" i="57"/>
  <c r="E28" i="57"/>
  <c r="F28" i="57" s="1"/>
  <c r="B28" i="57"/>
  <c r="A28" i="57"/>
  <c r="E27" i="57"/>
  <c r="F27" i="57" s="1"/>
  <c r="B27" i="57"/>
  <c r="A27" i="57"/>
  <c r="E26" i="57"/>
  <c r="F26" i="57" s="1"/>
  <c r="B26" i="57"/>
  <c r="A26" i="57"/>
  <c r="E25" i="57"/>
  <c r="F25" i="57" s="1"/>
  <c r="B25" i="57"/>
  <c r="A25" i="57"/>
  <c r="E24" i="57"/>
  <c r="F24" i="57" s="1"/>
  <c r="B24" i="57"/>
  <c r="A24" i="57"/>
  <c r="E23" i="57"/>
  <c r="F23" i="57" s="1"/>
  <c r="B23" i="57"/>
  <c r="A23" i="57"/>
  <c r="E22" i="57"/>
  <c r="F22" i="57" s="1"/>
  <c r="B22" i="57"/>
  <c r="A22" i="57"/>
  <c r="E21" i="57"/>
  <c r="F21" i="57" s="1"/>
  <c r="B21" i="57"/>
  <c r="A21" i="57"/>
  <c r="E20" i="57"/>
  <c r="F20" i="57" s="1"/>
  <c r="B20" i="57"/>
  <c r="A20" i="57"/>
  <c r="E19" i="57"/>
  <c r="F19" i="57" s="1"/>
  <c r="B19" i="57"/>
  <c r="A19" i="57"/>
  <c r="E18" i="57"/>
  <c r="F18" i="57" s="1"/>
  <c r="B18" i="57"/>
  <c r="A18" i="57"/>
  <c r="E17" i="57"/>
  <c r="F17" i="57" s="1"/>
  <c r="B17" i="57"/>
  <c r="A17" i="57"/>
  <c r="E16" i="57"/>
  <c r="F16" i="57" s="1"/>
  <c r="B16" i="57"/>
  <c r="A16" i="57"/>
  <c r="E15" i="57"/>
  <c r="F15" i="57" s="1"/>
  <c r="B15" i="57"/>
  <c r="A15" i="57"/>
  <c r="E14" i="57"/>
  <c r="F14" i="57" s="1"/>
  <c r="B14" i="57"/>
  <c r="A14" i="57"/>
  <c r="E13" i="57"/>
  <c r="F13" i="57" s="1"/>
  <c r="B13" i="57"/>
  <c r="A13" i="57"/>
  <c r="E12" i="57"/>
  <c r="F12" i="57" s="1"/>
  <c r="B12" i="57"/>
  <c r="A12" i="57"/>
  <c r="E11" i="57"/>
  <c r="F11" i="57" s="1"/>
  <c r="B11" i="57"/>
  <c r="A11" i="57"/>
  <c r="E10" i="57"/>
  <c r="F10" i="57" s="1"/>
  <c r="B10" i="57"/>
  <c r="A10" i="57"/>
  <c r="E9" i="57"/>
  <c r="F9" i="57" s="1"/>
  <c r="B9" i="57"/>
  <c r="A9" i="57"/>
  <c r="E7" i="57"/>
  <c r="F7" i="57" s="1"/>
  <c r="B7" i="57"/>
  <c r="A7" i="57"/>
  <c r="E6" i="57"/>
  <c r="F6" i="57" s="1"/>
  <c r="B6" i="57"/>
  <c r="A6" i="57"/>
  <c r="E5" i="57"/>
  <c r="F5" i="57" s="1"/>
  <c r="B5" i="57"/>
  <c r="I4" i="57"/>
  <c r="G4" i="57"/>
  <c r="U93" i="43"/>
  <c r="U91" i="43"/>
  <c r="U90" i="43"/>
  <c r="U89" i="43"/>
  <c r="U87" i="43"/>
  <c r="U86" i="43"/>
  <c r="U84" i="43"/>
  <c r="U83" i="43"/>
  <c r="U82" i="43"/>
  <c r="U81" i="43"/>
  <c r="U80" i="43"/>
  <c r="U79" i="43"/>
  <c r="U78" i="43"/>
  <c r="U77" i="43"/>
  <c r="U76" i="43"/>
  <c r="U75" i="43"/>
  <c r="U74" i="43"/>
  <c r="U73" i="43"/>
  <c r="U72" i="43"/>
  <c r="U71" i="43"/>
  <c r="U69" i="43"/>
  <c r="U68" i="43"/>
  <c r="U67" i="43"/>
  <c r="U66" i="43"/>
  <c r="U64" i="43"/>
  <c r="U63" i="43"/>
  <c r="U62" i="43"/>
  <c r="U61" i="43"/>
  <c r="U60" i="43"/>
  <c r="U59" i="43"/>
  <c r="U58" i="43"/>
  <c r="U57" i="43"/>
  <c r="U56" i="43"/>
  <c r="U55" i="43"/>
  <c r="U54" i="43"/>
  <c r="U53" i="43"/>
  <c r="U52" i="43"/>
  <c r="U51" i="43"/>
  <c r="U50" i="43"/>
  <c r="U49" i="43"/>
  <c r="U48" i="43"/>
  <c r="U47" i="43"/>
  <c r="U46" i="43"/>
  <c r="U45" i="43"/>
  <c r="U44" i="43"/>
  <c r="U43" i="43"/>
  <c r="U42" i="43"/>
  <c r="U41" i="43"/>
  <c r="U40" i="43"/>
  <c r="U39" i="43"/>
  <c r="U38" i="43"/>
  <c r="U37" i="43"/>
  <c r="U36" i="43"/>
  <c r="U35" i="43"/>
  <c r="U34" i="43"/>
  <c r="U33" i="43"/>
  <c r="U32" i="43"/>
  <c r="U31" i="43"/>
  <c r="U30" i="43"/>
  <c r="U29" i="43"/>
  <c r="U28" i="43"/>
  <c r="U27" i="43"/>
  <c r="U26" i="43"/>
  <c r="U25" i="43"/>
  <c r="U24" i="43"/>
  <c r="U23" i="43"/>
  <c r="U22" i="43"/>
  <c r="U21" i="43"/>
  <c r="U20" i="43"/>
  <c r="U19" i="43"/>
  <c r="U18" i="43"/>
  <c r="U17" i="43"/>
  <c r="U16" i="43"/>
  <c r="U15" i="43"/>
  <c r="U14" i="43"/>
  <c r="U13" i="43"/>
  <c r="U12" i="43"/>
  <c r="U11" i="43"/>
  <c r="U10" i="43"/>
  <c r="U9" i="43"/>
  <c r="P84" i="14"/>
  <c r="P112" i="14" s="1"/>
  <c r="P140" i="14" s="1"/>
  <c r="P168" i="14" s="1"/>
  <c r="M84" i="14"/>
  <c r="M112" i="14" s="1"/>
  <c r="M140" i="14" s="1"/>
  <c r="M168" i="14" s="1"/>
  <c r="L84" i="14"/>
  <c r="L112" i="14" s="1"/>
  <c r="L140" i="14" s="1"/>
  <c r="L168" i="14" s="1"/>
  <c r="K84" i="14"/>
  <c r="P83" i="14"/>
  <c r="P111" i="14" s="1"/>
  <c r="P139" i="14" s="1"/>
  <c r="P167" i="14" s="1"/>
  <c r="M83" i="14"/>
  <c r="M111" i="14" s="1"/>
  <c r="M139" i="14" s="1"/>
  <c r="M167" i="14" s="1"/>
  <c r="L83" i="14"/>
  <c r="L111" i="14" s="1"/>
  <c r="L139" i="14" s="1"/>
  <c r="L167" i="14" s="1"/>
  <c r="K83" i="14"/>
  <c r="P82" i="14"/>
  <c r="P110" i="14" s="1"/>
  <c r="P138" i="14" s="1"/>
  <c r="P166" i="14" s="1"/>
  <c r="M82" i="14"/>
  <c r="M110" i="14" s="1"/>
  <c r="M138" i="14" s="1"/>
  <c r="M166" i="14" s="1"/>
  <c r="L82" i="14"/>
  <c r="L110" i="14" s="1"/>
  <c r="L138" i="14" s="1"/>
  <c r="L166" i="14" s="1"/>
  <c r="K82" i="14"/>
  <c r="P81" i="14"/>
  <c r="P109" i="14" s="1"/>
  <c r="P137" i="14" s="1"/>
  <c r="P165" i="14" s="1"/>
  <c r="M81" i="14"/>
  <c r="M109" i="14" s="1"/>
  <c r="M137" i="14" s="1"/>
  <c r="M165" i="14" s="1"/>
  <c r="L81" i="14"/>
  <c r="L109" i="14" s="1"/>
  <c r="L137" i="14" s="1"/>
  <c r="L165" i="14" s="1"/>
  <c r="K81" i="14"/>
  <c r="P80" i="14"/>
  <c r="P108" i="14" s="1"/>
  <c r="P136" i="14" s="1"/>
  <c r="P164" i="14" s="1"/>
  <c r="M80" i="14"/>
  <c r="M108" i="14" s="1"/>
  <c r="M136" i="14" s="1"/>
  <c r="M164" i="14" s="1"/>
  <c r="L80" i="14"/>
  <c r="L108" i="14" s="1"/>
  <c r="L136" i="14" s="1"/>
  <c r="L164" i="14" s="1"/>
  <c r="K80" i="14"/>
  <c r="P79" i="14"/>
  <c r="P107" i="14" s="1"/>
  <c r="P135" i="14" s="1"/>
  <c r="P163" i="14" s="1"/>
  <c r="M79" i="14"/>
  <c r="M107" i="14" s="1"/>
  <c r="M135" i="14" s="1"/>
  <c r="M163" i="14" s="1"/>
  <c r="L79" i="14"/>
  <c r="L107" i="14" s="1"/>
  <c r="L135" i="14" s="1"/>
  <c r="L163" i="14" s="1"/>
  <c r="K79" i="14"/>
  <c r="P78" i="14"/>
  <c r="P106" i="14" s="1"/>
  <c r="P134" i="14" s="1"/>
  <c r="P162" i="14" s="1"/>
  <c r="M78" i="14"/>
  <c r="M106" i="14" s="1"/>
  <c r="M134" i="14" s="1"/>
  <c r="M162" i="14" s="1"/>
  <c r="L78" i="14"/>
  <c r="L106" i="14" s="1"/>
  <c r="L134" i="14" s="1"/>
  <c r="L162" i="14" s="1"/>
  <c r="K78" i="14"/>
  <c r="P77" i="14"/>
  <c r="P105" i="14" s="1"/>
  <c r="P133" i="14" s="1"/>
  <c r="P161" i="14" s="1"/>
  <c r="M77" i="14"/>
  <c r="M105" i="14" s="1"/>
  <c r="M133" i="14" s="1"/>
  <c r="M161" i="14" s="1"/>
  <c r="L77" i="14"/>
  <c r="L105" i="14" s="1"/>
  <c r="L133" i="14" s="1"/>
  <c r="L161" i="14" s="1"/>
  <c r="K77" i="14"/>
  <c r="P76" i="14"/>
  <c r="P104" i="14" s="1"/>
  <c r="P132" i="14" s="1"/>
  <c r="P160" i="14" s="1"/>
  <c r="M76" i="14"/>
  <c r="M104" i="14" s="1"/>
  <c r="M132" i="14" s="1"/>
  <c r="M160" i="14" s="1"/>
  <c r="L76" i="14"/>
  <c r="L104" i="14" s="1"/>
  <c r="L132" i="14" s="1"/>
  <c r="L160" i="14" s="1"/>
  <c r="K76" i="14"/>
  <c r="P75" i="14"/>
  <c r="P103" i="14" s="1"/>
  <c r="P131" i="14" s="1"/>
  <c r="P159" i="14" s="1"/>
  <c r="M75" i="14"/>
  <c r="M103" i="14" s="1"/>
  <c r="M131" i="14" s="1"/>
  <c r="M159" i="14" s="1"/>
  <c r="L75" i="14"/>
  <c r="L103" i="14" s="1"/>
  <c r="L131" i="14" s="1"/>
  <c r="L159" i="14" s="1"/>
  <c r="K75" i="14"/>
  <c r="P74" i="14"/>
  <c r="P102" i="14" s="1"/>
  <c r="P130" i="14" s="1"/>
  <c r="P158" i="14" s="1"/>
  <c r="M74" i="14"/>
  <c r="M102" i="14" s="1"/>
  <c r="M130" i="14" s="1"/>
  <c r="M158" i="14" s="1"/>
  <c r="L74" i="14"/>
  <c r="L102" i="14" s="1"/>
  <c r="L130" i="14" s="1"/>
  <c r="L158" i="14" s="1"/>
  <c r="K74" i="14"/>
  <c r="P73" i="14"/>
  <c r="P101" i="14" s="1"/>
  <c r="P129" i="14" s="1"/>
  <c r="P157" i="14" s="1"/>
  <c r="M73" i="14"/>
  <c r="M101" i="14" s="1"/>
  <c r="M129" i="14" s="1"/>
  <c r="M157" i="14" s="1"/>
  <c r="L73" i="14"/>
  <c r="L101" i="14" s="1"/>
  <c r="L129" i="14" s="1"/>
  <c r="L157" i="14" s="1"/>
  <c r="K73" i="14"/>
  <c r="P72" i="14"/>
  <c r="P100" i="14" s="1"/>
  <c r="P128" i="14" s="1"/>
  <c r="P156" i="14" s="1"/>
  <c r="M72" i="14"/>
  <c r="M100" i="14" s="1"/>
  <c r="M128" i="14" s="1"/>
  <c r="M156" i="14" s="1"/>
  <c r="L72" i="14"/>
  <c r="L100" i="14" s="1"/>
  <c r="L128" i="14" s="1"/>
  <c r="L156" i="14" s="1"/>
  <c r="K72" i="14"/>
  <c r="P71" i="14"/>
  <c r="P99" i="14" s="1"/>
  <c r="P127" i="14" s="1"/>
  <c r="P155" i="14" s="1"/>
  <c r="M71" i="14"/>
  <c r="M99" i="14" s="1"/>
  <c r="M127" i="14" s="1"/>
  <c r="M155" i="14" s="1"/>
  <c r="L71" i="14"/>
  <c r="L99" i="14" s="1"/>
  <c r="L127" i="14" s="1"/>
  <c r="L155" i="14" s="1"/>
  <c r="K71" i="14"/>
  <c r="P70" i="14"/>
  <c r="P98" i="14" s="1"/>
  <c r="P126" i="14" s="1"/>
  <c r="P154" i="14" s="1"/>
  <c r="M70" i="14"/>
  <c r="M98" i="14" s="1"/>
  <c r="M126" i="14" s="1"/>
  <c r="M154" i="14" s="1"/>
  <c r="L70" i="14"/>
  <c r="L98" i="14" s="1"/>
  <c r="L126" i="14" s="1"/>
  <c r="L154" i="14" s="1"/>
  <c r="K70" i="14"/>
  <c r="P69" i="14"/>
  <c r="P97" i="14" s="1"/>
  <c r="P125" i="14" s="1"/>
  <c r="P153" i="14" s="1"/>
  <c r="M69" i="14"/>
  <c r="M97" i="14" s="1"/>
  <c r="M125" i="14" s="1"/>
  <c r="M153" i="14" s="1"/>
  <c r="L69" i="14"/>
  <c r="L97" i="14" s="1"/>
  <c r="L125" i="14" s="1"/>
  <c r="L153" i="14" s="1"/>
  <c r="K69" i="14"/>
  <c r="P68" i="14"/>
  <c r="P96" i="14" s="1"/>
  <c r="P124" i="14" s="1"/>
  <c r="P152" i="14" s="1"/>
  <c r="M68" i="14"/>
  <c r="M96" i="14" s="1"/>
  <c r="M124" i="14" s="1"/>
  <c r="M152" i="14" s="1"/>
  <c r="L68" i="14"/>
  <c r="L96" i="14" s="1"/>
  <c r="L124" i="14" s="1"/>
  <c r="L152" i="14" s="1"/>
  <c r="K68" i="14"/>
  <c r="P67" i="14"/>
  <c r="P95" i="14" s="1"/>
  <c r="P123" i="14" s="1"/>
  <c r="P151" i="14" s="1"/>
  <c r="M67" i="14"/>
  <c r="M95" i="14" s="1"/>
  <c r="M123" i="14" s="1"/>
  <c r="M151" i="14" s="1"/>
  <c r="L67" i="14"/>
  <c r="L95" i="14" s="1"/>
  <c r="L123" i="14" s="1"/>
  <c r="L151" i="14" s="1"/>
  <c r="K67" i="14"/>
  <c r="P66" i="14"/>
  <c r="P94" i="14" s="1"/>
  <c r="P122" i="14" s="1"/>
  <c r="P150" i="14" s="1"/>
  <c r="M66" i="14"/>
  <c r="M94" i="14" s="1"/>
  <c r="M122" i="14" s="1"/>
  <c r="M150" i="14" s="1"/>
  <c r="L66" i="14"/>
  <c r="L94" i="14" s="1"/>
  <c r="L122" i="14" s="1"/>
  <c r="L150" i="14" s="1"/>
  <c r="K66" i="14"/>
  <c r="P65" i="14"/>
  <c r="P93" i="14" s="1"/>
  <c r="P121" i="14" s="1"/>
  <c r="P149" i="14" s="1"/>
  <c r="M65" i="14"/>
  <c r="M93" i="14" s="1"/>
  <c r="M121" i="14" s="1"/>
  <c r="M149" i="14" s="1"/>
  <c r="L65" i="14"/>
  <c r="L93" i="14" s="1"/>
  <c r="L121" i="14" s="1"/>
  <c r="L149" i="14" s="1"/>
  <c r="K65" i="14"/>
  <c r="P64" i="14"/>
  <c r="P92" i="14" s="1"/>
  <c r="P120" i="14" s="1"/>
  <c r="P148" i="14" s="1"/>
  <c r="M64" i="14"/>
  <c r="M92" i="14" s="1"/>
  <c r="M120" i="14" s="1"/>
  <c r="M148" i="14" s="1"/>
  <c r="L64" i="14"/>
  <c r="L92" i="14" s="1"/>
  <c r="L120" i="14" s="1"/>
  <c r="L148" i="14" s="1"/>
  <c r="K64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AA28" i="14"/>
  <c r="X28" i="14"/>
  <c r="W28" i="14"/>
  <c r="O28" i="14"/>
  <c r="N28" i="14"/>
  <c r="AA27" i="14"/>
  <c r="X27" i="14"/>
  <c r="W27" i="14"/>
  <c r="O27" i="14"/>
  <c r="N27" i="14"/>
  <c r="AA26" i="14"/>
  <c r="X26" i="14"/>
  <c r="W26" i="14"/>
  <c r="O26" i="14"/>
  <c r="N26" i="14"/>
  <c r="AA25" i="14"/>
  <c r="X25" i="14"/>
  <c r="W25" i="14"/>
  <c r="O25" i="14"/>
  <c r="N25" i="14"/>
  <c r="AA24" i="14"/>
  <c r="X24" i="14"/>
  <c r="W24" i="14"/>
  <c r="O24" i="14"/>
  <c r="N24" i="14"/>
  <c r="AA23" i="14"/>
  <c r="X23" i="14"/>
  <c r="W23" i="14"/>
  <c r="O23" i="14"/>
  <c r="N23" i="14"/>
  <c r="AA22" i="14"/>
  <c r="X22" i="14"/>
  <c r="W22" i="14"/>
  <c r="O22" i="14"/>
  <c r="N22" i="14"/>
  <c r="AA21" i="14"/>
  <c r="X21" i="14"/>
  <c r="W21" i="14"/>
  <c r="O21" i="14"/>
  <c r="N21" i="14"/>
  <c r="AA20" i="14"/>
  <c r="X20" i="14"/>
  <c r="W20" i="14"/>
  <c r="O20" i="14"/>
  <c r="N20" i="14"/>
  <c r="AA19" i="14"/>
  <c r="X19" i="14"/>
  <c r="W19" i="14"/>
  <c r="O19" i="14"/>
  <c r="N19" i="14"/>
  <c r="AA18" i="14"/>
  <c r="X18" i="14"/>
  <c r="W18" i="14"/>
  <c r="O18" i="14"/>
  <c r="N18" i="14"/>
  <c r="AA17" i="14"/>
  <c r="X17" i="14"/>
  <c r="W17" i="14"/>
  <c r="O17" i="14"/>
  <c r="N17" i="14"/>
  <c r="AA16" i="14"/>
  <c r="X16" i="14"/>
  <c r="W16" i="14"/>
  <c r="O16" i="14"/>
  <c r="N16" i="14"/>
  <c r="AA15" i="14"/>
  <c r="X15" i="14"/>
  <c r="W15" i="14"/>
  <c r="O15" i="14"/>
  <c r="N15" i="14"/>
  <c r="AA14" i="14"/>
  <c r="X14" i="14"/>
  <c r="W14" i="14"/>
  <c r="O14" i="14"/>
  <c r="N14" i="14"/>
  <c r="AA13" i="14"/>
  <c r="X13" i="14"/>
  <c r="W13" i="14"/>
  <c r="O13" i="14"/>
  <c r="N13" i="14"/>
  <c r="AA12" i="14"/>
  <c r="X12" i="14"/>
  <c r="W12" i="14"/>
  <c r="O12" i="14"/>
  <c r="N12" i="14"/>
  <c r="AA11" i="14"/>
  <c r="X11" i="14"/>
  <c r="W11" i="14"/>
  <c r="O11" i="14"/>
  <c r="N11" i="14"/>
  <c r="AA10" i="14"/>
  <c r="M7" i="43" s="1"/>
  <c r="X10" i="14"/>
  <c r="R7" i="43" s="1"/>
  <c r="W10" i="14"/>
  <c r="S7" i="43" s="1"/>
  <c r="O10" i="14"/>
  <c r="N10" i="14"/>
  <c r="AA9" i="14"/>
  <c r="X9" i="14"/>
  <c r="W9" i="14"/>
  <c r="O9" i="14"/>
  <c r="N9" i="14"/>
  <c r="AA8" i="14"/>
  <c r="X8" i="14"/>
  <c r="W8" i="14"/>
  <c r="O8" i="14"/>
  <c r="N8" i="14"/>
  <c r="J26" i="55"/>
  <c r="J25" i="55"/>
  <c r="K6" i="35" s="1"/>
  <c r="J24" i="55"/>
  <c r="J23" i="55"/>
  <c r="J22" i="55"/>
  <c r="J21" i="55"/>
  <c r="D10" i="55" s="1"/>
  <c r="J10" i="55" s="1"/>
  <c r="N10" i="55" s="1"/>
  <c r="J20" i="55"/>
  <c r="N15" i="55"/>
  <c r="J14" i="55"/>
  <c r="J13" i="55"/>
  <c r="J12" i="55"/>
  <c r="N12" i="55" s="1"/>
  <c r="D11" i="55"/>
  <c r="J11" i="55" s="1"/>
  <c r="N11" i="55" s="1"/>
  <c r="U34" i="54"/>
  <c r="U33" i="54"/>
  <c r="U32" i="54"/>
  <c r="U30" i="54"/>
  <c r="U29" i="54"/>
  <c r="U28" i="54"/>
  <c r="U27" i="54"/>
  <c r="U26" i="54"/>
  <c r="U25" i="54"/>
  <c r="U24" i="54"/>
  <c r="U23" i="54"/>
  <c r="U22" i="54"/>
  <c r="U19" i="54"/>
  <c r="U18" i="54"/>
  <c r="U17" i="54"/>
  <c r="U16" i="54"/>
  <c r="U15" i="54"/>
  <c r="U14" i="54"/>
  <c r="U13" i="54"/>
  <c r="U12" i="54"/>
  <c r="U11" i="54"/>
  <c r="U10" i="54"/>
  <c r="U9" i="54"/>
  <c r="U8" i="54"/>
  <c r="U6" i="54"/>
  <c r="U5" i="54"/>
  <c r="U4" i="54"/>
  <c r="L16" i="53"/>
  <c r="AF7" i="45" l="1"/>
  <c r="AG7" i="45" s="1"/>
  <c r="AH7" i="45" s="1"/>
  <c r="P36" i="54"/>
  <c r="K4" i="35"/>
  <c r="J27" i="55"/>
  <c r="M6" i="51"/>
  <c r="M6" i="49"/>
  <c r="M6" i="34"/>
  <c r="R5" i="56"/>
  <c r="S5" i="43"/>
  <c r="Q5" i="56"/>
  <c r="R5" i="43"/>
  <c r="L5" i="56"/>
  <c r="M5" i="43"/>
  <c r="R6" i="56"/>
  <c r="S6" i="43"/>
  <c r="Q6" i="56"/>
  <c r="R6" i="43"/>
  <c r="L6" i="56"/>
  <c r="M6" i="43"/>
  <c r="U7" i="43"/>
  <c r="K92" i="14"/>
  <c r="O64" i="14"/>
  <c r="N64" i="14"/>
  <c r="K93" i="14"/>
  <c r="O65" i="14"/>
  <c r="N65" i="14"/>
  <c r="K94" i="14"/>
  <c r="O66" i="14"/>
  <c r="N66" i="14"/>
  <c r="K95" i="14"/>
  <c r="O67" i="14"/>
  <c r="N67" i="14"/>
  <c r="K96" i="14"/>
  <c r="O68" i="14"/>
  <c r="N68" i="14"/>
  <c r="K97" i="14"/>
  <c r="O69" i="14"/>
  <c r="N69" i="14"/>
  <c r="K98" i="14"/>
  <c r="O70" i="14"/>
  <c r="N70" i="14"/>
  <c r="K99" i="14"/>
  <c r="O71" i="14"/>
  <c r="N71" i="14"/>
  <c r="K100" i="14"/>
  <c r="O72" i="14"/>
  <c r="N72" i="14"/>
  <c r="K101" i="14"/>
  <c r="O73" i="14"/>
  <c r="N73" i="14"/>
  <c r="K102" i="14"/>
  <c r="O74" i="14"/>
  <c r="N74" i="14"/>
  <c r="K103" i="14"/>
  <c r="O75" i="14"/>
  <c r="N75" i="14"/>
  <c r="K104" i="14"/>
  <c r="O76" i="14"/>
  <c r="N76" i="14"/>
  <c r="K105" i="14"/>
  <c r="O77" i="14"/>
  <c r="N77" i="14"/>
  <c r="K106" i="14"/>
  <c r="O78" i="14"/>
  <c r="N78" i="14"/>
  <c r="K107" i="14"/>
  <c r="O79" i="14"/>
  <c r="N79" i="14"/>
  <c r="K108" i="14"/>
  <c r="O80" i="14"/>
  <c r="N80" i="14"/>
  <c r="K109" i="14"/>
  <c r="O81" i="14"/>
  <c r="N81" i="14"/>
  <c r="K110" i="14"/>
  <c r="O82" i="14"/>
  <c r="N82" i="14"/>
  <c r="K111" i="14"/>
  <c r="O83" i="14"/>
  <c r="N83" i="14"/>
  <c r="K112" i="14"/>
  <c r="O84" i="14"/>
  <c r="N84" i="14"/>
  <c r="G93" i="57"/>
  <c r="H93" i="57" s="1"/>
  <c r="G91" i="57"/>
  <c r="H91" i="57" s="1"/>
  <c r="G90" i="57"/>
  <c r="H90" i="57" s="1"/>
  <c r="G89" i="57"/>
  <c r="H89" i="57" s="1"/>
  <c r="G87" i="57"/>
  <c r="H87" i="57" s="1"/>
  <c r="G86" i="57"/>
  <c r="H86" i="57" s="1"/>
  <c r="G84" i="57"/>
  <c r="H84" i="57" s="1"/>
  <c r="G83" i="57"/>
  <c r="H83" i="57" s="1"/>
  <c r="G82" i="57"/>
  <c r="H82" i="57" s="1"/>
  <c r="G81" i="57"/>
  <c r="H81" i="57" s="1"/>
  <c r="G80" i="57"/>
  <c r="H80" i="57" s="1"/>
  <c r="G79" i="57"/>
  <c r="H79" i="57" s="1"/>
  <c r="G78" i="57"/>
  <c r="H78" i="57" s="1"/>
  <c r="G77" i="57"/>
  <c r="H77" i="57" s="1"/>
  <c r="G76" i="57"/>
  <c r="H76" i="57" s="1"/>
  <c r="G75" i="57"/>
  <c r="H75" i="57" s="1"/>
  <c r="G74" i="57"/>
  <c r="H74" i="57" s="1"/>
  <c r="G73" i="57"/>
  <c r="H73" i="57" s="1"/>
  <c r="G72" i="57"/>
  <c r="H72" i="57" s="1"/>
  <c r="G71" i="57"/>
  <c r="H71" i="57" s="1"/>
  <c r="G69" i="57"/>
  <c r="H69" i="57" s="1"/>
  <c r="G68" i="57"/>
  <c r="H68" i="57" s="1"/>
  <c r="G67" i="57"/>
  <c r="H67" i="57" s="1"/>
  <c r="G66" i="57"/>
  <c r="H66" i="57" s="1"/>
  <c r="G64" i="57"/>
  <c r="H64" i="57" s="1"/>
  <c r="G63" i="57"/>
  <c r="H63" i="57" s="1"/>
  <c r="G62" i="57"/>
  <c r="H62" i="57" s="1"/>
  <c r="G61" i="57"/>
  <c r="H61" i="57" s="1"/>
  <c r="G60" i="57"/>
  <c r="H60" i="57" s="1"/>
  <c r="G59" i="57"/>
  <c r="H59" i="57" s="1"/>
  <c r="G58" i="57"/>
  <c r="H58" i="57" s="1"/>
  <c r="G57" i="57"/>
  <c r="H57" i="57" s="1"/>
  <c r="G56" i="57"/>
  <c r="H56" i="57" s="1"/>
  <c r="G55" i="57"/>
  <c r="H55" i="57" s="1"/>
  <c r="G54" i="57"/>
  <c r="H54" i="57" s="1"/>
  <c r="G53" i="57"/>
  <c r="H53" i="57" s="1"/>
  <c r="G52" i="57"/>
  <c r="H52" i="57" s="1"/>
  <c r="G51" i="57"/>
  <c r="H51" i="57" s="1"/>
  <c r="G50" i="57"/>
  <c r="H50" i="57" s="1"/>
  <c r="G49" i="57"/>
  <c r="H49" i="57" s="1"/>
  <c r="G48" i="57"/>
  <c r="H48" i="57" s="1"/>
  <c r="G47" i="57"/>
  <c r="H47" i="57" s="1"/>
  <c r="G46" i="57"/>
  <c r="H46" i="57" s="1"/>
  <c r="G45" i="57"/>
  <c r="H45" i="57" s="1"/>
  <c r="G44" i="57"/>
  <c r="H44" i="57" s="1"/>
  <c r="G43" i="57"/>
  <c r="H43" i="57" s="1"/>
  <c r="G42" i="57"/>
  <c r="H42" i="57" s="1"/>
  <c r="G41" i="57"/>
  <c r="H41" i="57" s="1"/>
  <c r="G40" i="57"/>
  <c r="H40" i="57" s="1"/>
  <c r="G39" i="57"/>
  <c r="H39" i="57" s="1"/>
  <c r="G38" i="57"/>
  <c r="H38" i="57" s="1"/>
  <c r="G37" i="57"/>
  <c r="H37" i="57" s="1"/>
  <c r="G36" i="57"/>
  <c r="H36" i="57" s="1"/>
  <c r="G35" i="57"/>
  <c r="H35" i="57" s="1"/>
  <c r="G34" i="57"/>
  <c r="H34" i="57" s="1"/>
  <c r="G33" i="57"/>
  <c r="H33" i="57" s="1"/>
  <c r="G32" i="57"/>
  <c r="H32" i="57" s="1"/>
  <c r="G31" i="57"/>
  <c r="H31" i="57" s="1"/>
  <c r="G30" i="57"/>
  <c r="H30" i="57" s="1"/>
  <c r="G29" i="57"/>
  <c r="H29" i="57" s="1"/>
  <c r="G28" i="57"/>
  <c r="H28" i="57" s="1"/>
  <c r="G27" i="57"/>
  <c r="H27" i="57" s="1"/>
  <c r="G26" i="57"/>
  <c r="H26" i="57" s="1"/>
  <c r="G25" i="57"/>
  <c r="H25" i="57" s="1"/>
  <c r="G24" i="57"/>
  <c r="H24" i="57" s="1"/>
  <c r="G23" i="57"/>
  <c r="H23" i="57" s="1"/>
  <c r="G22" i="57"/>
  <c r="H22" i="57" s="1"/>
  <c r="G21" i="57"/>
  <c r="H21" i="57" s="1"/>
  <c r="G20" i="57"/>
  <c r="H20" i="57" s="1"/>
  <c r="G19" i="57"/>
  <c r="H19" i="57" s="1"/>
  <c r="G18" i="57"/>
  <c r="H18" i="57" s="1"/>
  <c r="G17" i="57"/>
  <c r="H17" i="57" s="1"/>
  <c r="G16" i="57"/>
  <c r="H16" i="57" s="1"/>
  <c r="G15" i="57"/>
  <c r="H15" i="57" s="1"/>
  <c r="G14" i="57"/>
  <c r="H14" i="57" s="1"/>
  <c r="G13" i="57"/>
  <c r="H13" i="57" s="1"/>
  <c r="G12" i="57"/>
  <c r="H12" i="57" s="1"/>
  <c r="G11" i="57"/>
  <c r="H11" i="57" s="1"/>
  <c r="G10" i="57"/>
  <c r="H10" i="57" s="1"/>
  <c r="G9" i="57"/>
  <c r="H9" i="57" s="1"/>
  <c r="G7" i="57"/>
  <c r="H7" i="57" s="1"/>
  <c r="G6" i="57"/>
  <c r="H6" i="57" s="1"/>
  <c r="G5" i="57"/>
  <c r="H5" i="57" s="1"/>
  <c r="I93" i="57"/>
  <c r="J93" i="57" s="1"/>
  <c r="I91" i="57"/>
  <c r="J91" i="57" s="1"/>
  <c r="I90" i="57"/>
  <c r="J90" i="57" s="1"/>
  <c r="I89" i="57"/>
  <c r="J89" i="57" s="1"/>
  <c r="I87" i="57"/>
  <c r="J87" i="57" s="1"/>
  <c r="I86" i="57"/>
  <c r="J86" i="57" s="1"/>
  <c r="I84" i="57"/>
  <c r="J84" i="57" s="1"/>
  <c r="I83" i="57"/>
  <c r="J83" i="57" s="1"/>
  <c r="I82" i="57"/>
  <c r="J82" i="57" s="1"/>
  <c r="I81" i="57"/>
  <c r="J81" i="57" s="1"/>
  <c r="I80" i="57"/>
  <c r="J80" i="57" s="1"/>
  <c r="I79" i="57"/>
  <c r="J79" i="57" s="1"/>
  <c r="I78" i="57"/>
  <c r="J78" i="57" s="1"/>
  <c r="I77" i="57"/>
  <c r="J77" i="57" s="1"/>
  <c r="I76" i="57"/>
  <c r="J76" i="57" s="1"/>
  <c r="I75" i="57"/>
  <c r="J75" i="57" s="1"/>
  <c r="I74" i="57"/>
  <c r="J74" i="57" s="1"/>
  <c r="I73" i="57"/>
  <c r="J73" i="57" s="1"/>
  <c r="I72" i="57"/>
  <c r="J72" i="57" s="1"/>
  <c r="I71" i="57"/>
  <c r="J71" i="57" s="1"/>
  <c r="I69" i="57"/>
  <c r="J69" i="57" s="1"/>
  <c r="I68" i="57"/>
  <c r="J68" i="57" s="1"/>
  <c r="I67" i="57"/>
  <c r="J67" i="57" s="1"/>
  <c r="I66" i="57"/>
  <c r="J66" i="57" s="1"/>
  <c r="I64" i="57"/>
  <c r="J64" i="57" s="1"/>
  <c r="I63" i="57"/>
  <c r="J63" i="57" s="1"/>
  <c r="I62" i="57"/>
  <c r="J62" i="57" s="1"/>
  <c r="I61" i="57"/>
  <c r="J61" i="57" s="1"/>
  <c r="I60" i="57"/>
  <c r="J60" i="57" s="1"/>
  <c r="I59" i="57"/>
  <c r="J59" i="57" s="1"/>
  <c r="I58" i="57"/>
  <c r="J58" i="57" s="1"/>
  <c r="I57" i="57"/>
  <c r="J57" i="57" s="1"/>
  <c r="I56" i="57"/>
  <c r="J56" i="57" s="1"/>
  <c r="I55" i="57"/>
  <c r="J55" i="57" s="1"/>
  <c r="I54" i="57"/>
  <c r="J54" i="57" s="1"/>
  <c r="I53" i="57"/>
  <c r="J53" i="57" s="1"/>
  <c r="I52" i="57"/>
  <c r="J52" i="57" s="1"/>
  <c r="I51" i="57"/>
  <c r="J51" i="57" s="1"/>
  <c r="I50" i="57"/>
  <c r="J50" i="57" s="1"/>
  <c r="I49" i="57"/>
  <c r="J49" i="57" s="1"/>
  <c r="I48" i="57"/>
  <c r="J48" i="57" s="1"/>
  <c r="I47" i="57"/>
  <c r="J47" i="57" s="1"/>
  <c r="I46" i="57"/>
  <c r="J46" i="57" s="1"/>
  <c r="I45" i="57"/>
  <c r="J45" i="57" s="1"/>
  <c r="I44" i="57"/>
  <c r="J44" i="57" s="1"/>
  <c r="I43" i="57"/>
  <c r="J43" i="57" s="1"/>
  <c r="I42" i="57"/>
  <c r="J42" i="57" s="1"/>
  <c r="I41" i="57"/>
  <c r="J41" i="57" s="1"/>
  <c r="I40" i="57"/>
  <c r="J40" i="57" s="1"/>
  <c r="I39" i="57"/>
  <c r="J39" i="57" s="1"/>
  <c r="I38" i="57"/>
  <c r="J38" i="57" s="1"/>
  <c r="I37" i="57"/>
  <c r="J37" i="57" s="1"/>
  <c r="I36" i="57"/>
  <c r="J36" i="57" s="1"/>
  <c r="I35" i="57"/>
  <c r="J35" i="57" s="1"/>
  <c r="I34" i="57"/>
  <c r="J34" i="57" s="1"/>
  <c r="I33" i="57"/>
  <c r="J33" i="57" s="1"/>
  <c r="I32" i="57"/>
  <c r="J32" i="57" s="1"/>
  <c r="I31" i="57"/>
  <c r="J31" i="57" s="1"/>
  <c r="I30" i="57"/>
  <c r="J30" i="57" s="1"/>
  <c r="I29" i="57"/>
  <c r="J29" i="57" s="1"/>
  <c r="I28" i="57"/>
  <c r="J28" i="57" s="1"/>
  <c r="I27" i="57"/>
  <c r="J27" i="57" s="1"/>
  <c r="I26" i="57"/>
  <c r="J26" i="57" s="1"/>
  <c r="I25" i="57"/>
  <c r="J25" i="57" s="1"/>
  <c r="I24" i="57"/>
  <c r="J24" i="57" s="1"/>
  <c r="I23" i="57"/>
  <c r="J23" i="57" s="1"/>
  <c r="I22" i="57"/>
  <c r="J22" i="57" s="1"/>
  <c r="I21" i="57"/>
  <c r="J21" i="57" s="1"/>
  <c r="I20" i="57"/>
  <c r="J20" i="57" s="1"/>
  <c r="I19" i="57"/>
  <c r="J19" i="57" s="1"/>
  <c r="I18" i="57"/>
  <c r="J18" i="57" s="1"/>
  <c r="I17" i="57"/>
  <c r="J17" i="57" s="1"/>
  <c r="I16" i="57"/>
  <c r="J16" i="57" s="1"/>
  <c r="I15" i="57"/>
  <c r="J15" i="57" s="1"/>
  <c r="I14" i="57"/>
  <c r="J14" i="57" s="1"/>
  <c r="I13" i="57"/>
  <c r="J13" i="57" s="1"/>
  <c r="I12" i="57"/>
  <c r="J12" i="57" s="1"/>
  <c r="I11" i="57"/>
  <c r="J11" i="57" s="1"/>
  <c r="I10" i="57"/>
  <c r="J10" i="57" s="1"/>
  <c r="I9" i="57"/>
  <c r="J9" i="57" s="1"/>
  <c r="I7" i="57"/>
  <c r="J7" i="57" s="1"/>
  <c r="I6" i="57"/>
  <c r="J6" i="57" s="1"/>
  <c r="I5" i="57"/>
  <c r="J5" i="57" s="1"/>
  <c r="G26" i="58"/>
  <c r="H26" i="58" s="1"/>
  <c r="G24" i="58"/>
  <c r="H24" i="58" s="1"/>
  <c r="G22" i="58"/>
  <c r="H22" i="58" s="1"/>
  <c r="G20" i="58"/>
  <c r="H20" i="58" s="1"/>
  <c r="G19" i="58"/>
  <c r="H19" i="58" s="1"/>
  <c r="G18" i="58"/>
  <c r="H18" i="58" s="1"/>
  <c r="G17" i="58"/>
  <c r="H17" i="58" s="1"/>
  <c r="G16" i="58"/>
  <c r="H16" i="58" s="1"/>
  <c r="G14" i="58"/>
  <c r="H14" i="58" s="1"/>
  <c r="G13" i="58"/>
  <c r="H13" i="58" s="1"/>
  <c r="G11" i="58"/>
  <c r="H11" i="58" s="1"/>
  <c r="G10" i="58"/>
  <c r="H10" i="58" s="1"/>
  <c r="G9" i="58"/>
  <c r="H9" i="58" s="1"/>
  <c r="G8" i="58"/>
  <c r="H8" i="58" s="1"/>
  <c r="G6" i="58"/>
  <c r="H6" i="58" s="1"/>
  <c r="G5" i="58"/>
  <c r="H5" i="58" s="1"/>
  <c r="I26" i="58"/>
  <c r="J26" i="58" s="1"/>
  <c r="I24" i="58"/>
  <c r="J24" i="58" s="1"/>
  <c r="I22" i="58"/>
  <c r="J22" i="58" s="1"/>
  <c r="I20" i="58"/>
  <c r="J20" i="58" s="1"/>
  <c r="I19" i="58"/>
  <c r="J19" i="58" s="1"/>
  <c r="I18" i="58"/>
  <c r="J18" i="58" s="1"/>
  <c r="I17" i="58"/>
  <c r="J17" i="58" s="1"/>
  <c r="I16" i="58"/>
  <c r="J16" i="58" s="1"/>
  <c r="I14" i="58"/>
  <c r="J14" i="58" s="1"/>
  <c r="I13" i="58"/>
  <c r="J13" i="58" s="1"/>
  <c r="I11" i="58"/>
  <c r="J11" i="58" s="1"/>
  <c r="I10" i="58"/>
  <c r="J10" i="58" s="1"/>
  <c r="I9" i="58"/>
  <c r="J9" i="58" s="1"/>
  <c r="I8" i="58"/>
  <c r="J8" i="58" s="1"/>
  <c r="I6" i="58"/>
  <c r="J6" i="58" s="1"/>
  <c r="I5" i="58"/>
  <c r="J5" i="58" s="1"/>
  <c r="AE41" i="44"/>
  <c r="T41" i="44"/>
  <c r="X41" i="44" s="1"/>
  <c r="AB41" i="44" s="1"/>
  <c r="AF41" i="44"/>
  <c r="W41" i="44"/>
  <c r="AE42" i="44"/>
  <c r="T42" i="44"/>
  <c r="X42" i="44" s="1"/>
  <c r="AB42" i="44" s="1"/>
  <c r="AF42" i="44"/>
  <c r="W42" i="44"/>
  <c r="AE43" i="44"/>
  <c r="T43" i="44"/>
  <c r="X43" i="44" s="1"/>
  <c r="AB43" i="44" s="1"/>
  <c r="AF43" i="44"/>
  <c r="W43" i="44"/>
  <c r="AE44" i="44"/>
  <c r="T44" i="44"/>
  <c r="X44" i="44" s="1"/>
  <c r="AB44" i="44" s="1"/>
  <c r="AF44" i="44"/>
  <c r="W44" i="44"/>
  <c r="AE45" i="44"/>
  <c r="T45" i="44"/>
  <c r="X45" i="44" s="1"/>
  <c r="AB45" i="44" s="1"/>
  <c r="AF45" i="44"/>
  <c r="W45" i="44"/>
  <c r="AE46" i="44"/>
  <c r="T46" i="44"/>
  <c r="X46" i="44" s="1"/>
  <c r="AB46" i="44" s="1"/>
  <c r="AF46" i="44"/>
  <c r="W46" i="44"/>
  <c r="AE47" i="44"/>
  <c r="T47" i="44"/>
  <c r="X47" i="44" s="1"/>
  <c r="AB47" i="44" s="1"/>
  <c r="AF47" i="44"/>
  <c r="W47" i="44"/>
  <c r="AE48" i="44"/>
  <c r="T48" i="44"/>
  <c r="X48" i="44" s="1"/>
  <c r="AB48" i="44" s="1"/>
  <c r="AF48" i="44"/>
  <c r="W48" i="44"/>
  <c r="AE49" i="44"/>
  <c r="T49" i="44"/>
  <c r="X49" i="44" s="1"/>
  <c r="AB49" i="44" s="1"/>
  <c r="AF49" i="44"/>
  <c r="W49" i="44"/>
  <c r="AE50" i="44"/>
  <c r="T50" i="44"/>
  <c r="AA50" i="44"/>
  <c r="AE51" i="44"/>
  <c r="T51" i="44"/>
  <c r="AA51" i="44"/>
  <c r="AE52" i="44"/>
  <c r="T52" i="44"/>
  <c r="AA52" i="44"/>
  <c r="U96" i="46"/>
  <c r="U95" i="46"/>
  <c r="U94" i="46"/>
  <c r="U93" i="46"/>
  <c r="U92" i="46"/>
  <c r="U91" i="46"/>
  <c r="U90" i="46"/>
  <c r="U89" i="46"/>
  <c r="U86" i="46"/>
  <c r="U85" i="46"/>
  <c r="V85" i="46" s="1"/>
  <c r="U84" i="46"/>
  <c r="V84" i="46" s="1"/>
  <c r="U83" i="46"/>
  <c r="U82" i="46"/>
  <c r="U81" i="46"/>
  <c r="U80" i="46"/>
  <c r="U78" i="46"/>
  <c r="U77" i="46"/>
  <c r="U76" i="46"/>
  <c r="U75" i="46"/>
  <c r="U67" i="46"/>
  <c r="U66" i="46"/>
  <c r="V66" i="46" s="1"/>
  <c r="U63" i="46"/>
  <c r="U60" i="46"/>
  <c r="V60" i="46" s="1"/>
  <c r="U59" i="46"/>
  <c r="U58" i="46"/>
  <c r="U57" i="46"/>
  <c r="U53" i="46"/>
  <c r="X53" i="46" s="1"/>
  <c r="U52" i="46"/>
  <c r="U47" i="46"/>
  <c r="U46" i="46"/>
  <c r="U45" i="46"/>
  <c r="U44" i="46"/>
  <c r="U43" i="46"/>
  <c r="X43" i="46" s="1"/>
  <c r="U42" i="46"/>
  <c r="X42" i="46" s="1"/>
  <c r="U41" i="46"/>
  <c r="X41" i="46" s="1"/>
  <c r="U40" i="46"/>
  <c r="X40" i="46" s="1"/>
  <c r="U39" i="46"/>
  <c r="X39" i="46" s="1"/>
  <c r="U38" i="46"/>
  <c r="X38" i="46" s="1"/>
  <c r="U37" i="46"/>
  <c r="X37" i="46" s="1"/>
  <c r="U36" i="46"/>
  <c r="X36" i="46" s="1"/>
  <c r="U35" i="46"/>
  <c r="X35" i="46" s="1"/>
  <c r="U34" i="46"/>
  <c r="X34" i="46" s="1"/>
  <c r="U33" i="46"/>
  <c r="X33" i="46" s="1"/>
  <c r="AD33" i="46" s="1"/>
  <c r="U32" i="46"/>
  <c r="X32" i="46" s="1"/>
  <c r="U30" i="46"/>
  <c r="U29" i="46"/>
  <c r="V29" i="46" s="1"/>
  <c r="U28" i="46"/>
  <c r="V28" i="46" s="1"/>
  <c r="U27" i="46"/>
  <c r="U23" i="46"/>
  <c r="X23" i="46" s="1"/>
  <c r="U22" i="46"/>
  <c r="X22" i="46" s="1"/>
  <c r="U21" i="46"/>
  <c r="X21" i="46" s="1"/>
  <c r="U20" i="46"/>
  <c r="X20" i="46" s="1"/>
  <c r="U19" i="46"/>
  <c r="X19" i="46" s="1"/>
  <c r="U18" i="46"/>
  <c r="X18" i="46" s="1"/>
  <c r="U17" i="46"/>
  <c r="X17" i="46" s="1"/>
  <c r="U16" i="46"/>
  <c r="X16" i="46" s="1"/>
  <c r="U15" i="46"/>
  <c r="X15" i="46" s="1"/>
  <c r="U14" i="46"/>
  <c r="X14" i="46" s="1"/>
  <c r="U13" i="46"/>
  <c r="U12" i="46"/>
  <c r="U11" i="46"/>
  <c r="U10" i="46"/>
  <c r="U9" i="46"/>
  <c r="U8" i="46"/>
  <c r="U7" i="46"/>
  <c r="D25" i="47"/>
  <c r="E25" i="47" s="1"/>
  <c r="W96" i="46"/>
  <c r="W95" i="46"/>
  <c r="W94" i="46"/>
  <c r="W93" i="46"/>
  <c r="W92" i="46"/>
  <c r="W91" i="46"/>
  <c r="W90" i="46"/>
  <c r="W89" i="46"/>
  <c r="W86" i="46"/>
  <c r="W85" i="46"/>
  <c r="W84" i="46"/>
  <c r="W83" i="46"/>
  <c r="W82" i="46"/>
  <c r="W81" i="46"/>
  <c r="W80" i="46"/>
  <c r="W78" i="46"/>
  <c r="W77" i="46"/>
  <c r="W76" i="46"/>
  <c r="W75" i="46"/>
  <c r="W67" i="46"/>
  <c r="W66" i="46"/>
  <c r="W63" i="46"/>
  <c r="W60" i="46"/>
  <c r="W59" i="46"/>
  <c r="W58" i="46"/>
  <c r="W57" i="46"/>
  <c r="W52" i="46"/>
  <c r="W47" i="46"/>
  <c r="W46" i="46"/>
  <c r="W45" i="46"/>
  <c r="W44" i="46"/>
  <c r="W30" i="46"/>
  <c r="W29" i="46"/>
  <c r="W28" i="46"/>
  <c r="W27" i="46"/>
  <c r="W13" i="46"/>
  <c r="W12" i="46"/>
  <c r="W11" i="46"/>
  <c r="W10" i="46"/>
  <c r="W9" i="46"/>
  <c r="W8" i="46"/>
  <c r="W7" i="46"/>
  <c r="J4" i="46"/>
  <c r="G48" i="45"/>
  <c r="F48" i="45" s="1"/>
  <c r="G47" i="45"/>
  <c r="F47" i="45" s="1"/>
  <c r="G46" i="45"/>
  <c r="F46" i="45" s="1"/>
  <c r="G45" i="45"/>
  <c r="F45" i="45" s="1"/>
  <c r="G44" i="45"/>
  <c r="F44" i="45" s="1"/>
  <c r="G43" i="45"/>
  <c r="F43" i="45" s="1"/>
  <c r="G42" i="45"/>
  <c r="F42" i="45" s="1"/>
  <c r="G41" i="45"/>
  <c r="F41" i="45" s="1"/>
  <c r="G40" i="45"/>
  <c r="F40" i="45" s="1"/>
  <c r="G39" i="45"/>
  <c r="F39" i="45" s="1"/>
  <c r="G37" i="45"/>
  <c r="F37" i="45" s="1"/>
  <c r="G36" i="45"/>
  <c r="F36" i="45" s="1"/>
  <c r="G35" i="45"/>
  <c r="F35" i="45" s="1"/>
  <c r="G34" i="45"/>
  <c r="F34" i="45" s="1"/>
  <c r="G33" i="45"/>
  <c r="F33" i="45" s="1"/>
  <c r="G32" i="45"/>
  <c r="F32" i="45" s="1"/>
  <c r="G31" i="45"/>
  <c r="F31" i="45" s="1"/>
  <c r="G29" i="45"/>
  <c r="F29" i="45" s="1"/>
  <c r="G28" i="45"/>
  <c r="F28" i="45" s="1"/>
  <c r="G26" i="45"/>
  <c r="F26" i="45" s="1"/>
  <c r="G25" i="45"/>
  <c r="F25" i="45" s="1"/>
  <c r="G24" i="45"/>
  <c r="F24" i="45" s="1"/>
  <c r="G23" i="45"/>
  <c r="F23" i="45" s="1"/>
  <c r="G22" i="45"/>
  <c r="F22" i="45" s="1"/>
  <c r="G21" i="45"/>
  <c r="F21" i="45" s="1"/>
  <c r="G20" i="45"/>
  <c r="F20" i="45" s="1"/>
  <c r="G18" i="45"/>
  <c r="F18" i="45" s="1"/>
  <c r="G17" i="45"/>
  <c r="F17" i="45" s="1"/>
  <c r="G16" i="45"/>
  <c r="F16" i="45" s="1"/>
  <c r="G15" i="45"/>
  <c r="F15" i="45" s="1"/>
  <c r="G14" i="45"/>
  <c r="F14" i="45" s="1"/>
  <c r="G13" i="45"/>
  <c r="F13" i="45" s="1"/>
  <c r="G12" i="45"/>
  <c r="F12" i="45" s="1"/>
  <c r="G11" i="45"/>
  <c r="F11" i="45" s="1"/>
  <c r="G10" i="45"/>
  <c r="F10" i="45" s="1"/>
  <c r="G9" i="45"/>
  <c r="F9" i="45" s="1"/>
  <c r="G8" i="45"/>
  <c r="F8" i="45" s="1"/>
  <c r="G7" i="45"/>
  <c r="F7" i="45" s="1"/>
  <c r="K4" i="46"/>
  <c r="H48" i="45"/>
  <c r="H47" i="45"/>
  <c r="K47" i="45" s="1"/>
  <c r="H46" i="45"/>
  <c r="K46" i="45" s="1"/>
  <c r="R46" i="45" s="1"/>
  <c r="H45" i="45"/>
  <c r="K45" i="45" s="1"/>
  <c r="H44" i="45"/>
  <c r="K44" i="45" s="1"/>
  <c r="R44" i="45" s="1"/>
  <c r="H43" i="45"/>
  <c r="H42" i="45"/>
  <c r="H41" i="45"/>
  <c r="H40" i="45"/>
  <c r="K40" i="45" s="1"/>
  <c r="R40" i="45" s="1"/>
  <c r="H39" i="45"/>
  <c r="K39" i="45" s="1"/>
  <c r="R39" i="45" s="1"/>
  <c r="H37" i="45"/>
  <c r="H36" i="45"/>
  <c r="H35" i="45"/>
  <c r="H34" i="45"/>
  <c r="K34" i="45" s="1"/>
  <c r="H33" i="45"/>
  <c r="K33" i="45" s="1"/>
  <c r="R33" i="45" s="1"/>
  <c r="H32" i="45"/>
  <c r="K32" i="45" s="1"/>
  <c r="R32" i="45" s="1"/>
  <c r="H31" i="45"/>
  <c r="K31" i="45" s="1"/>
  <c r="R31" i="45" s="1"/>
  <c r="H29" i="45"/>
  <c r="H28" i="45"/>
  <c r="H26" i="45"/>
  <c r="H25" i="45"/>
  <c r="K25" i="45" s="1"/>
  <c r="R25" i="45" s="1"/>
  <c r="H24" i="45"/>
  <c r="K24" i="45" s="1"/>
  <c r="R24" i="45" s="1"/>
  <c r="H23" i="45"/>
  <c r="H22" i="45"/>
  <c r="H21" i="45"/>
  <c r="H20" i="45"/>
  <c r="K20" i="45" s="1"/>
  <c r="R20" i="45" s="1"/>
  <c r="H18" i="45"/>
  <c r="K18" i="45" s="1"/>
  <c r="R18" i="45" s="1"/>
  <c r="H17" i="45"/>
  <c r="K17" i="45" s="1"/>
  <c r="R17" i="45" s="1"/>
  <c r="H16" i="45"/>
  <c r="K16" i="45" s="1"/>
  <c r="R16" i="45" s="1"/>
  <c r="H15" i="45"/>
  <c r="H14" i="45"/>
  <c r="H13" i="45"/>
  <c r="H12" i="45"/>
  <c r="K12" i="45" s="1"/>
  <c r="R12" i="45" s="1"/>
  <c r="H11" i="45"/>
  <c r="K11" i="45" s="1"/>
  <c r="R11" i="45" s="1"/>
  <c r="H10" i="45"/>
  <c r="H9" i="45"/>
  <c r="H8" i="45"/>
  <c r="H7" i="45"/>
  <c r="K7" i="45" s="1"/>
  <c r="AA48" i="45"/>
  <c r="AA47" i="45"/>
  <c r="AA46" i="45"/>
  <c r="AA45" i="45"/>
  <c r="AA44" i="45"/>
  <c r="AA43" i="45"/>
  <c r="AA42" i="45"/>
  <c r="AB42" i="45" s="1"/>
  <c r="AD42" i="45" s="1"/>
  <c r="AG42" i="45" s="1"/>
  <c r="AA41" i="45"/>
  <c r="AA40" i="45"/>
  <c r="AA39" i="45"/>
  <c r="AA37" i="45"/>
  <c r="AA36" i="45"/>
  <c r="AA35" i="45"/>
  <c r="AA34" i="45"/>
  <c r="AA33" i="45"/>
  <c r="AA32" i="45"/>
  <c r="AB32" i="45" s="1"/>
  <c r="AD32" i="45" s="1"/>
  <c r="AG32" i="45" s="1"/>
  <c r="AA31" i="45"/>
  <c r="AA29" i="45"/>
  <c r="AA28" i="45"/>
  <c r="AB28" i="45" s="1"/>
  <c r="AD28" i="45" s="1"/>
  <c r="AG28" i="45" s="1"/>
  <c r="AA26" i="45"/>
  <c r="AA25" i="45"/>
  <c r="AA24" i="45"/>
  <c r="AA23" i="45"/>
  <c r="AA22" i="45"/>
  <c r="AA21" i="45"/>
  <c r="AA20" i="45"/>
  <c r="AB20" i="45" s="1"/>
  <c r="AD20" i="45" s="1"/>
  <c r="AA18" i="45"/>
  <c r="AA17" i="45"/>
  <c r="AA16" i="45"/>
  <c r="AA15" i="45"/>
  <c r="AA14" i="45"/>
  <c r="AA13" i="45"/>
  <c r="AA12" i="45"/>
  <c r="AA11" i="45"/>
  <c r="AA10" i="45"/>
  <c r="AA9" i="45"/>
  <c r="AA8" i="45"/>
  <c r="AA7" i="45"/>
  <c r="R7" i="45"/>
  <c r="Q7" i="45"/>
  <c r="P7" i="45"/>
  <c r="Z7" i="45"/>
  <c r="W7" i="45"/>
  <c r="Q8" i="45"/>
  <c r="P8" i="45"/>
  <c r="Z8" i="45"/>
  <c r="W8" i="45"/>
  <c r="Y8" i="45"/>
  <c r="Q9" i="45"/>
  <c r="P9" i="45"/>
  <c r="Z9" i="45"/>
  <c r="W9" i="45"/>
  <c r="Q10" i="45"/>
  <c r="P10" i="45"/>
  <c r="Z10" i="45"/>
  <c r="W10" i="45"/>
  <c r="Q11" i="45"/>
  <c r="P11" i="45"/>
  <c r="Z11" i="45"/>
  <c r="W11" i="45"/>
  <c r="Q12" i="45"/>
  <c r="P12" i="45"/>
  <c r="Z12" i="45"/>
  <c r="W12" i="45"/>
  <c r="Q13" i="45"/>
  <c r="P13" i="45"/>
  <c r="Z13" i="45"/>
  <c r="W13" i="45"/>
  <c r="Q14" i="45"/>
  <c r="P14" i="45"/>
  <c r="Z14" i="45"/>
  <c r="W14" i="45"/>
  <c r="Q15" i="45"/>
  <c r="P15" i="45"/>
  <c r="Z15" i="45"/>
  <c r="W15" i="45"/>
  <c r="Q16" i="45"/>
  <c r="P16" i="45"/>
  <c r="Z16" i="45"/>
  <c r="W16" i="45"/>
  <c r="Q17" i="45"/>
  <c r="P17" i="45"/>
  <c r="Z17" i="45"/>
  <c r="W17" i="45"/>
  <c r="Q18" i="45"/>
  <c r="P18" i="45"/>
  <c r="Z18" i="45"/>
  <c r="W18" i="45"/>
  <c r="Y18" i="45"/>
  <c r="Q20" i="45"/>
  <c r="P20" i="45"/>
  <c r="Q21" i="45"/>
  <c r="P21" i="45"/>
  <c r="Q22" i="45"/>
  <c r="P22" i="45"/>
  <c r="Z22" i="45"/>
  <c r="W22" i="45"/>
  <c r="Y22" i="45"/>
  <c r="Q23" i="45"/>
  <c r="P23" i="45"/>
  <c r="Z23" i="45"/>
  <c r="W23" i="45"/>
  <c r="Y23" i="45"/>
  <c r="Q24" i="45"/>
  <c r="P24" i="45"/>
  <c r="Z24" i="45"/>
  <c r="W24" i="45"/>
  <c r="Q25" i="45"/>
  <c r="P25" i="45"/>
  <c r="Z25" i="45"/>
  <c r="W25" i="45"/>
  <c r="Y25" i="45"/>
  <c r="Q26" i="45"/>
  <c r="P26" i="45"/>
  <c r="Z26" i="45"/>
  <c r="W26" i="45"/>
  <c r="Y26" i="45"/>
  <c r="Q28" i="45"/>
  <c r="P28" i="45"/>
  <c r="Q29" i="45"/>
  <c r="P29" i="45"/>
  <c r="Z29" i="45"/>
  <c r="W29" i="45"/>
  <c r="Q31" i="45"/>
  <c r="P31" i="45"/>
  <c r="Q32" i="45"/>
  <c r="P32" i="45"/>
  <c r="Q33" i="45"/>
  <c r="P33" i="45"/>
  <c r="Z33" i="45"/>
  <c r="W33" i="45"/>
  <c r="R34" i="45"/>
  <c r="Q34" i="45"/>
  <c r="P34" i="45"/>
  <c r="Q35" i="45"/>
  <c r="P35" i="45"/>
  <c r="Z35" i="45"/>
  <c r="W35" i="45"/>
  <c r="Q36" i="45"/>
  <c r="P36" i="45"/>
  <c r="Z36" i="45"/>
  <c r="W36" i="45"/>
  <c r="Q37" i="45"/>
  <c r="P37" i="45"/>
  <c r="Z37" i="45"/>
  <c r="W37" i="45"/>
  <c r="Q39" i="45"/>
  <c r="P39" i="45"/>
  <c r="Z39" i="45"/>
  <c r="W39" i="45"/>
  <c r="Q40" i="45"/>
  <c r="P40" i="45"/>
  <c r="Q41" i="45"/>
  <c r="P41" i="45"/>
  <c r="Q42" i="45"/>
  <c r="P42" i="45"/>
  <c r="Q43" i="45"/>
  <c r="P43" i="45"/>
  <c r="Z43" i="45"/>
  <c r="W43" i="45"/>
  <c r="Q44" i="45"/>
  <c r="P44" i="45"/>
  <c r="Z44" i="45"/>
  <c r="W44" i="45"/>
  <c r="R45" i="45"/>
  <c r="Q45" i="45"/>
  <c r="P45" i="45"/>
  <c r="Z45" i="45"/>
  <c r="W45" i="45"/>
  <c r="Y45" i="45"/>
  <c r="Q46" i="45"/>
  <c r="P46" i="45"/>
  <c r="R47" i="45"/>
  <c r="Q47" i="45"/>
  <c r="P47" i="45"/>
  <c r="Z47" i="45"/>
  <c r="W47" i="45"/>
  <c r="Q48" i="45"/>
  <c r="P48" i="45"/>
  <c r="Z48" i="45"/>
  <c r="W48" i="45"/>
  <c r="V7" i="46"/>
  <c r="Q7" i="46"/>
  <c r="P7" i="46"/>
  <c r="AB7" i="46"/>
  <c r="Z7" i="46"/>
  <c r="V8" i="46"/>
  <c r="Q8" i="46"/>
  <c r="P8" i="46"/>
  <c r="AB8" i="46"/>
  <c r="Z8" i="46"/>
  <c r="V9" i="46"/>
  <c r="Q9" i="46"/>
  <c r="P9" i="46"/>
  <c r="AB9" i="46"/>
  <c r="Z9" i="46"/>
  <c r="Q10" i="46"/>
  <c r="P10" i="46"/>
  <c r="T10" i="46" s="1"/>
  <c r="V11" i="46"/>
  <c r="Q11" i="46"/>
  <c r="P11" i="46"/>
  <c r="AB11" i="46"/>
  <c r="Z11" i="46"/>
  <c r="V12" i="46"/>
  <c r="Q12" i="46"/>
  <c r="P12" i="46"/>
  <c r="AB12" i="46"/>
  <c r="Z12" i="46"/>
  <c r="Q13" i="46"/>
  <c r="P13" i="46"/>
  <c r="T13" i="46" s="1"/>
  <c r="Q14" i="46"/>
  <c r="P14" i="46"/>
  <c r="T14" i="46" s="1"/>
  <c r="Q15" i="46"/>
  <c r="P15" i="46"/>
  <c r="AB15" i="46"/>
  <c r="Z15" i="46"/>
  <c r="Q16" i="46"/>
  <c r="P16" i="46"/>
  <c r="AB16" i="46"/>
  <c r="Z16" i="46"/>
  <c r="V17" i="46"/>
  <c r="Q17" i="46"/>
  <c r="P17" i="46"/>
  <c r="AB17" i="46"/>
  <c r="AD17" i="46" s="1"/>
  <c r="Z17" i="46"/>
  <c r="Q18" i="46"/>
  <c r="P18" i="46"/>
  <c r="T18" i="46" s="1"/>
  <c r="V19" i="46"/>
  <c r="Q19" i="46"/>
  <c r="P19" i="46"/>
  <c r="AB19" i="46"/>
  <c r="AD19" i="46" s="1"/>
  <c r="Z19" i="46"/>
  <c r="Q20" i="46"/>
  <c r="P20" i="46"/>
  <c r="T20" i="46" s="1"/>
  <c r="Q21" i="46"/>
  <c r="P21" i="46"/>
  <c r="T21" i="46" s="1"/>
  <c r="Q22" i="46"/>
  <c r="P22" i="46"/>
  <c r="T22" i="46" s="1"/>
  <c r="Q23" i="46"/>
  <c r="P23" i="46"/>
  <c r="T23" i="46" s="1"/>
  <c r="Q24" i="46"/>
  <c r="P24" i="46"/>
  <c r="T24" i="46" s="1"/>
  <c r="Q25" i="46"/>
  <c r="P25" i="46"/>
  <c r="T25" i="46" s="1"/>
  <c r="Q27" i="46"/>
  <c r="P27" i="46"/>
  <c r="T27" i="46" s="1"/>
  <c r="Q28" i="46"/>
  <c r="P28" i="46"/>
  <c r="AB28" i="46"/>
  <c r="Z28" i="46"/>
  <c r="Q29" i="46"/>
  <c r="P29" i="46"/>
  <c r="AB29" i="46"/>
  <c r="Z29" i="46"/>
  <c r="Q30" i="46"/>
  <c r="P30" i="46"/>
  <c r="T30" i="46" s="1"/>
  <c r="Q32" i="46"/>
  <c r="P32" i="46"/>
  <c r="T32" i="46" s="1"/>
  <c r="V33" i="46"/>
  <c r="Q33" i="46"/>
  <c r="P33" i="46"/>
  <c r="AB33" i="46"/>
  <c r="Z33" i="46"/>
  <c r="Q34" i="46"/>
  <c r="P34" i="46"/>
  <c r="T34" i="46" s="1"/>
  <c r="V35" i="46"/>
  <c r="Q35" i="46"/>
  <c r="P35" i="46"/>
  <c r="AB35" i="46"/>
  <c r="AD35" i="46" s="1"/>
  <c r="Z35" i="46"/>
  <c r="V36" i="46"/>
  <c r="Q36" i="46"/>
  <c r="P36" i="46"/>
  <c r="AB36" i="46"/>
  <c r="AD36" i="46" s="1"/>
  <c r="Z36" i="46"/>
  <c r="V37" i="46"/>
  <c r="Q37" i="46"/>
  <c r="P37" i="46"/>
  <c r="AB37" i="46"/>
  <c r="AD37" i="46" s="1"/>
  <c r="Z37" i="46"/>
  <c r="Q38" i="46"/>
  <c r="P38" i="46"/>
  <c r="T38" i="46" s="1"/>
  <c r="V39" i="46"/>
  <c r="Q39" i="46"/>
  <c r="P39" i="46"/>
  <c r="AB39" i="46"/>
  <c r="AD39" i="46" s="1"/>
  <c r="Z39" i="46"/>
  <c r="V40" i="46"/>
  <c r="Q40" i="46"/>
  <c r="P40" i="46"/>
  <c r="AB40" i="46"/>
  <c r="AD40" i="46" s="1"/>
  <c r="Z40" i="46"/>
  <c r="Q41" i="46"/>
  <c r="P41" i="46"/>
  <c r="T41" i="46" s="1"/>
  <c r="Q42" i="46"/>
  <c r="P42" i="46"/>
  <c r="T42" i="46" s="1"/>
  <c r="Q43" i="46"/>
  <c r="P43" i="46"/>
  <c r="T43" i="46" s="1"/>
  <c r="Q44" i="46"/>
  <c r="P44" i="46"/>
  <c r="T44" i="46" s="1"/>
  <c r="Q45" i="46"/>
  <c r="P45" i="46"/>
  <c r="T45" i="46" s="1"/>
  <c r="V46" i="46"/>
  <c r="Q46" i="46"/>
  <c r="P46" i="46"/>
  <c r="AB46" i="46"/>
  <c r="Z46" i="46"/>
  <c r="Q47" i="46"/>
  <c r="P47" i="46"/>
  <c r="T47" i="46" s="1"/>
  <c r="Q49" i="46"/>
  <c r="P49" i="46"/>
  <c r="T49" i="46" s="1"/>
  <c r="Q50" i="46"/>
  <c r="P50" i="46"/>
  <c r="T50" i="46" s="1"/>
  <c r="Q51" i="46"/>
  <c r="P51" i="46"/>
  <c r="T51" i="46" s="1"/>
  <c r="Q52" i="46"/>
  <c r="P52" i="46"/>
  <c r="T52" i="46" s="1"/>
  <c r="V53" i="46"/>
  <c r="Q53" i="46"/>
  <c r="P53" i="46"/>
  <c r="AB53" i="46"/>
  <c r="AD53" i="46" s="1"/>
  <c r="Z53" i="46"/>
  <c r="Q54" i="46"/>
  <c r="P54" i="46"/>
  <c r="AB54" i="46"/>
  <c r="Z54" i="46"/>
  <c r="Q56" i="46"/>
  <c r="P56" i="46"/>
  <c r="AB56" i="46"/>
  <c r="Z56" i="46"/>
  <c r="Q57" i="46"/>
  <c r="P57" i="46"/>
  <c r="T57" i="46" s="1"/>
  <c r="Q58" i="46"/>
  <c r="P58" i="46"/>
  <c r="T58" i="46" s="1"/>
  <c r="Q59" i="46"/>
  <c r="P59" i="46"/>
  <c r="T59" i="46" s="1"/>
  <c r="Q60" i="46"/>
  <c r="P60" i="46"/>
  <c r="AB60" i="46"/>
  <c r="Z60" i="46"/>
  <c r="Q62" i="46"/>
  <c r="P62" i="46"/>
  <c r="AB62" i="46"/>
  <c r="AD62" i="46" s="1"/>
  <c r="Z62" i="46"/>
  <c r="Q63" i="46"/>
  <c r="P63" i="46"/>
  <c r="T63" i="46" s="1"/>
  <c r="Q64" i="46"/>
  <c r="P64" i="46"/>
  <c r="AB64" i="46"/>
  <c r="Z64" i="46"/>
  <c r="Q66" i="46"/>
  <c r="P66" i="46"/>
  <c r="AB66" i="46"/>
  <c r="Z66" i="46"/>
  <c r="Q67" i="46"/>
  <c r="P67" i="46"/>
  <c r="T67" i="46" s="1"/>
  <c r="Q68" i="46"/>
  <c r="P68" i="46"/>
  <c r="T68" i="46" s="1"/>
  <c r="Q69" i="46"/>
  <c r="P69" i="46"/>
  <c r="T69" i="46" s="1"/>
  <c r="Q70" i="46"/>
  <c r="P70" i="46"/>
  <c r="AB70" i="46"/>
  <c r="AD70" i="46" s="1"/>
  <c r="Z70" i="46"/>
  <c r="Q71" i="46"/>
  <c r="P71" i="46"/>
  <c r="T71" i="46" s="1"/>
  <c r="Q72" i="46"/>
  <c r="P72" i="46"/>
  <c r="T72" i="46" s="1"/>
  <c r="Q73" i="46"/>
  <c r="P73" i="46"/>
  <c r="T73" i="46" s="1"/>
  <c r="Q74" i="46"/>
  <c r="P74" i="46"/>
  <c r="T74" i="46" s="1"/>
  <c r="V75" i="46"/>
  <c r="Q75" i="46"/>
  <c r="P75" i="46"/>
  <c r="AB75" i="46"/>
  <c r="Z75" i="46"/>
  <c r="Q76" i="46"/>
  <c r="P76" i="46"/>
  <c r="T76" i="46" s="1"/>
  <c r="Q77" i="46"/>
  <c r="P77" i="46"/>
  <c r="T77" i="46" s="1"/>
  <c r="Q78" i="46"/>
  <c r="P78" i="46"/>
  <c r="T78" i="46" s="1"/>
  <c r="Q80" i="46"/>
  <c r="P80" i="46"/>
  <c r="T80" i="46" s="1"/>
  <c r="V81" i="46"/>
  <c r="Q81" i="46"/>
  <c r="P81" i="46"/>
  <c r="AB81" i="46"/>
  <c r="Z81" i="46"/>
  <c r="V82" i="46"/>
  <c r="Q82" i="46"/>
  <c r="P82" i="46"/>
  <c r="AB82" i="46"/>
  <c r="Z82" i="46"/>
  <c r="V83" i="46"/>
  <c r="Q83" i="46"/>
  <c r="P83" i="46"/>
  <c r="AB83" i="46"/>
  <c r="Z83" i="46"/>
  <c r="Q84" i="46"/>
  <c r="P84" i="46"/>
  <c r="AB84" i="46"/>
  <c r="Z84" i="46"/>
  <c r="Q85" i="46"/>
  <c r="P85" i="46"/>
  <c r="AB85" i="46"/>
  <c r="Z85" i="46"/>
  <c r="Q86" i="46"/>
  <c r="P86" i="46"/>
  <c r="T86" i="46" s="1"/>
  <c r="Q87" i="46"/>
  <c r="P87" i="46"/>
  <c r="AB87" i="46"/>
  <c r="Z87" i="46"/>
  <c r="Q88" i="46"/>
  <c r="P88" i="46"/>
  <c r="AB88" i="46"/>
  <c r="Z88" i="46"/>
  <c r="V89" i="46"/>
  <c r="Q89" i="46"/>
  <c r="P89" i="46"/>
  <c r="AB89" i="46"/>
  <c r="Z89" i="46"/>
  <c r="V90" i="46"/>
  <c r="Q90" i="46"/>
  <c r="P90" i="46"/>
  <c r="AB90" i="46"/>
  <c r="Z90" i="46"/>
  <c r="V91" i="46"/>
  <c r="Q91" i="46"/>
  <c r="P91" i="46"/>
  <c r="AB91" i="46"/>
  <c r="Z91" i="46"/>
  <c r="V92" i="46"/>
  <c r="Q92" i="46"/>
  <c r="P92" i="46"/>
  <c r="AB92" i="46"/>
  <c r="Z92" i="46"/>
  <c r="V93" i="46"/>
  <c r="Q93" i="46"/>
  <c r="P93" i="46"/>
  <c r="AB93" i="46"/>
  <c r="Z93" i="46"/>
  <c r="V94" i="46"/>
  <c r="Q94" i="46"/>
  <c r="P94" i="46"/>
  <c r="AB94" i="46"/>
  <c r="Z94" i="46"/>
  <c r="V95" i="46"/>
  <c r="Q95" i="46"/>
  <c r="P95" i="46"/>
  <c r="AB95" i="46"/>
  <c r="Z95" i="46"/>
  <c r="V96" i="46"/>
  <c r="Q96" i="46"/>
  <c r="P96" i="46"/>
  <c r="AB96" i="46"/>
  <c r="Z96" i="46"/>
  <c r="Q97" i="46"/>
  <c r="P97" i="46"/>
  <c r="AB97" i="46"/>
  <c r="Z97" i="46"/>
  <c r="Q98" i="46"/>
  <c r="P98" i="46"/>
  <c r="T98" i="46" s="1"/>
  <c r="F4" i="35"/>
  <c r="F5" i="35"/>
  <c r="M5" i="51"/>
  <c r="M5" i="49"/>
  <c r="M5" i="34"/>
  <c r="F6" i="35"/>
  <c r="F7" i="35"/>
  <c r="F9" i="35"/>
  <c r="F10" i="35"/>
  <c r="F11" i="35"/>
  <c r="F12" i="35"/>
  <c r="F13" i="35"/>
  <c r="H4" i="34"/>
  <c r="H5" i="34"/>
  <c r="H6" i="34"/>
  <c r="H7" i="34"/>
  <c r="H8" i="34"/>
  <c r="H9" i="34"/>
  <c r="H10" i="34"/>
  <c r="H11" i="34"/>
  <c r="H12" i="34"/>
  <c r="H13" i="34"/>
  <c r="H15" i="34"/>
  <c r="H16" i="34"/>
  <c r="H17" i="34"/>
  <c r="H19" i="34"/>
  <c r="H20" i="34"/>
  <c r="H21" i="34"/>
  <c r="H22" i="34"/>
  <c r="H24" i="34"/>
  <c r="H25" i="34"/>
  <c r="H26" i="34"/>
  <c r="H27" i="34"/>
  <c r="H28" i="34"/>
  <c r="H29" i="34"/>
  <c r="H30" i="34"/>
  <c r="H31" i="34"/>
  <c r="H32" i="34"/>
  <c r="H33" i="34"/>
  <c r="H4" i="49"/>
  <c r="H5" i="49"/>
  <c r="H6" i="49"/>
  <c r="H7" i="49"/>
  <c r="H8" i="49"/>
  <c r="H9" i="49"/>
  <c r="H10" i="49"/>
  <c r="H11" i="49"/>
  <c r="H12" i="49"/>
  <c r="H13" i="49"/>
  <c r="H14" i="49"/>
  <c r="H15" i="49"/>
  <c r="H16" i="49"/>
  <c r="H17" i="49"/>
  <c r="H18" i="49"/>
  <c r="H19" i="49"/>
  <c r="H20" i="49"/>
  <c r="H21" i="49"/>
  <c r="H22" i="49"/>
  <c r="H23" i="49"/>
  <c r="H24" i="49"/>
  <c r="H26" i="49"/>
  <c r="H27" i="49"/>
  <c r="H28" i="49"/>
  <c r="H29" i="49"/>
  <c r="H31" i="49"/>
  <c r="H32" i="49"/>
  <c r="H33" i="49"/>
  <c r="H34" i="49"/>
  <c r="H35" i="49"/>
  <c r="H36" i="49"/>
  <c r="H37" i="49"/>
  <c r="H38" i="49"/>
  <c r="H39" i="49"/>
  <c r="H40" i="49"/>
  <c r="H42" i="49"/>
  <c r="H43" i="49"/>
  <c r="H44" i="49"/>
  <c r="H45" i="49"/>
  <c r="H46" i="49"/>
  <c r="H47" i="49"/>
  <c r="H48" i="49"/>
  <c r="H49" i="49"/>
  <c r="H51" i="49"/>
  <c r="H52" i="49"/>
  <c r="H53" i="49"/>
  <c r="H54" i="49"/>
  <c r="H55" i="49"/>
  <c r="H56" i="49"/>
  <c r="H57" i="49"/>
  <c r="H58" i="49"/>
  <c r="H59" i="49"/>
  <c r="H60" i="49"/>
  <c r="H62" i="49"/>
  <c r="H63" i="49"/>
  <c r="H64" i="49"/>
  <c r="H65" i="49"/>
  <c r="H66" i="49"/>
  <c r="H67" i="49"/>
  <c r="H68" i="49"/>
  <c r="H69" i="49"/>
  <c r="H70" i="49"/>
  <c r="H71" i="49"/>
  <c r="H72" i="49"/>
  <c r="H73" i="49"/>
  <c r="H74" i="49"/>
  <c r="H75" i="49"/>
  <c r="H76" i="49"/>
  <c r="H77" i="49"/>
  <c r="H78" i="49"/>
  <c r="H79" i="49"/>
  <c r="H80" i="49"/>
  <c r="H81" i="49"/>
  <c r="H82" i="49"/>
  <c r="H83" i="49"/>
  <c r="H84" i="49"/>
  <c r="H85" i="49"/>
  <c r="H86" i="49"/>
  <c r="H87" i="49"/>
  <c r="H88" i="49"/>
  <c r="H89" i="49"/>
  <c r="F19" i="62"/>
  <c r="G19" i="62" s="1"/>
  <c r="F20" i="62"/>
  <c r="G20" i="62" s="1"/>
  <c r="F21" i="62"/>
  <c r="G21" i="62" s="1"/>
  <c r="D10" i="48"/>
  <c r="H10" i="48" s="1"/>
  <c r="J10" i="48" s="1"/>
  <c r="D6" i="48"/>
  <c r="H6" i="48" s="1"/>
  <c r="J6" i="48" s="1"/>
  <c r="D5" i="48"/>
  <c r="H5" i="48" s="1"/>
  <c r="J5" i="48" s="1"/>
  <c r="H4" i="48"/>
  <c r="J4" i="48" s="1"/>
  <c r="H11" i="48"/>
  <c r="J11" i="48" s="1"/>
  <c r="B13" i="68"/>
  <c r="F13" i="68" s="1"/>
  <c r="F7" i="68"/>
  <c r="F21" i="68" s="1"/>
  <c r="L5" i="67" s="1"/>
  <c r="F127" i="70"/>
  <c r="L6" i="67" s="1"/>
  <c r="U6" i="43" l="1"/>
  <c r="AF20" i="45"/>
  <c r="AG20" i="45" s="1"/>
  <c r="K13" i="45"/>
  <c r="R13" i="45" s="1"/>
  <c r="K26" i="45"/>
  <c r="R26" i="45" s="1"/>
  <c r="K41" i="45"/>
  <c r="R41" i="45" s="1"/>
  <c r="K14" i="45"/>
  <c r="R14" i="45" s="1"/>
  <c r="K28" i="45"/>
  <c r="R28" i="45" s="1"/>
  <c r="K42" i="45"/>
  <c r="R42" i="45" s="1"/>
  <c r="K15" i="45"/>
  <c r="R15" i="45" s="1"/>
  <c r="K29" i="45"/>
  <c r="R29" i="45" s="1"/>
  <c r="K43" i="45"/>
  <c r="R43" i="45" s="1"/>
  <c r="AD15" i="46"/>
  <c r="AD66" i="46"/>
  <c r="AD16" i="46"/>
  <c r="AD12" i="46"/>
  <c r="AD9" i="46"/>
  <c r="AD29" i="46"/>
  <c r="V16" i="46"/>
  <c r="S94" i="46"/>
  <c r="T94" i="46"/>
  <c r="S83" i="46"/>
  <c r="T83" i="46"/>
  <c r="S53" i="46"/>
  <c r="T53" i="46"/>
  <c r="S15" i="46"/>
  <c r="T15" i="46"/>
  <c r="S62" i="46"/>
  <c r="T62" i="46"/>
  <c r="T39" i="46"/>
  <c r="S39" i="46"/>
  <c r="S29" i="46"/>
  <c r="T29" i="46"/>
  <c r="S17" i="46"/>
  <c r="T17" i="46"/>
  <c r="V15" i="46"/>
  <c r="T11" i="46"/>
  <c r="S11" i="46"/>
  <c r="T8" i="46"/>
  <c r="S8" i="46"/>
  <c r="S96" i="46"/>
  <c r="T96" i="46"/>
  <c r="T36" i="46"/>
  <c r="S36" i="46"/>
  <c r="T89" i="46"/>
  <c r="S89" i="46"/>
  <c r="S91" i="46"/>
  <c r="T91" i="46"/>
  <c r="S85" i="46"/>
  <c r="T85" i="46"/>
  <c r="S70" i="46"/>
  <c r="T70" i="46"/>
  <c r="S66" i="46"/>
  <c r="T66" i="46"/>
  <c r="S56" i="46"/>
  <c r="T56" i="46"/>
  <c r="S33" i="46"/>
  <c r="T33" i="46"/>
  <c r="T93" i="46"/>
  <c r="S93" i="46"/>
  <c r="S82" i="46"/>
  <c r="T82" i="46"/>
  <c r="S88" i="46"/>
  <c r="T88" i="46"/>
  <c r="T60" i="46"/>
  <c r="S60" i="46"/>
  <c r="S46" i="46"/>
  <c r="T46" i="46"/>
  <c r="S28" i="46"/>
  <c r="T28" i="46"/>
  <c r="S19" i="46"/>
  <c r="T19" i="46"/>
  <c r="S95" i="46"/>
  <c r="T95" i="46"/>
  <c r="S16" i="46"/>
  <c r="T16" i="46"/>
  <c r="T7" i="46"/>
  <c r="S7" i="46"/>
  <c r="T90" i="46"/>
  <c r="S90" i="46"/>
  <c r="S84" i="46"/>
  <c r="T84" i="46"/>
  <c r="T64" i="46"/>
  <c r="S64" i="46"/>
  <c r="S54" i="46"/>
  <c r="T54" i="46"/>
  <c r="S35" i="46"/>
  <c r="T35" i="46"/>
  <c r="S75" i="46"/>
  <c r="T75" i="46"/>
  <c r="T40" i="46"/>
  <c r="S40" i="46"/>
  <c r="S12" i="46"/>
  <c r="T12" i="46"/>
  <c r="S9" i="46"/>
  <c r="T9" i="46"/>
  <c r="S97" i="46"/>
  <c r="T97" i="46"/>
  <c r="T92" i="46"/>
  <c r="S92" i="46"/>
  <c r="T87" i="46"/>
  <c r="S87" i="46"/>
  <c r="T81" i="46"/>
  <c r="S81" i="46"/>
  <c r="T37" i="46"/>
  <c r="S37" i="46"/>
  <c r="S25" i="45"/>
  <c r="T25" i="45"/>
  <c r="T32" i="45"/>
  <c r="AH32" i="45" s="1"/>
  <c r="S32" i="45"/>
  <c r="S22" i="45"/>
  <c r="T22" i="45"/>
  <c r="T45" i="45"/>
  <c r="S45" i="45"/>
  <c r="T26" i="45"/>
  <c r="S26" i="45"/>
  <c r="S18" i="45"/>
  <c r="T18" i="45"/>
  <c r="S20" i="45"/>
  <c r="T20" i="45"/>
  <c r="S42" i="45"/>
  <c r="T42" i="45"/>
  <c r="AH42" i="45" s="1"/>
  <c r="S28" i="45"/>
  <c r="T28" i="45"/>
  <c r="AH28" i="45" s="1"/>
  <c r="S23" i="45"/>
  <c r="T23" i="45"/>
  <c r="T8" i="45"/>
  <c r="S8" i="45"/>
  <c r="K8" i="45"/>
  <c r="R8" i="45" s="1"/>
  <c r="K21" i="45"/>
  <c r="R21" i="45" s="1"/>
  <c r="K35" i="45"/>
  <c r="R35" i="45" s="1"/>
  <c r="K48" i="45"/>
  <c r="R48" i="45" s="1"/>
  <c r="K9" i="45"/>
  <c r="R9" i="45" s="1"/>
  <c r="K22" i="45"/>
  <c r="R22" i="45" s="1"/>
  <c r="K36" i="45"/>
  <c r="R36" i="45" s="1"/>
  <c r="K10" i="45"/>
  <c r="R10" i="45" s="1"/>
  <c r="K23" i="45"/>
  <c r="R23" i="45" s="1"/>
  <c r="K37" i="45"/>
  <c r="R37" i="45" s="1"/>
  <c r="J21" i="48"/>
  <c r="N4" i="63" s="1"/>
  <c r="N6" i="63" s="1"/>
  <c r="L8" i="53" s="1"/>
  <c r="G25" i="62"/>
  <c r="N5" i="61" s="1"/>
  <c r="N6" i="61" s="1"/>
  <c r="L7" i="53" s="1"/>
  <c r="AB8" i="45"/>
  <c r="AD8" i="45" s="1"/>
  <c r="AG8" i="45" s="1"/>
  <c r="AB18" i="45"/>
  <c r="AD18" i="45" s="1"/>
  <c r="AG18" i="45" s="1"/>
  <c r="AB22" i="45"/>
  <c r="AD22" i="45" s="1"/>
  <c r="AG22" i="45" s="1"/>
  <c r="AB23" i="45"/>
  <c r="AD23" i="45" s="1"/>
  <c r="AG23" i="45" s="1"/>
  <c r="AB25" i="45"/>
  <c r="AD25" i="45" s="1"/>
  <c r="AG25" i="45" s="1"/>
  <c r="AB26" i="45"/>
  <c r="AD26" i="45" s="1"/>
  <c r="AG26" i="45" s="1"/>
  <c r="AB45" i="45"/>
  <c r="AD45" i="45" s="1"/>
  <c r="AG45" i="45" s="1"/>
  <c r="K98" i="46"/>
  <c r="K97" i="46"/>
  <c r="K96" i="46"/>
  <c r="K95" i="46"/>
  <c r="K94" i="46"/>
  <c r="K93" i="46"/>
  <c r="K92" i="46"/>
  <c r="K91" i="46"/>
  <c r="K90" i="46"/>
  <c r="K89" i="46"/>
  <c r="K88" i="46"/>
  <c r="K87" i="46"/>
  <c r="K86" i="46"/>
  <c r="K85" i="46"/>
  <c r="K84" i="46"/>
  <c r="K83" i="46"/>
  <c r="K82" i="46"/>
  <c r="K81" i="46"/>
  <c r="K80" i="46"/>
  <c r="K78" i="46"/>
  <c r="K77" i="46"/>
  <c r="K76" i="46"/>
  <c r="K75" i="46"/>
  <c r="K74" i="46"/>
  <c r="K73" i="46"/>
  <c r="K72" i="46"/>
  <c r="K71" i="46"/>
  <c r="K70" i="46"/>
  <c r="K69" i="46"/>
  <c r="K68" i="46"/>
  <c r="K67" i="46"/>
  <c r="K66" i="46"/>
  <c r="K64" i="46"/>
  <c r="K63" i="46"/>
  <c r="K62" i="46"/>
  <c r="K60" i="46"/>
  <c r="K59" i="46"/>
  <c r="K58" i="46"/>
  <c r="K57" i="46"/>
  <c r="K56" i="46"/>
  <c r="K54" i="46"/>
  <c r="K53" i="46"/>
  <c r="K52" i="46"/>
  <c r="K51" i="46"/>
  <c r="K50" i="46"/>
  <c r="K49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0" i="46"/>
  <c r="K29" i="46"/>
  <c r="K28" i="46"/>
  <c r="K27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K7" i="46"/>
  <c r="L4" i="46"/>
  <c r="J98" i="46"/>
  <c r="J97" i="46"/>
  <c r="J96" i="46"/>
  <c r="J95" i="46"/>
  <c r="J94" i="46"/>
  <c r="J93" i="46"/>
  <c r="J92" i="46"/>
  <c r="J91" i="46"/>
  <c r="J90" i="46"/>
  <c r="J89" i="46"/>
  <c r="J88" i="46"/>
  <c r="J87" i="46"/>
  <c r="J86" i="46"/>
  <c r="J85" i="46"/>
  <c r="J84" i="46"/>
  <c r="J83" i="46"/>
  <c r="J82" i="46"/>
  <c r="J81" i="46"/>
  <c r="J80" i="46"/>
  <c r="J78" i="46"/>
  <c r="J77" i="46"/>
  <c r="J76" i="46"/>
  <c r="J75" i="46"/>
  <c r="J74" i="46"/>
  <c r="J73" i="46"/>
  <c r="J72" i="46"/>
  <c r="J71" i="46"/>
  <c r="J70" i="46"/>
  <c r="J69" i="46"/>
  <c r="J68" i="46"/>
  <c r="J67" i="46"/>
  <c r="J66" i="46"/>
  <c r="J64" i="46"/>
  <c r="J63" i="46"/>
  <c r="J62" i="46"/>
  <c r="J60" i="46"/>
  <c r="J59" i="46"/>
  <c r="J58" i="46"/>
  <c r="J57" i="46"/>
  <c r="J56" i="46"/>
  <c r="J54" i="46"/>
  <c r="J53" i="46"/>
  <c r="J52" i="46"/>
  <c r="J51" i="46"/>
  <c r="J50" i="46"/>
  <c r="J49" i="46"/>
  <c r="J47" i="46"/>
  <c r="J46" i="46"/>
  <c r="J45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J32" i="46"/>
  <c r="J30" i="46"/>
  <c r="J29" i="46"/>
  <c r="J28" i="46"/>
  <c r="J27" i="46"/>
  <c r="J25" i="46"/>
  <c r="J24" i="46"/>
  <c r="J23" i="46"/>
  <c r="J22" i="46"/>
  <c r="J21" i="46"/>
  <c r="J20" i="46"/>
  <c r="J19" i="46"/>
  <c r="J18" i="46"/>
  <c r="J17" i="46"/>
  <c r="J16" i="46"/>
  <c r="J15" i="46"/>
  <c r="J14" i="46"/>
  <c r="J13" i="46"/>
  <c r="J12" i="46"/>
  <c r="J11" i="46"/>
  <c r="J10" i="46"/>
  <c r="J9" i="46"/>
  <c r="J8" i="46"/>
  <c r="J7" i="46"/>
  <c r="X7" i="46"/>
  <c r="AD7" i="46" s="1"/>
  <c r="X8" i="46"/>
  <c r="X9" i="46"/>
  <c r="X10" i="46"/>
  <c r="X11" i="46"/>
  <c r="AD11" i="46" s="1"/>
  <c r="X12" i="46"/>
  <c r="X13" i="46"/>
  <c r="X27" i="46"/>
  <c r="X28" i="46"/>
  <c r="X29" i="46"/>
  <c r="X30" i="46"/>
  <c r="X44" i="46"/>
  <c r="X45" i="46"/>
  <c r="X46" i="46"/>
  <c r="X47" i="46"/>
  <c r="X52" i="46"/>
  <c r="X57" i="46"/>
  <c r="X58" i="46"/>
  <c r="X59" i="46"/>
  <c r="X60" i="46"/>
  <c r="AD60" i="46" s="1"/>
  <c r="X63" i="46"/>
  <c r="X66" i="46"/>
  <c r="X67" i="46"/>
  <c r="X75" i="46"/>
  <c r="AD75" i="46" s="1"/>
  <c r="X76" i="46"/>
  <c r="X77" i="46"/>
  <c r="X78" i="46"/>
  <c r="X80" i="46"/>
  <c r="X81" i="46"/>
  <c r="AD81" i="46" s="1"/>
  <c r="X82" i="46"/>
  <c r="X83" i="46"/>
  <c r="AD83" i="46" s="1"/>
  <c r="X84" i="46"/>
  <c r="AD84" i="46" s="1"/>
  <c r="X85" i="46"/>
  <c r="X86" i="46"/>
  <c r="X89" i="46"/>
  <c r="AD89" i="46" s="1"/>
  <c r="X90" i="46"/>
  <c r="AD90" i="46" s="1"/>
  <c r="X91" i="46"/>
  <c r="X92" i="46"/>
  <c r="AD92" i="46" s="1"/>
  <c r="X93" i="46"/>
  <c r="AD93" i="46" s="1"/>
  <c r="X94" i="46"/>
  <c r="X95" i="46"/>
  <c r="AD95" i="46" s="1"/>
  <c r="X96" i="46"/>
  <c r="AD96" i="46" s="1"/>
  <c r="AF52" i="44"/>
  <c r="X52" i="44"/>
  <c r="AF51" i="44"/>
  <c r="X51" i="44"/>
  <c r="AF50" i="44"/>
  <c r="X50" i="44"/>
  <c r="AG49" i="44"/>
  <c r="AA49" i="44"/>
  <c r="AH49" i="44"/>
  <c r="AG48" i="44"/>
  <c r="AA48" i="44"/>
  <c r="AH48" i="44"/>
  <c r="AG47" i="44"/>
  <c r="AA47" i="44"/>
  <c r="AH47" i="44"/>
  <c r="AG46" i="44"/>
  <c r="AA46" i="44"/>
  <c r="AH46" i="44"/>
  <c r="AG45" i="44"/>
  <c r="AA45" i="44"/>
  <c r="AH45" i="44"/>
  <c r="AG44" i="44"/>
  <c r="AA44" i="44"/>
  <c r="AH44" i="44"/>
  <c r="AG43" i="44"/>
  <c r="AA43" i="44"/>
  <c r="AH43" i="44"/>
  <c r="AG42" i="44"/>
  <c r="AA42" i="44"/>
  <c r="AH42" i="44"/>
  <c r="AG41" i="44"/>
  <c r="AA41" i="44"/>
  <c r="AH41" i="44"/>
  <c r="K5" i="58"/>
  <c r="K6" i="58"/>
  <c r="K8" i="58"/>
  <c r="K9" i="58"/>
  <c r="K10" i="58"/>
  <c r="K11" i="58"/>
  <c r="K13" i="58"/>
  <c r="K14" i="58"/>
  <c r="K16" i="58"/>
  <c r="K17" i="58"/>
  <c r="K18" i="58"/>
  <c r="K19" i="58"/>
  <c r="K20" i="58"/>
  <c r="K22" i="58"/>
  <c r="K24" i="58"/>
  <c r="K26" i="58"/>
  <c r="K5" i="57"/>
  <c r="K6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6" i="57"/>
  <c r="K67" i="57"/>
  <c r="K68" i="57"/>
  <c r="K69" i="57"/>
  <c r="K71" i="57"/>
  <c r="K72" i="57"/>
  <c r="K73" i="57"/>
  <c r="K74" i="57"/>
  <c r="K75" i="57"/>
  <c r="K76" i="57"/>
  <c r="K77" i="57"/>
  <c r="K78" i="57"/>
  <c r="K79" i="57"/>
  <c r="K80" i="57"/>
  <c r="K81" i="57"/>
  <c r="K82" i="57"/>
  <c r="K83" i="57"/>
  <c r="K84" i="57"/>
  <c r="K86" i="57"/>
  <c r="K87" i="57"/>
  <c r="K89" i="57"/>
  <c r="K90" i="57"/>
  <c r="K91" i="57"/>
  <c r="K93" i="57"/>
  <c r="K140" i="14"/>
  <c r="O112" i="14"/>
  <c r="N112" i="14"/>
  <c r="K139" i="14"/>
  <c r="O111" i="14"/>
  <c r="N111" i="14"/>
  <c r="K138" i="14"/>
  <c r="O110" i="14"/>
  <c r="N110" i="14"/>
  <c r="K137" i="14"/>
  <c r="O109" i="14"/>
  <c r="N109" i="14"/>
  <c r="K136" i="14"/>
  <c r="O108" i="14"/>
  <c r="N108" i="14"/>
  <c r="K135" i="14"/>
  <c r="O107" i="14"/>
  <c r="N107" i="14"/>
  <c r="K134" i="14"/>
  <c r="O106" i="14"/>
  <c r="N106" i="14"/>
  <c r="K133" i="14"/>
  <c r="O105" i="14"/>
  <c r="N105" i="14"/>
  <c r="K132" i="14"/>
  <c r="O104" i="14"/>
  <c r="N104" i="14"/>
  <c r="K131" i="14"/>
  <c r="O103" i="14"/>
  <c r="N103" i="14"/>
  <c r="K130" i="14"/>
  <c r="O102" i="14"/>
  <c r="N102" i="14"/>
  <c r="K129" i="14"/>
  <c r="O101" i="14"/>
  <c r="N101" i="14"/>
  <c r="K128" i="14"/>
  <c r="O100" i="14"/>
  <c r="N100" i="14"/>
  <c r="K127" i="14"/>
  <c r="O99" i="14"/>
  <c r="N99" i="14"/>
  <c r="K126" i="14"/>
  <c r="O98" i="14"/>
  <c r="N98" i="14"/>
  <c r="K125" i="14"/>
  <c r="O97" i="14"/>
  <c r="N97" i="14"/>
  <c r="K124" i="14"/>
  <c r="O96" i="14"/>
  <c r="N96" i="14"/>
  <c r="K123" i="14"/>
  <c r="O95" i="14"/>
  <c r="N95" i="14"/>
  <c r="K122" i="14"/>
  <c r="O94" i="14"/>
  <c r="N94" i="14"/>
  <c r="K121" i="14"/>
  <c r="O93" i="14"/>
  <c r="N93" i="14"/>
  <c r="K120" i="14"/>
  <c r="O92" i="14"/>
  <c r="N92" i="14"/>
  <c r="C16" i="51"/>
  <c r="I16" i="51" s="1"/>
  <c r="C15" i="51"/>
  <c r="I15" i="51" s="1"/>
  <c r="C14" i="51"/>
  <c r="I14" i="51" s="1"/>
  <c r="M4" i="51"/>
  <c r="M4" i="49"/>
  <c r="M4" i="34"/>
  <c r="A13" i="35"/>
  <c r="G13" i="35" s="1"/>
  <c r="A12" i="35"/>
  <c r="G12" i="35" s="1"/>
  <c r="A11" i="35"/>
  <c r="G11" i="35" s="1"/>
  <c r="A10" i="35"/>
  <c r="G10" i="35" s="1"/>
  <c r="A9" i="35"/>
  <c r="G9" i="35" s="1"/>
  <c r="A7" i="35"/>
  <c r="G7" i="35" s="1"/>
  <c r="A6" i="35"/>
  <c r="G6" i="35" s="1"/>
  <c r="A5" i="35"/>
  <c r="G5" i="35" s="1"/>
  <c r="A4" i="35"/>
  <c r="G4" i="35" s="1"/>
  <c r="P38" i="54"/>
  <c r="P37" i="54"/>
  <c r="P39" i="54" s="1"/>
  <c r="G14" i="35" l="1"/>
  <c r="N5" i="60" s="1"/>
  <c r="AH20" i="45"/>
  <c r="AH25" i="45"/>
  <c r="AH18" i="45"/>
  <c r="H4" i="59"/>
  <c r="AH8" i="45"/>
  <c r="AH26" i="45"/>
  <c r="AH23" i="45"/>
  <c r="AH45" i="45"/>
  <c r="AH22" i="45"/>
  <c r="AD28" i="46"/>
  <c r="AD46" i="46"/>
  <c r="AD8" i="46"/>
  <c r="AD82" i="46"/>
  <c r="AD91" i="46"/>
  <c r="AD94" i="46"/>
  <c r="AD85" i="46"/>
  <c r="D5" i="59"/>
  <c r="D4" i="59"/>
  <c r="P40" i="54"/>
  <c r="N13" i="52"/>
  <c r="C33" i="34"/>
  <c r="I33" i="34" s="1"/>
  <c r="C32" i="34"/>
  <c r="I32" i="34" s="1"/>
  <c r="C31" i="34"/>
  <c r="I31" i="34" s="1"/>
  <c r="C30" i="34"/>
  <c r="I30" i="34" s="1"/>
  <c r="C29" i="34"/>
  <c r="I29" i="34" s="1"/>
  <c r="C28" i="34"/>
  <c r="I28" i="34" s="1"/>
  <c r="C27" i="34"/>
  <c r="I27" i="34" s="1"/>
  <c r="C26" i="34"/>
  <c r="I26" i="34" s="1"/>
  <c r="C25" i="34"/>
  <c r="I25" i="34" s="1"/>
  <c r="C24" i="34"/>
  <c r="I24" i="34" s="1"/>
  <c r="C22" i="34"/>
  <c r="I22" i="34" s="1"/>
  <c r="C21" i="34"/>
  <c r="I21" i="34" s="1"/>
  <c r="C20" i="34"/>
  <c r="I20" i="34" s="1"/>
  <c r="C19" i="34"/>
  <c r="I19" i="34" s="1"/>
  <c r="C17" i="34"/>
  <c r="I17" i="34" s="1"/>
  <c r="C16" i="34"/>
  <c r="I16" i="34" s="1"/>
  <c r="C15" i="34"/>
  <c r="I15" i="34" s="1"/>
  <c r="C13" i="34"/>
  <c r="I13" i="34" s="1"/>
  <c r="C12" i="34"/>
  <c r="I12" i="34" s="1"/>
  <c r="C11" i="34"/>
  <c r="I11" i="34" s="1"/>
  <c r="C10" i="34"/>
  <c r="I10" i="34" s="1"/>
  <c r="C9" i="34"/>
  <c r="I9" i="34" s="1"/>
  <c r="C8" i="34"/>
  <c r="I8" i="34" s="1"/>
  <c r="C7" i="34"/>
  <c r="I7" i="34" s="1"/>
  <c r="C6" i="34"/>
  <c r="I6" i="34" s="1"/>
  <c r="C5" i="34"/>
  <c r="I5" i="34" s="1"/>
  <c r="C4" i="34"/>
  <c r="I4" i="34" s="1"/>
  <c r="C89" i="49"/>
  <c r="I89" i="49" s="1"/>
  <c r="C88" i="49"/>
  <c r="I88" i="49" s="1"/>
  <c r="C87" i="49"/>
  <c r="I87" i="49" s="1"/>
  <c r="C86" i="49"/>
  <c r="I86" i="49" s="1"/>
  <c r="C85" i="49"/>
  <c r="I85" i="49" s="1"/>
  <c r="C84" i="49"/>
  <c r="I84" i="49" s="1"/>
  <c r="C83" i="49"/>
  <c r="I83" i="49" s="1"/>
  <c r="C82" i="49"/>
  <c r="I82" i="49" s="1"/>
  <c r="C81" i="49"/>
  <c r="I81" i="49" s="1"/>
  <c r="C80" i="49"/>
  <c r="I80" i="49" s="1"/>
  <c r="C79" i="49"/>
  <c r="I79" i="49" s="1"/>
  <c r="C78" i="49"/>
  <c r="I78" i="49" s="1"/>
  <c r="C77" i="49"/>
  <c r="I77" i="49" s="1"/>
  <c r="C76" i="49"/>
  <c r="I76" i="49" s="1"/>
  <c r="C75" i="49"/>
  <c r="I75" i="49" s="1"/>
  <c r="C74" i="49"/>
  <c r="I74" i="49" s="1"/>
  <c r="C73" i="49"/>
  <c r="I73" i="49" s="1"/>
  <c r="C72" i="49"/>
  <c r="I72" i="49" s="1"/>
  <c r="C71" i="49"/>
  <c r="I71" i="49" s="1"/>
  <c r="C70" i="49"/>
  <c r="I70" i="49" s="1"/>
  <c r="C69" i="49"/>
  <c r="I69" i="49" s="1"/>
  <c r="C68" i="49"/>
  <c r="I68" i="49" s="1"/>
  <c r="C67" i="49"/>
  <c r="I67" i="49" s="1"/>
  <c r="C66" i="49"/>
  <c r="I66" i="49" s="1"/>
  <c r="C65" i="49"/>
  <c r="I65" i="49" s="1"/>
  <c r="C64" i="49"/>
  <c r="I64" i="49" s="1"/>
  <c r="C63" i="49"/>
  <c r="I63" i="49" s="1"/>
  <c r="C62" i="49"/>
  <c r="I62" i="49" s="1"/>
  <c r="C60" i="49"/>
  <c r="I60" i="49" s="1"/>
  <c r="C59" i="49"/>
  <c r="I59" i="49" s="1"/>
  <c r="C58" i="49"/>
  <c r="I58" i="49" s="1"/>
  <c r="C57" i="49"/>
  <c r="I57" i="49" s="1"/>
  <c r="C56" i="49"/>
  <c r="I56" i="49" s="1"/>
  <c r="C55" i="49"/>
  <c r="I55" i="49" s="1"/>
  <c r="C54" i="49"/>
  <c r="I54" i="49" s="1"/>
  <c r="C53" i="49"/>
  <c r="I53" i="49" s="1"/>
  <c r="C52" i="49"/>
  <c r="I52" i="49" s="1"/>
  <c r="C51" i="49"/>
  <c r="I51" i="49" s="1"/>
  <c r="C49" i="49"/>
  <c r="I49" i="49" s="1"/>
  <c r="C48" i="49"/>
  <c r="I48" i="49" s="1"/>
  <c r="C47" i="49"/>
  <c r="I47" i="49" s="1"/>
  <c r="C46" i="49"/>
  <c r="I46" i="49" s="1"/>
  <c r="C45" i="49"/>
  <c r="I45" i="49" s="1"/>
  <c r="C44" i="49"/>
  <c r="I44" i="49" s="1"/>
  <c r="C43" i="49"/>
  <c r="I43" i="49" s="1"/>
  <c r="C42" i="49"/>
  <c r="I42" i="49" s="1"/>
  <c r="C40" i="49"/>
  <c r="I40" i="49" s="1"/>
  <c r="C39" i="49"/>
  <c r="I39" i="49" s="1"/>
  <c r="C38" i="49"/>
  <c r="I38" i="49" s="1"/>
  <c r="C37" i="49"/>
  <c r="I37" i="49" s="1"/>
  <c r="C36" i="49"/>
  <c r="I36" i="49" s="1"/>
  <c r="C35" i="49"/>
  <c r="I35" i="49" s="1"/>
  <c r="C34" i="49"/>
  <c r="I34" i="49" s="1"/>
  <c r="C33" i="49"/>
  <c r="I33" i="49" s="1"/>
  <c r="C32" i="49"/>
  <c r="I32" i="49" s="1"/>
  <c r="C31" i="49"/>
  <c r="I31" i="49" s="1"/>
  <c r="C29" i="49"/>
  <c r="I29" i="49" s="1"/>
  <c r="C28" i="49"/>
  <c r="I28" i="49" s="1"/>
  <c r="C27" i="49"/>
  <c r="I27" i="49" s="1"/>
  <c r="C26" i="49"/>
  <c r="I26" i="49" s="1"/>
  <c r="C24" i="49"/>
  <c r="I24" i="49" s="1"/>
  <c r="C23" i="49"/>
  <c r="I23" i="49" s="1"/>
  <c r="C22" i="49"/>
  <c r="I22" i="49" s="1"/>
  <c r="C21" i="49"/>
  <c r="I21" i="49" s="1"/>
  <c r="C20" i="49"/>
  <c r="I20" i="49" s="1"/>
  <c r="C19" i="49"/>
  <c r="I19" i="49" s="1"/>
  <c r="C18" i="49"/>
  <c r="I18" i="49" s="1"/>
  <c r="C17" i="49"/>
  <c r="I17" i="49" s="1"/>
  <c r="C16" i="49"/>
  <c r="I16" i="49" s="1"/>
  <c r="C15" i="49"/>
  <c r="I15" i="49" s="1"/>
  <c r="C14" i="49"/>
  <c r="I14" i="49" s="1"/>
  <c r="C13" i="49"/>
  <c r="I13" i="49" s="1"/>
  <c r="C12" i="49"/>
  <c r="I12" i="49" s="1"/>
  <c r="C11" i="49"/>
  <c r="I11" i="49" s="1"/>
  <c r="C10" i="49"/>
  <c r="I10" i="49" s="1"/>
  <c r="C9" i="49"/>
  <c r="I9" i="49" s="1"/>
  <c r="C8" i="49"/>
  <c r="I8" i="49" s="1"/>
  <c r="C7" i="49"/>
  <c r="I7" i="49" s="1"/>
  <c r="C6" i="49"/>
  <c r="I6" i="49" s="1"/>
  <c r="C5" i="49"/>
  <c r="I5" i="49" s="1"/>
  <c r="C4" i="49"/>
  <c r="I4" i="49" s="1"/>
  <c r="C10" i="51"/>
  <c r="C7" i="51"/>
  <c r="C6" i="51"/>
  <c r="I6" i="51" s="1"/>
  <c r="K148" i="14"/>
  <c r="O120" i="14"/>
  <c r="N120" i="14"/>
  <c r="K149" i="14"/>
  <c r="O121" i="14"/>
  <c r="N121" i="14"/>
  <c r="K150" i="14"/>
  <c r="O122" i="14"/>
  <c r="N122" i="14"/>
  <c r="K151" i="14"/>
  <c r="O123" i="14"/>
  <c r="N123" i="14"/>
  <c r="K152" i="14"/>
  <c r="O124" i="14"/>
  <c r="N124" i="14"/>
  <c r="K153" i="14"/>
  <c r="O125" i="14"/>
  <c r="N125" i="14"/>
  <c r="K154" i="14"/>
  <c r="O126" i="14"/>
  <c r="N126" i="14"/>
  <c r="K155" i="14"/>
  <c r="O127" i="14"/>
  <c r="N127" i="14"/>
  <c r="K156" i="14"/>
  <c r="O128" i="14"/>
  <c r="N128" i="14"/>
  <c r="K157" i="14"/>
  <c r="O129" i="14"/>
  <c r="N129" i="14"/>
  <c r="K158" i="14"/>
  <c r="O130" i="14"/>
  <c r="N130" i="14"/>
  <c r="K159" i="14"/>
  <c r="O131" i="14"/>
  <c r="N131" i="14"/>
  <c r="K160" i="14"/>
  <c r="O132" i="14"/>
  <c r="N132" i="14"/>
  <c r="K161" i="14"/>
  <c r="O133" i="14"/>
  <c r="N133" i="14"/>
  <c r="K162" i="14"/>
  <c r="O134" i="14"/>
  <c r="N134" i="14"/>
  <c r="K163" i="14"/>
  <c r="O135" i="14"/>
  <c r="N135" i="14"/>
  <c r="K164" i="14"/>
  <c r="O136" i="14"/>
  <c r="N136" i="14"/>
  <c r="K165" i="14"/>
  <c r="O137" i="14"/>
  <c r="N137" i="14"/>
  <c r="K166" i="14"/>
  <c r="O138" i="14"/>
  <c r="N138" i="14"/>
  <c r="K167" i="14"/>
  <c r="O139" i="14"/>
  <c r="N139" i="14"/>
  <c r="K168" i="14"/>
  <c r="O140" i="14"/>
  <c r="N140" i="14"/>
  <c r="U93" i="57"/>
  <c r="T93" i="57"/>
  <c r="S93" i="57"/>
  <c r="R93" i="57"/>
  <c r="Q93" i="57"/>
  <c r="P93" i="57"/>
  <c r="O93" i="57"/>
  <c r="N93" i="57"/>
  <c r="M93" i="57"/>
  <c r="L93" i="57"/>
  <c r="F93" i="43"/>
  <c r="U91" i="57"/>
  <c r="T91" i="57"/>
  <c r="S91" i="57"/>
  <c r="R91" i="57"/>
  <c r="Q91" i="57"/>
  <c r="P91" i="57"/>
  <c r="O91" i="57"/>
  <c r="N91" i="57"/>
  <c r="M91" i="57"/>
  <c r="L91" i="57"/>
  <c r="F91" i="43"/>
  <c r="U90" i="57"/>
  <c r="T90" i="57"/>
  <c r="S90" i="57"/>
  <c r="R90" i="57"/>
  <c r="Q90" i="57"/>
  <c r="P90" i="57"/>
  <c r="O90" i="57"/>
  <c r="N90" i="57"/>
  <c r="M90" i="57"/>
  <c r="L90" i="57"/>
  <c r="F90" i="43"/>
  <c r="U89" i="57"/>
  <c r="T89" i="57"/>
  <c r="S89" i="57"/>
  <c r="R89" i="57"/>
  <c r="Q89" i="57"/>
  <c r="P89" i="57"/>
  <c r="O89" i="57"/>
  <c r="N89" i="57"/>
  <c r="M89" i="57"/>
  <c r="L89" i="57"/>
  <c r="F89" i="43"/>
  <c r="U87" i="57"/>
  <c r="T87" i="57"/>
  <c r="S87" i="57"/>
  <c r="R87" i="57"/>
  <c r="Q87" i="57"/>
  <c r="P87" i="57"/>
  <c r="O87" i="57"/>
  <c r="N87" i="57"/>
  <c r="M87" i="57"/>
  <c r="L87" i="57"/>
  <c r="F87" i="43"/>
  <c r="U86" i="57"/>
  <c r="T86" i="57"/>
  <c r="S86" i="57"/>
  <c r="R86" i="57"/>
  <c r="Q86" i="57"/>
  <c r="P86" i="57"/>
  <c r="O86" i="57"/>
  <c r="N86" i="57"/>
  <c r="M86" i="57"/>
  <c r="L86" i="57"/>
  <c r="F86" i="43"/>
  <c r="U84" i="57"/>
  <c r="T84" i="57"/>
  <c r="S84" i="57"/>
  <c r="R84" i="57"/>
  <c r="Q84" i="57"/>
  <c r="P84" i="57"/>
  <c r="O84" i="57"/>
  <c r="N84" i="57"/>
  <c r="M84" i="57"/>
  <c r="L84" i="57"/>
  <c r="F84" i="43"/>
  <c r="U83" i="57"/>
  <c r="T83" i="57"/>
  <c r="S83" i="57"/>
  <c r="R83" i="57"/>
  <c r="Q83" i="57"/>
  <c r="P83" i="57"/>
  <c r="O83" i="57"/>
  <c r="N83" i="57"/>
  <c r="M83" i="57"/>
  <c r="L83" i="57"/>
  <c r="F83" i="43"/>
  <c r="U82" i="57"/>
  <c r="T82" i="57"/>
  <c r="S82" i="57"/>
  <c r="R82" i="57"/>
  <c r="Q82" i="57"/>
  <c r="P82" i="57"/>
  <c r="O82" i="57"/>
  <c r="N82" i="57"/>
  <c r="M82" i="57"/>
  <c r="L82" i="57"/>
  <c r="F82" i="43"/>
  <c r="U81" i="57"/>
  <c r="T81" i="57"/>
  <c r="S81" i="57"/>
  <c r="R81" i="57"/>
  <c r="Q81" i="57"/>
  <c r="P81" i="57"/>
  <c r="O81" i="57"/>
  <c r="N81" i="57"/>
  <c r="M81" i="57"/>
  <c r="L81" i="57"/>
  <c r="F81" i="43"/>
  <c r="U80" i="57"/>
  <c r="T80" i="57"/>
  <c r="S80" i="57"/>
  <c r="R80" i="57"/>
  <c r="Q80" i="57"/>
  <c r="P80" i="57"/>
  <c r="O80" i="57"/>
  <c r="N80" i="57"/>
  <c r="M80" i="57"/>
  <c r="L80" i="57"/>
  <c r="F80" i="43"/>
  <c r="U79" i="57"/>
  <c r="T79" i="57"/>
  <c r="S79" i="57"/>
  <c r="R79" i="57"/>
  <c r="Q79" i="57"/>
  <c r="P79" i="57"/>
  <c r="O79" i="57"/>
  <c r="N79" i="57"/>
  <c r="M79" i="57"/>
  <c r="L79" i="57"/>
  <c r="F79" i="43"/>
  <c r="U78" i="57"/>
  <c r="T78" i="57"/>
  <c r="S78" i="57"/>
  <c r="R78" i="57"/>
  <c r="Q78" i="57"/>
  <c r="P78" i="57"/>
  <c r="O78" i="57"/>
  <c r="N78" i="57"/>
  <c r="M78" i="57"/>
  <c r="L78" i="57"/>
  <c r="F78" i="43"/>
  <c r="U77" i="57"/>
  <c r="T77" i="57"/>
  <c r="S77" i="57"/>
  <c r="R77" i="57"/>
  <c r="Q77" i="57"/>
  <c r="P77" i="57"/>
  <c r="O77" i="57"/>
  <c r="N77" i="57"/>
  <c r="M77" i="57"/>
  <c r="L77" i="57"/>
  <c r="F77" i="43"/>
  <c r="U76" i="57"/>
  <c r="T76" i="57"/>
  <c r="S76" i="57"/>
  <c r="R76" i="57"/>
  <c r="Q76" i="57"/>
  <c r="P76" i="57"/>
  <c r="O76" i="57"/>
  <c r="N76" i="57"/>
  <c r="M76" i="57"/>
  <c r="L76" i="57"/>
  <c r="F76" i="43"/>
  <c r="U75" i="57"/>
  <c r="T75" i="57"/>
  <c r="S75" i="57"/>
  <c r="R75" i="57"/>
  <c r="Q75" i="57"/>
  <c r="P75" i="57"/>
  <c r="O75" i="57"/>
  <c r="N75" i="57"/>
  <c r="M75" i="57"/>
  <c r="L75" i="57"/>
  <c r="F75" i="43"/>
  <c r="U74" i="57"/>
  <c r="T74" i="57"/>
  <c r="S74" i="57"/>
  <c r="R74" i="57"/>
  <c r="Q74" i="57"/>
  <c r="P74" i="57"/>
  <c r="O74" i="57"/>
  <c r="N74" i="57"/>
  <c r="M74" i="57"/>
  <c r="L74" i="57"/>
  <c r="F74" i="43"/>
  <c r="U73" i="57"/>
  <c r="T73" i="57"/>
  <c r="S73" i="57"/>
  <c r="R73" i="57"/>
  <c r="Q73" i="57"/>
  <c r="P73" i="57"/>
  <c r="O73" i="57"/>
  <c r="N73" i="57"/>
  <c r="M73" i="57"/>
  <c r="L73" i="57"/>
  <c r="F73" i="43"/>
  <c r="U72" i="57"/>
  <c r="T72" i="57"/>
  <c r="S72" i="57"/>
  <c r="R72" i="57"/>
  <c r="Q72" i="57"/>
  <c r="P72" i="57"/>
  <c r="O72" i="57"/>
  <c r="N72" i="57"/>
  <c r="M72" i="57"/>
  <c r="L72" i="57"/>
  <c r="F72" i="43"/>
  <c r="U71" i="57"/>
  <c r="T71" i="57"/>
  <c r="S71" i="57"/>
  <c r="R71" i="57"/>
  <c r="Q71" i="57"/>
  <c r="P71" i="57"/>
  <c r="O71" i="57"/>
  <c r="N71" i="57"/>
  <c r="M71" i="57"/>
  <c r="L71" i="57"/>
  <c r="F71" i="43"/>
  <c r="U69" i="57"/>
  <c r="T69" i="57"/>
  <c r="S69" i="57"/>
  <c r="R69" i="57"/>
  <c r="Q69" i="57"/>
  <c r="P69" i="57"/>
  <c r="O69" i="57"/>
  <c r="N69" i="57"/>
  <c r="M69" i="57"/>
  <c r="L69" i="57"/>
  <c r="F69" i="43"/>
  <c r="U68" i="57"/>
  <c r="T68" i="57"/>
  <c r="S68" i="57"/>
  <c r="R68" i="57"/>
  <c r="Q68" i="57"/>
  <c r="P68" i="57"/>
  <c r="O68" i="57"/>
  <c r="N68" i="57"/>
  <c r="M68" i="57"/>
  <c r="L68" i="57"/>
  <c r="F68" i="43"/>
  <c r="U67" i="57"/>
  <c r="T67" i="57"/>
  <c r="S67" i="57"/>
  <c r="R67" i="57"/>
  <c r="Q67" i="57"/>
  <c r="P67" i="57"/>
  <c r="O67" i="57"/>
  <c r="N67" i="57"/>
  <c r="M67" i="57"/>
  <c r="L67" i="57"/>
  <c r="F67" i="43"/>
  <c r="U66" i="57"/>
  <c r="T66" i="57"/>
  <c r="S66" i="57"/>
  <c r="R66" i="57"/>
  <c r="Q66" i="57"/>
  <c r="P66" i="57"/>
  <c r="O66" i="57"/>
  <c r="N66" i="57"/>
  <c r="M66" i="57"/>
  <c r="L66" i="57"/>
  <c r="F66" i="43"/>
  <c r="U64" i="57"/>
  <c r="T64" i="57"/>
  <c r="S64" i="57"/>
  <c r="R64" i="57"/>
  <c r="Q64" i="57"/>
  <c r="P64" i="57"/>
  <c r="O64" i="57"/>
  <c r="N64" i="57"/>
  <c r="M64" i="57"/>
  <c r="L64" i="57"/>
  <c r="F64" i="43"/>
  <c r="U63" i="57"/>
  <c r="T63" i="57"/>
  <c r="S63" i="57"/>
  <c r="R63" i="57"/>
  <c r="Q63" i="57"/>
  <c r="P63" i="57"/>
  <c r="O63" i="57"/>
  <c r="N63" i="57"/>
  <c r="M63" i="57"/>
  <c r="L63" i="57"/>
  <c r="F63" i="43"/>
  <c r="U62" i="57"/>
  <c r="T62" i="57"/>
  <c r="S62" i="57"/>
  <c r="R62" i="57"/>
  <c r="Q62" i="57"/>
  <c r="P62" i="57"/>
  <c r="O62" i="57"/>
  <c r="N62" i="57"/>
  <c r="M62" i="57"/>
  <c r="L62" i="57"/>
  <c r="F62" i="43"/>
  <c r="U61" i="57"/>
  <c r="T61" i="57"/>
  <c r="S61" i="57"/>
  <c r="R61" i="57"/>
  <c r="Q61" i="57"/>
  <c r="P61" i="57"/>
  <c r="O61" i="57"/>
  <c r="N61" i="57"/>
  <c r="M61" i="57"/>
  <c r="L61" i="57"/>
  <c r="F61" i="43"/>
  <c r="U60" i="57"/>
  <c r="T60" i="57"/>
  <c r="S60" i="57"/>
  <c r="R60" i="57"/>
  <c r="Q60" i="57"/>
  <c r="P60" i="57"/>
  <c r="O60" i="57"/>
  <c r="N60" i="57"/>
  <c r="M60" i="57"/>
  <c r="L60" i="57"/>
  <c r="F60" i="43"/>
  <c r="U59" i="57"/>
  <c r="T59" i="57"/>
  <c r="S59" i="57"/>
  <c r="R59" i="57"/>
  <c r="Q59" i="57"/>
  <c r="P59" i="57"/>
  <c r="O59" i="57"/>
  <c r="N59" i="57"/>
  <c r="M59" i="57"/>
  <c r="L59" i="57"/>
  <c r="F59" i="43"/>
  <c r="U58" i="57"/>
  <c r="T58" i="57"/>
  <c r="S58" i="57"/>
  <c r="R58" i="57"/>
  <c r="Q58" i="57"/>
  <c r="P58" i="57"/>
  <c r="O58" i="57"/>
  <c r="N58" i="57"/>
  <c r="M58" i="57"/>
  <c r="L58" i="57"/>
  <c r="F58" i="43"/>
  <c r="U57" i="57"/>
  <c r="T57" i="57"/>
  <c r="S57" i="57"/>
  <c r="R57" i="57"/>
  <c r="Q57" i="57"/>
  <c r="P57" i="57"/>
  <c r="O57" i="57"/>
  <c r="N57" i="57"/>
  <c r="M57" i="57"/>
  <c r="L57" i="57"/>
  <c r="F57" i="43"/>
  <c r="U56" i="57"/>
  <c r="T56" i="57"/>
  <c r="S56" i="57"/>
  <c r="R56" i="57"/>
  <c r="Q56" i="57"/>
  <c r="P56" i="57"/>
  <c r="O56" i="57"/>
  <c r="N56" i="57"/>
  <c r="M56" i="57"/>
  <c r="L56" i="57"/>
  <c r="F56" i="43"/>
  <c r="U55" i="57"/>
  <c r="T55" i="57"/>
  <c r="S55" i="57"/>
  <c r="R55" i="57"/>
  <c r="Q55" i="57"/>
  <c r="P55" i="57"/>
  <c r="O55" i="57"/>
  <c r="N55" i="57"/>
  <c r="M55" i="57"/>
  <c r="L55" i="57"/>
  <c r="F55" i="43"/>
  <c r="U54" i="57"/>
  <c r="T54" i="57"/>
  <c r="S54" i="57"/>
  <c r="R54" i="57"/>
  <c r="Q54" i="57"/>
  <c r="P54" i="57"/>
  <c r="O54" i="57"/>
  <c r="N54" i="57"/>
  <c r="M54" i="57"/>
  <c r="L54" i="57"/>
  <c r="F54" i="43"/>
  <c r="U53" i="57"/>
  <c r="T53" i="57"/>
  <c r="S53" i="57"/>
  <c r="R53" i="57"/>
  <c r="Q53" i="57"/>
  <c r="P53" i="57"/>
  <c r="O53" i="57"/>
  <c r="N53" i="57"/>
  <c r="M53" i="57"/>
  <c r="L53" i="57"/>
  <c r="F53" i="43"/>
  <c r="U52" i="57"/>
  <c r="T52" i="57"/>
  <c r="S52" i="57"/>
  <c r="R52" i="57"/>
  <c r="Q52" i="57"/>
  <c r="P52" i="57"/>
  <c r="O52" i="57"/>
  <c r="N52" i="57"/>
  <c r="M52" i="57"/>
  <c r="L52" i="57"/>
  <c r="F52" i="43"/>
  <c r="U51" i="57"/>
  <c r="T51" i="57"/>
  <c r="S51" i="57"/>
  <c r="R51" i="57"/>
  <c r="Q51" i="57"/>
  <c r="P51" i="57"/>
  <c r="O51" i="57"/>
  <c r="N51" i="57"/>
  <c r="M51" i="57"/>
  <c r="L51" i="57"/>
  <c r="F51" i="43"/>
  <c r="U50" i="57"/>
  <c r="T50" i="57"/>
  <c r="S50" i="57"/>
  <c r="R50" i="57"/>
  <c r="Q50" i="57"/>
  <c r="P50" i="57"/>
  <c r="O50" i="57"/>
  <c r="N50" i="57"/>
  <c r="M50" i="57"/>
  <c r="L50" i="57"/>
  <c r="F50" i="43"/>
  <c r="U49" i="57"/>
  <c r="T49" i="57"/>
  <c r="S49" i="57"/>
  <c r="R49" i="57"/>
  <c r="Q49" i="57"/>
  <c r="P49" i="57"/>
  <c r="O49" i="57"/>
  <c r="N49" i="57"/>
  <c r="M49" i="57"/>
  <c r="L49" i="57"/>
  <c r="F49" i="43"/>
  <c r="U48" i="57"/>
  <c r="T48" i="57"/>
  <c r="S48" i="57"/>
  <c r="R48" i="57"/>
  <c r="Q48" i="57"/>
  <c r="P48" i="57"/>
  <c r="O48" i="57"/>
  <c r="N48" i="57"/>
  <c r="M48" i="57"/>
  <c r="L48" i="57"/>
  <c r="F48" i="43"/>
  <c r="U47" i="57"/>
  <c r="T47" i="57"/>
  <c r="S47" i="57"/>
  <c r="R47" i="57"/>
  <c r="Q47" i="57"/>
  <c r="P47" i="57"/>
  <c r="O47" i="57"/>
  <c r="N47" i="57"/>
  <c r="M47" i="57"/>
  <c r="L47" i="57"/>
  <c r="F47" i="43"/>
  <c r="U46" i="57"/>
  <c r="T46" i="57"/>
  <c r="S46" i="57"/>
  <c r="R46" i="57"/>
  <c r="Q46" i="57"/>
  <c r="P46" i="57"/>
  <c r="O46" i="57"/>
  <c r="N46" i="57"/>
  <c r="M46" i="57"/>
  <c r="L46" i="57"/>
  <c r="F46" i="43"/>
  <c r="U45" i="57"/>
  <c r="T45" i="57"/>
  <c r="S45" i="57"/>
  <c r="R45" i="57"/>
  <c r="Q45" i="57"/>
  <c r="P45" i="57"/>
  <c r="O45" i="57"/>
  <c r="N45" i="57"/>
  <c r="M45" i="57"/>
  <c r="L45" i="57"/>
  <c r="F45" i="43"/>
  <c r="U44" i="57"/>
  <c r="T44" i="57"/>
  <c r="S44" i="57"/>
  <c r="R44" i="57"/>
  <c r="Q44" i="57"/>
  <c r="P44" i="57"/>
  <c r="O44" i="57"/>
  <c r="N44" i="57"/>
  <c r="M44" i="57"/>
  <c r="L44" i="57"/>
  <c r="F44" i="43"/>
  <c r="U43" i="57"/>
  <c r="T43" i="57"/>
  <c r="S43" i="57"/>
  <c r="R43" i="57"/>
  <c r="Q43" i="57"/>
  <c r="P43" i="57"/>
  <c r="O43" i="57"/>
  <c r="N43" i="57"/>
  <c r="M43" i="57"/>
  <c r="L43" i="57"/>
  <c r="F43" i="43"/>
  <c r="U42" i="57"/>
  <c r="T42" i="57"/>
  <c r="S42" i="57"/>
  <c r="R42" i="57"/>
  <c r="Q42" i="57"/>
  <c r="P42" i="57"/>
  <c r="O42" i="57"/>
  <c r="N42" i="57"/>
  <c r="M42" i="57"/>
  <c r="L42" i="57"/>
  <c r="F42" i="43"/>
  <c r="U41" i="57"/>
  <c r="T41" i="57"/>
  <c r="S41" i="57"/>
  <c r="R41" i="57"/>
  <c r="Q41" i="57"/>
  <c r="P41" i="57"/>
  <c r="O41" i="57"/>
  <c r="N41" i="57"/>
  <c r="M41" i="57"/>
  <c r="L41" i="57"/>
  <c r="F41" i="43"/>
  <c r="U40" i="57"/>
  <c r="T40" i="57"/>
  <c r="S40" i="57"/>
  <c r="R40" i="57"/>
  <c r="Q40" i="57"/>
  <c r="P40" i="57"/>
  <c r="O40" i="57"/>
  <c r="N40" i="57"/>
  <c r="M40" i="57"/>
  <c r="L40" i="57"/>
  <c r="F40" i="43"/>
  <c r="U39" i="57"/>
  <c r="T39" i="57"/>
  <c r="S39" i="57"/>
  <c r="R39" i="57"/>
  <c r="Q39" i="57"/>
  <c r="P39" i="57"/>
  <c r="O39" i="57"/>
  <c r="N39" i="57"/>
  <c r="M39" i="57"/>
  <c r="L39" i="57"/>
  <c r="F39" i="43"/>
  <c r="U38" i="57"/>
  <c r="T38" i="57"/>
  <c r="S38" i="57"/>
  <c r="R38" i="57"/>
  <c r="Q38" i="57"/>
  <c r="P38" i="57"/>
  <c r="O38" i="57"/>
  <c r="N38" i="57"/>
  <c r="M38" i="57"/>
  <c r="L38" i="57"/>
  <c r="F38" i="43"/>
  <c r="U37" i="57"/>
  <c r="T37" i="57"/>
  <c r="S37" i="57"/>
  <c r="R37" i="57"/>
  <c r="Q37" i="57"/>
  <c r="P37" i="57"/>
  <c r="O37" i="57"/>
  <c r="N37" i="57"/>
  <c r="M37" i="57"/>
  <c r="L37" i="57"/>
  <c r="F37" i="43"/>
  <c r="U36" i="57"/>
  <c r="T36" i="57"/>
  <c r="S36" i="57"/>
  <c r="R36" i="57"/>
  <c r="Q36" i="57"/>
  <c r="P36" i="57"/>
  <c r="O36" i="57"/>
  <c r="N36" i="57"/>
  <c r="M36" i="57"/>
  <c r="L36" i="57"/>
  <c r="F36" i="43"/>
  <c r="U35" i="57"/>
  <c r="T35" i="57"/>
  <c r="S35" i="57"/>
  <c r="R35" i="57"/>
  <c r="Q35" i="57"/>
  <c r="P35" i="57"/>
  <c r="O35" i="57"/>
  <c r="N35" i="57"/>
  <c r="M35" i="57"/>
  <c r="L35" i="57"/>
  <c r="F35" i="43"/>
  <c r="U34" i="57"/>
  <c r="T34" i="57"/>
  <c r="S34" i="57"/>
  <c r="R34" i="57"/>
  <c r="Q34" i="57"/>
  <c r="P34" i="57"/>
  <c r="O34" i="57"/>
  <c r="N34" i="57"/>
  <c r="M34" i="57"/>
  <c r="L34" i="57"/>
  <c r="F34" i="43"/>
  <c r="U33" i="57"/>
  <c r="T33" i="57"/>
  <c r="S33" i="57"/>
  <c r="R33" i="57"/>
  <c r="Q33" i="57"/>
  <c r="P33" i="57"/>
  <c r="O33" i="57"/>
  <c r="N33" i="57"/>
  <c r="M33" i="57"/>
  <c r="L33" i="57"/>
  <c r="F33" i="43"/>
  <c r="U32" i="57"/>
  <c r="T32" i="57"/>
  <c r="S32" i="57"/>
  <c r="R32" i="57"/>
  <c r="Q32" i="57"/>
  <c r="P32" i="57"/>
  <c r="O32" i="57"/>
  <c r="N32" i="57"/>
  <c r="M32" i="57"/>
  <c r="L32" i="57"/>
  <c r="F32" i="43"/>
  <c r="U31" i="57"/>
  <c r="T31" i="57"/>
  <c r="S31" i="57"/>
  <c r="R31" i="57"/>
  <c r="Q31" i="57"/>
  <c r="P31" i="57"/>
  <c r="O31" i="57"/>
  <c r="N31" i="57"/>
  <c r="M31" i="57"/>
  <c r="L31" i="57"/>
  <c r="F31" i="43"/>
  <c r="U30" i="57"/>
  <c r="T30" i="57"/>
  <c r="S30" i="57"/>
  <c r="R30" i="57"/>
  <c r="Q30" i="57"/>
  <c r="P30" i="57"/>
  <c r="O30" i="57"/>
  <c r="N30" i="57"/>
  <c r="M30" i="57"/>
  <c r="L30" i="57"/>
  <c r="F30" i="43"/>
  <c r="U29" i="57"/>
  <c r="T29" i="57"/>
  <c r="S29" i="57"/>
  <c r="R29" i="57"/>
  <c r="Q29" i="57"/>
  <c r="P29" i="57"/>
  <c r="O29" i="57"/>
  <c r="N29" i="57"/>
  <c r="M29" i="57"/>
  <c r="L29" i="57"/>
  <c r="F29" i="43"/>
  <c r="U28" i="57"/>
  <c r="T28" i="57"/>
  <c r="S28" i="57"/>
  <c r="R28" i="57"/>
  <c r="Q28" i="57"/>
  <c r="P28" i="57"/>
  <c r="O28" i="57"/>
  <c r="N28" i="57"/>
  <c r="M28" i="57"/>
  <c r="L28" i="57"/>
  <c r="F28" i="43"/>
  <c r="U27" i="57"/>
  <c r="T27" i="57"/>
  <c r="S27" i="57"/>
  <c r="R27" i="57"/>
  <c r="Q27" i="57"/>
  <c r="P27" i="57"/>
  <c r="O27" i="57"/>
  <c r="N27" i="57"/>
  <c r="M27" i="57"/>
  <c r="L27" i="57"/>
  <c r="F27" i="43"/>
  <c r="U26" i="57"/>
  <c r="T26" i="57"/>
  <c r="S26" i="57"/>
  <c r="R26" i="57"/>
  <c r="Q26" i="57"/>
  <c r="P26" i="57"/>
  <c r="O26" i="57"/>
  <c r="N26" i="57"/>
  <c r="M26" i="57"/>
  <c r="L26" i="57"/>
  <c r="F26" i="43"/>
  <c r="U25" i="57"/>
  <c r="T25" i="57"/>
  <c r="S25" i="57"/>
  <c r="R25" i="57"/>
  <c r="Q25" i="57"/>
  <c r="P25" i="57"/>
  <c r="O25" i="57"/>
  <c r="N25" i="57"/>
  <c r="M25" i="57"/>
  <c r="L25" i="57"/>
  <c r="F25" i="43"/>
  <c r="U24" i="57"/>
  <c r="T24" i="57"/>
  <c r="S24" i="57"/>
  <c r="R24" i="57"/>
  <c r="Q24" i="57"/>
  <c r="P24" i="57"/>
  <c r="O24" i="57"/>
  <c r="N24" i="57"/>
  <c r="M24" i="57"/>
  <c r="L24" i="57"/>
  <c r="F24" i="43"/>
  <c r="U23" i="57"/>
  <c r="T23" i="57"/>
  <c r="S23" i="57"/>
  <c r="R23" i="57"/>
  <c r="Q23" i="57"/>
  <c r="P23" i="57"/>
  <c r="O23" i="57"/>
  <c r="N23" i="57"/>
  <c r="M23" i="57"/>
  <c r="L23" i="57"/>
  <c r="F23" i="43"/>
  <c r="U22" i="57"/>
  <c r="T22" i="57"/>
  <c r="S22" i="57"/>
  <c r="R22" i="57"/>
  <c r="Q22" i="57"/>
  <c r="P22" i="57"/>
  <c r="O22" i="57"/>
  <c r="N22" i="57"/>
  <c r="M22" i="57"/>
  <c r="L22" i="57"/>
  <c r="F22" i="43"/>
  <c r="U21" i="57"/>
  <c r="T21" i="57"/>
  <c r="S21" i="57"/>
  <c r="R21" i="57"/>
  <c r="Q21" i="57"/>
  <c r="P21" i="57"/>
  <c r="O21" i="57"/>
  <c r="N21" i="57"/>
  <c r="M21" i="57"/>
  <c r="L21" i="57"/>
  <c r="F21" i="43"/>
  <c r="U20" i="57"/>
  <c r="T20" i="57"/>
  <c r="S20" i="57"/>
  <c r="R20" i="57"/>
  <c r="Q20" i="57"/>
  <c r="P20" i="57"/>
  <c r="O20" i="57"/>
  <c r="N20" i="57"/>
  <c r="M20" i="57"/>
  <c r="L20" i="57"/>
  <c r="F20" i="43"/>
  <c r="U19" i="57"/>
  <c r="T19" i="57"/>
  <c r="S19" i="57"/>
  <c r="R19" i="57"/>
  <c r="Q19" i="57"/>
  <c r="P19" i="57"/>
  <c r="O19" i="57"/>
  <c r="N19" i="57"/>
  <c r="M19" i="57"/>
  <c r="L19" i="57"/>
  <c r="F19" i="43"/>
  <c r="U18" i="57"/>
  <c r="T18" i="57"/>
  <c r="S18" i="57"/>
  <c r="R18" i="57"/>
  <c r="Q18" i="57"/>
  <c r="P18" i="57"/>
  <c r="O18" i="57"/>
  <c r="N18" i="57"/>
  <c r="M18" i="57"/>
  <c r="L18" i="57"/>
  <c r="F18" i="43"/>
  <c r="U17" i="57"/>
  <c r="T17" i="57"/>
  <c r="S17" i="57"/>
  <c r="R17" i="57"/>
  <c r="Q17" i="57"/>
  <c r="P17" i="57"/>
  <c r="O17" i="57"/>
  <c r="N17" i="57"/>
  <c r="M17" i="57"/>
  <c r="L17" i="57"/>
  <c r="F17" i="43"/>
  <c r="U16" i="57"/>
  <c r="T16" i="57"/>
  <c r="S16" i="57"/>
  <c r="R16" i="57"/>
  <c r="Q16" i="57"/>
  <c r="P16" i="57"/>
  <c r="O16" i="57"/>
  <c r="N16" i="57"/>
  <c r="M16" i="57"/>
  <c r="L16" i="57"/>
  <c r="F16" i="43"/>
  <c r="U15" i="57"/>
  <c r="T15" i="57"/>
  <c r="S15" i="57"/>
  <c r="R15" i="57"/>
  <c r="Q15" i="57"/>
  <c r="P15" i="57"/>
  <c r="O15" i="57"/>
  <c r="N15" i="57"/>
  <c r="M15" i="57"/>
  <c r="L15" i="57"/>
  <c r="F15" i="43"/>
  <c r="U14" i="57"/>
  <c r="T14" i="57"/>
  <c r="S14" i="57"/>
  <c r="R14" i="57"/>
  <c r="Q14" i="57"/>
  <c r="P14" i="57"/>
  <c r="O14" i="57"/>
  <c r="N14" i="57"/>
  <c r="M14" i="57"/>
  <c r="L14" i="57"/>
  <c r="F14" i="43"/>
  <c r="U13" i="57"/>
  <c r="T13" i="57"/>
  <c r="S13" i="57"/>
  <c r="R13" i="57"/>
  <c r="Q13" i="57"/>
  <c r="P13" i="57"/>
  <c r="O13" i="57"/>
  <c r="N13" i="57"/>
  <c r="M13" i="57"/>
  <c r="L13" i="57"/>
  <c r="F13" i="43"/>
  <c r="U12" i="57"/>
  <c r="T12" i="57"/>
  <c r="S12" i="57"/>
  <c r="R12" i="57"/>
  <c r="Q12" i="57"/>
  <c r="P12" i="57"/>
  <c r="O12" i="57"/>
  <c r="N12" i="57"/>
  <c r="M12" i="57"/>
  <c r="L12" i="57"/>
  <c r="F12" i="43"/>
  <c r="U11" i="57"/>
  <c r="T11" i="57"/>
  <c r="S11" i="57"/>
  <c r="R11" i="57"/>
  <c r="Q11" i="57"/>
  <c r="P11" i="57"/>
  <c r="O11" i="57"/>
  <c r="N11" i="57"/>
  <c r="M11" i="57"/>
  <c r="L11" i="57"/>
  <c r="F11" i="43"/>
  <c r="U10" i="57"/>
  <c r="T10" i="57"/>
  <c r="S10" i="57"/>
  <c r="R10" i="57"/>
  <c r="Q10" i="57"/>
  <c r="P10" i="57"/>
  <c r="O10" i="57"/>
  <c r="N10" i="57"/>
  <c r="M10" i="57"/>
  <c r="L10" i="57"/>
  <c r="F10" i="43"/>
  <c r="U9" i="57"/>
  <c r="T9" i="57"/>
  <c r="S9" i="57"/>
  <c r="R9" i="57"/>
  <c r="Q9" i="57"/>
  <c r="P9" i="57"/>
  <c r="O9" i="57"/>
  <c r="N9" i="57"/>
  <c r="M9" i="57"/>
  <c r="L9" i="57"/>
  <c r="F9" i="43"/>
  <c r="U7" i="57"/>
  <c r="T7" i="57"/>
  <c r="S7" i="57"/>
  <c r="R7" i="57"/>
  <c r="Q7" i="57"/>
  <c r="P7" i="57"/>
  <c r="O7" i="57"/>
  <c r="N7" i="57"/>
  <c r="M7" i="57"/>
  <c r="L7" i="57"/>
  <c r="F7" i="43"/>
  <c r="U6" i="57"/>
  <c r="T6" i="57"/>
  <c r="S6" i="57"/>
  <c r="R6" i="57"/>
  <c r="Q6" i="57"/>
  <c r="P6" i="57"/>
  <c r="O6" i="57"/>
  <c r="N6" i="57"/>
  <c r="M6" i="57"/>
  <c r="L6" i="57"/>
  <c r="F6" i="43"/>
  <c r="U5" i="57"/>
  <c r="T5" i="57"/>
  <c r="S5" i="57"/>
  <c r="R5" i="57"/>
  <c r="Q5" i="57"/>
  <c r="P5" i="57"/>
  <c r="O5" i="57"/>
  <c r="N5" i="57"/>
  <c r="M5" i="57"/>
  <c r="L5" i="57"/>
  <c r="F5" i="43"/>
  <c r="U26" i="58"/>
  <c r="T26" i="58"/>
  <c r="S26" i="58"/>
  <c r="R26" i="58"/>
  <c r="Q26" i="58"/>
  <c r="P26" i="58"/>
  <c r="O26" i="58"/>
  <c r="N26" i="58"/>
  <c r="M26" i="58"/>
  <c r="L26" i="58"/>
  <c r="E26" i="56"/>
  <c r="U24" i="58"/>
  <c r="T24" i="58"/>
  <c r="S24" i="58"/>
  <c r="R24" i="58"/>
  <c r="Q24" i="58"/>
  <c r="P24" i="58"/>
  <c r="O24" i="58"/>
  <c r="N24" i="58"/>
  <c r="M24" i="58"/>
  <c r="L24" i="58"/>
  <c r="E24" i="56"/>
  <c r="U22" i="58"/>
  <c r="T22" i="58"/>
  <c r="S22" i="58"/>
  <c r="R22" i="58"/>
  <c r="Q22" i="58"/>
  <c r="P22" i="58"/>
  <c r="O22" i="58"/>
  <c r="N22" i="58"/>
  <c r="M22" i="58"/>
  <c r="L22" i="58"/>
  <c r="E22" i="56"/>
  <c r="U20" i="58"/>
  <c r="T20" i="58"/>
  <c r="S20" i="58"/>
  <c r="R20" i="58"/>
  <c r="Q20" i="58"/>
  <c r="P20" i="58"/>
  <c r="O20" i="58"/>
  <c r="N20" i="58"/>
  <c r="M20" i="58"/>
  <c r="L20" i="58"/>
  <c r="E20" i="56"/>
  <c r="U19" i="58"/>
  <c r="T19" i="58"/>
  <c r="S19" i="58"/>
  <c r="R19" i="58"/>
  <c r="Q19" i="58"/>
  <c r="P19" i="58"/>
  <c r="O19" i="58"/>
  <c r="N19" i="58"/>
  <c r="M19" i="58"/>
  <c r="L19" i="58"/>
  <c r="E19" i="56"/>
  <c r="U18" i="58"/>
  <c r="T18" i="58"/>
  <c r="S18" i="58"/>
  <c r="R18" i="58"/>
  <c r="Q18" i="58"/>
  <c r="P18" i="58"/>
  <c r="O18" i="58"/>
  <c r="N18" i="58"/>
  <c r="M18" i="58"/>
  <c r="L18" i="58"/>
  <c r="E18" i="56"/>
  <c r="U17" i="58"/>
  <c r="T17" i="58"/>
  <c r="S17" i="58"/>
  <c r="R17" i="58"/>
  <c r="Q17" i="58"/>
  <c r="P17" i="58"/>
  <c r="O17" i="58"/>
  <c r="N17" i="58"/>
  <c r="M17" i="58"/>
  <c r="L17" i="58"/>
  <c r="E17" i="56"/>
  <c r="U16" i="58"/>
  <c r="T16" i="58"/>
  <c r="S16" i="58"/>
  <c r="R16" i="58"/>
  <c r="Q16" i="58"/>
  <c r="P16" i="58"/>
  <c r="O16" i="58"/>
  <c r="N16" i="58"/>
  <c r="M16" i="58"/>
  <c r="L16" i="58"/>
  <c r="E16" i="56"/>
  <c r="U14" i="58"/>
  <c r="T14" i="58"/>
  <c r="S14" i="58"/>
  <c r="R14" i="58"/>
  <c r="Q14" i="58"/>
  <c r="P14" i="58"/>
  <c r="O14" i="58"/>
  <c r="N14" i="58"/>
  <c r="M14" i="58"/>
  <c r="L14" i="58"/>
  <c r="E14" i="56"/>
  <c r="U13" i="58"/>
  <c r="T13" i="58"/>
  <c r="S13" i="58"/>
  <c r="R13" i="58"/>
  <c r="Q13" i="58"/>
  <c r="P13" i="58"/>
  <c r="O13" i="58"/>
  <c r="N13" i="58"/>
  <c r="M13" i="58"/>
  <c r="L13" i="58"/>
  <c r="E13" i="56"/>
  <c r="U11" i="58"/>
  <c r="T11" i="58"/>
  <c r="S11" i="58"/>
  <c r="R11" i="58"/>
  <c r="Q11" i="58"/>
  <c r="P11" i="58"/>
  <c r="O11" i="58"/>
  <c r="N11" i="58"/>
  <c r="M11" i="58"/>
  <c r="L11" i="58"/>
  <c r="E11" i="56"/>
  <c r="U10" i="58"/>
  <c r="T10" i="58"/>
  <c r="S10" i="58"/>
  <c r="R10" i="58"/>
  <c r="Q10" i="58"/>
  <c r="P10" i="58"/>
  <c r="O10" i="58"/>
  <c r="N10" i="58"/>
  <c r="M10" i="58"/>
  <c r="L10" i="58"/>
  <c r="E10" i="56"/>
  <c r="U9" i="58"/>
  <c r="T9" i="58"/>
  <c r="S9" i="58"/>
  <c r="R9" i="58"/>
  <c r="Q9" i="58"/>
  <c r="P9" i="58"/>
  <c r="O9" i="58"/>
  <c r="N9" i="58"/>
  <c r="M9" i="58"/>
  <c r="L9" i="58"/>
  <c r="E9" i="56"/>
  <c r="U8" i="58"/>
  <c r="T8" i="58"/>
  <c r="S8" i="58"/>
  <c r="R8" i="58"/>
  <c r="Q8" i="58"/>
  <c r="P8" i="58"/>
  <c r="O8" i="58"/>
  <c r="N8" i="58"/>
  <c r="M8" i="58"/>
  <c r="L8" i="58"/>
  <c r="E8" i="56"/>
  <c r="U6" i="58"/>
  <c r="T6" i="58"/>
  <c r="S6" i="58"/>
  <c r="R6" i="58"/>
  <c r="Q6" i="58"/>
  <c r="P6" i="58"/>
  <c r="O6" i="58"/>
  <c r="N6" i="58"/>
  <c r="M6" i="58"/>
  <c r="L6" i="58"/>
  <c r="V6" i="58" s="1"/>
  <c r="I6" i="56" s="1"/>
  <c r="E6" i="56"/>
  <c r="U5" i="58"/>
  <c r="T5" i="58"/>
  <c r="S5" i="58"/>
  <c r="R5" i="58"/>
  <c r="Q5" i="58"/>
  <c r="P5" i="58"/>
  <c r="O5" i="58"/>
  <c r="N5" i="58"/>
  <c r="M5" i="58"/>
  <c r="L5" i="58"/>
  <c r="V5" i="58" s="1"/>
  <c r="I5" i="56" s="1"/>
  <c r="E5" i="56"/>
  <c r="AB50" i="44"/>
  <c r="AG50" i="44"/>
  <c r="AH50" i="44" s="1"/>
  <c r="AB51" i="44"/>
  <c r="AG51" i="44"/>
  <c r="AH51" i="44" s="1"/>
  <c r="AB52" i="44"/>
  <c r="AG52" i="44"/>
  <c r="AH52" i="44" s="1"/>
  <c r="L98" i="46"/>
  <c r="R98" i="46" s="1"/>
  <c r="L97" i="46"/>
  <c r="R97" i="46" s="1"/>
  <c r="L96" i="46"/>
  <c r="R96" i="46" s="1"/>
  <c r="L95" i="46"/>
  <c r="R95" i="46" s="1"/>
  <c r="L94" i="46"/>
  <c r="R94" i="46" s="1"/>
  <c r="L93" i="46"/>
  <c r="R93" i="46" s="1"/>
  <c r="L92" i="46"/>
  <c r="R92" i="46" s="1"/>
  <c r="L91" i="46"/>
  <c r="R91" i="46" s="1"/>
  <c r="L90" i="46"/>
  <c r="R90" i="46" s="1"/>
  <c r="L89" i="46"/>
  <c r="R89" i="46" s="1"/>
  <c r="L88" i="46"/>
  <c r="R88" i="46" s="1"/>
  <c r="L87" i="46"/>
  <c r="R87" i="46" s="1"/>
  <c r="L86" i="46"/>
  <c r="R86" i="46" s="1"/>
  <c r="L85" i="46"/>
  <c r="R85" i="46" s="1"/>
  <c r="L84" i="46"/>
  <c r="R84" i="46" s="1"/>
  <c r="L83" i="46"/>
  <c r="R83" i="46" s="1"/>
  <c r="L82" i="46"/>
  <c r="R82" i="46" s="1"/>
  <c r="L81" i="46"/>
  <c r="R81" i="46" s="1"/>
  <c r="L80" i="46"/>
  <c r="R80" i="46" s="1"/>
  <c r="L78" i="46"/>
  <c r="R78" i="46" s="1"/>
  <c r="L77" i="46"/>
  <c r="R77" i="46" s="1"/>
  <c r="L76" i="46"/>
  <c r="R76" i="46" s="1"/>
  <c r="L75" i="46"/>
  <c r="R75" i="46" s="1"/>
  <c r="L74" i="46"/>
  <c r="R74" i="46" s="1"/>
  <c r="L73" i="46"/>
  <c r="R73" i="46" s="1"/>
  <c r="L72" i="46"/>
  <c r="R72" i="46" s="1"/>
  <c r="L71" i="46"/>
  <c r="R71" i="46" s="1"/>
  <c r="L70" i="46"/>
  <c r="R70" i="46" s="1"/>
  <c r="L69" i="46"/>
  <c r="R69" i="46" s="1"/>
  <c r="L68" i="46"/>
  <c r="R68" i="46" s="1"/>
  <c r="L67" i="46"/>
  <c r="R67" i="46" s="1"/>
  <c r="L66" i="46"/>
  <c r="R66" i="46" s="1"/>
  <c r="L64" i="46"/>
  <c r="R64" i="46" s="1"/>
  <c r="L63" i="46"/>
  <c r="R63" i="46" s="1"/>
  <c r="L62" i="46"/>
  <c r="R62" i="46" s="1"/>
  <c r="L60" i="46"/>
  <c r="R60" i="46" s="1"/>
  <c r="L59" i="46"/>
  <c r="R59" i="46" s="1"/>
  <c r="L58" i="46"/>
  <c r="R58" i="46" s="1"/>
  <c r="L57" i="46"/>
  <c r="R57" i="46" s="1"/>
  <c r="L56" i="46"/>
  <c r="R56" i="46" s="1"/>
  <c r="L54" i="46"/>
  <c r="R54" i="46" s="1"/>
  <c r="L53" i="46"/>
  <c r="R53" i="46" s="1"/>
  <c r="L52" i="46"/>
  <c r="R52" i="46" s="1"/>
  <c r="L51" i="46"/>
  <c r="R51" i="46" s="1"/>
  <c r="L50" i="46"/>
  <c r="R50" i="46" s="1"/>
  <c r="L49" i="46"/>
  <c r="R49" i="46" s="1"/>
  <c r="L47" i="46"/>
  <c r="R47" i="46" s="1"/>
  <c r="L46" i="46"/>
  <c r="R46" i="46" s="1"/>
  <c r="L45" i="46"/>
  <c r="R45" i="46" s="1"/>
  <c r="L44" i="46"/>
  <c r="R44" i="46" s="1"/>
  <c r="L43" i="46"/>
  <c r="R43" i="46" s="1"/>
  <c r="L42" i="46"/>
  <c r="R42" i="46" s="1"/>
  <c r="L41" i="46"/>
  <c r="R41" i="46" s="1"/>
  <c r="L40" i="46"/>
  <c r="R40" i="46" s="1"/>
  <c r="L39" i="46"/>
  <c r="R39" i="46" s="1"/>
  <c r="L38" i="46"/>
  <c r="R38" i="46" s="1"/>
  <c r="L37" i="46"/>
  <c r="R37" i="46" s="1"/>
  <c r="L36" i="46"/>
  <c r="R36" i="46" s="1"/>
  <c r="L35" i="46"/>
  <c r="R35" i="46" s="1"/>
  <c r="L34" i="46"/>
  <c r="R34" i="46" s="1"/>
  <c r="L33" i="46"/>
  <c r="R33" i="46" s="1"/>
  <c r="L32" i="46"/>
  <c r="R32" i="46" s="1"/>
  <c r="L30" i="46"/>
  <c r="R30" i="46" s="1"/>
  <c r="L29" i="46"/>
  <c r="R29" i="46" s="1"/>
  <c r="L28" i="46"/>
  <c r="R28" i="46" s="1"/>
  <c r="L27" i="46"/>
  <c r="R27" i="46" s="1"/>
  <c r="L25" i="46"/>
  <c r="R25" i="46" s="1"/>
  <c r="L24" i="46"/>
  <c r="R24" i="46" s="1"/>
  <c r="L23" i="46"/>
  <c r="R23" i="46" s="1"/>
  <c r="L22" i="46"/>
  <c r="R22" i="46" s="1"/>
  <c r="L21" i="46"/>
  <c r="R21" i="46" s="1"/>
  <c r="L20" i="46"/>
  <c r="R20" i="46" s="1"/>
  <c r="L19" i="46"/>
  <c r="R19" i="46" s="1"/>
  <c r="L18" i="46"/>
  <c r="R18" i="46" s="1"/>
  <c r="L17" i="46"/>
  <c r="R17" i="46" s="1"/>
  <c r="L16" i="46"/>
  <c r="R16" i="46" s="1"/>
  <c r="L15" i="46"/>
  <c r="R15" i="46" s="1"/>
  <c r="L14" i="46"/>
  <c r="R14" i="46" s="1"/>
  <c r="L13" i="46"/>
  <c r="R13" i="46" s="1"/>
  <c r="L12" i="46"/>
  <c r="R12" i="46" s="1"/>
  <c r="L11" i="46"/>
  <c r="R11" i="46" s="1"/>
  <c r="L10" i="46"/>
  <c r="R10" i="46" s="1"/>
  <c r="L9" i="46"/>
  <c r="R9" i="46" s="1"/>
  <c r="L8" i="46"/>
  <c r="R8" i="46" s="1"/>
  <c r="L7" i="46"/>
  <c r="R7" i="46" s="1"/>
  <c r="V5" i="57" l="1"/>
  <c r="V16" i="58"/>
  <c r="I16" i="56" s="1"/>
  <c r="V9" i="58"/>
  <c r="I9" i="56" s="1"/>
  <c r="V8" i="58"/>
  <c r="I8" i="56" s="1"/>
  <c r="V11" i="57"/>
  <c r="J11" i="43" s="1"/>
  <c r="V23" i="57"/>
  <c r="J23" i="43" s="1"/>
  <c r="V35" i="57"/>
  <c r="J35" i="43" s="1"/>
  <c r="V47" i="57"/>
  <c r="J47" i="43" s="1"/>
  <c r="V59" i="57"/>
  <c r="J59" i="43" s="1"/>
  <c r="V73" i="57"/>
  <c r="J73" i="43" s="1"/>
  <c r="V86" i="57"/>
  <c r="J86" i="43" s="1"/>
  <c r="V27" i="57"/>
  <c r="J27" i="43" s="1"/>
  <c r="I34" i="34"/>
  <c r="N6" i="60" s="1"/>
  <c r="N4" i="60" s="1"/>
  <c r="V14" i="57"/>
  <c r="J14" i="43" s="1"/>
  <c r="V26" i="57"/>
  <c r="J26" i="43" s="1"/>
  <c r="V38" i="57"/>
  <c r="J38" i="43" s="1"/>
  <c r="V50" i="57"/>
  <c r="J50" i="43" s="1"/>
  <c r="V62" i="57"/>
  <c r="J62" i="43" s="1"/>
  <c r="V76" i="57"/>
  <c r="J76" i="43" s="1"/>
  <c r="V13" i="57"/>
  <c r="J13" i="43" s="1"/>
  <c r="V25" i="57"/>
  <c r="J25" i="43" s="1"/>
  <c r="V37" i="57"/>
  <c r="J37" i="43" s="1"/>
  <c r="V49" i="57"/>
  <c r="J49" i="43" s="1"/>
  <c r="V61" i="57"/>
  <c r="J61" i="43" s="1"/>
  <c r="V75" i="57"/>
  <c r="J75" i="43" s="1"/>
  <c r="V89" i="57"/>
  <c r="J89" i="43" s="1"/>
  <c r="V15" i="57"/>
  <c r="J15" i="43" s="1"/>
  <c r="V39" i="57"/>
  <c r="J39" i="43" s="1"/>
  <c r="V51" i="57"/>
  <c r="J51" i="43" s="1"/>
  <c r="V63" i="57"/>
  <c r="J63" i="43" s="1"/>
  <c r="V77" i="57"/>
  <c r="J77" i="43" s="1"/>
  <c r="V91" i="57"/>
  <c r="J91" i="43" s="1"/>
  <c r="V12" i="57"/>
  <c r="J12" i="43" s="1"/>
  <c r="V24" i="57"/>
  <c r="J24" i="43" s="1"/>
  <c r="V36" i="57"/>
  <c r="J36" i="43" s="1"/>
  <c r="V48" i="57"/>
  <c r="J48" i="43" s="1"/>
  <c r="V60" i="57"/>
  <c r="J60" i="43" s="1"/>
  <c r="V74" i="57"/>
  <c r="J74" i="43" s="1"/>
  <c r="V87" i="57"/>
  <c r="J87" i="43" s="1"/>
  <c r="I90" i="49"/>
  <c r="N7" i="60" s="1"/>
  <c r="V9" i="57"/>
  <c r="J9" i="43" s="1"/>
  <c r="V21" i="57"/>
  <c r="J21" i="43" s="1"/>
  <c r="V33" i="57"/>
  <c r="J33" i="43" s="1"/>
  <c r="V45" i="57"/>
  <c r="J45" i="43" s="1"/>
  <c r="V57" i="57"/>
  <c r="J57" i="43" s="1"/>
  <c r="V71" i="57"/>
  <c r="J71" i="43" s="1"/>
  <c r="V10" i="57"/>
  <c r="J10" i="43" s="1"/>
  <c r="V72" i="57"/>
  <c r="J72" i="43" s="1"/>
  <c r="V7" i="57"/>
  <c r="J7" i="43" s="1"/>
  <c r="V20" i="57"/>
  <c r="J20" i="43" s="1"/>
  <c r="V32" i="57"/>
  <c r="J32" i="43" s="1"/>
  <c r="V44" i="57"/>
  <c r="J44" i="43" s="1"/>
  <c r="V56" i="57"/>
  <c r="J56" i="43" s="1"/>
  <c r="V46" i="57"/>
  <c r="J46" i="43" s="1"/>
  <c r="V6" i="57"/>
  <c r="J6" i="43" s="1"/>
  <c r="V19" i="57"/>
  <c r="J19" i="43" s="1"/>
  <c r="V31" i="57"/>
  <c r="J31" i="43" s="1"/>
  <c r="V43" i="57"/>
  <c r="J43" i="43" s="1"/>
  <c r="V55" i="57"/>
  <c r="J55" i="43" s="1"/>
  <c r="V68" i="57"/>
  <c r="J68" i="43" s="1"/>
  <c r="V81" i="57"/>
  <c r="J81" i="43" s="1"/>
  <c r="V22" i="57"/>
  <c r="J22" i="43" s="1"/>
  <c r="J5" i="43"/>
  <c r="V18" i="57"/>
  <c r="J18" i="43" s="1"/>
  <c r="V30" i="57"/>
  <c r="J30" i="43" s="1"/>
  <c r="V42" i="57"/>
  <c r="J42" i="43" s="1"/>
  <c r="V54" i="57"/>
  <c r="J54" i="43" s="1"/>
  <c r="V67" i="57"/>
  <c r="J67" i="43" s="1"/>
  <c r="V80" i="57"/>
  <c r="J80" i="43" s="1"/>
  <c r="V58" i="57"/>
  <c r="J58" i="43" s="1"/>
  <c r="V17" i="57"/>
  <c r="J17" i="43" s="1"/>
  <c r="V29" i="57"/>
  <c r="J29" i="43" s="1"/>
  <c r="V41" i="57"/>
  <c r="J41" i="43" s="1"/>
  <c r="V53" i="57"/>
  <c r="J53" i="43" s="1"/>
  <c r="V66" i="57"/>
  <c r="J66" i="43" s="1"/>
  <c r="V79" i="57"/>
  <c r="J79" i="43" s="1"/>
  <c r="V34" i="57"/>
  <c r="J34" i="43" s="1"/>
  <c r="V16" i="57"/>
  <c r="J16" i="43" s="1"/>
  <c r="V28" i="57"/>
  <c r="J28" i="43" s="1"/>
  <c r="V40" i="57"/>
  <c r="J40" i="43" s="1"/>
  <c r="V52" i="57"/>
  <c r="J52" i="43" s="1"/>
  <c r="V64" i="57"/>
  <c r="J64" i="43" s="1"/>
  <c r="V78" i="57"/>
  <c r="J78" i="43" s="1"/>
  <c r="V93" i="57"/>
  <c r="J93" i="43" s="1"/>
  <c r="AH50" i="45"/>
  <c r="L5" i="59"/>
  <c r="L4" i="59"/>
  <c r="O168" i="14"/>
  <c r="Z28" i="14" s="1"/>
  <c r="N168" i="14"/>
  <c r="Y28" i="14" s="1"/>
  <c r="V28" i="14"/>
  <c r="I91" i="43" s="1"/>
  <c r="O167" i="14"/>
  <c r="Z27" i="14" s="1"/>
  <c r="N167" i="14"/>
  <c r="Y27" i="14" s="1"/>
  <c r="V27" i="14"/>
  <c r="O166" i="14"/>
  <c r="Z26" i="14" s="1"/>
  <c r="N166" i="14"/>
  <c r="Y26" i="14" s="1"/>
  <c r="V26" i="14"/>
  <c r="O165" i="14"/>
  <c r="Z25" i="14" s="1"/>
  <c r="N165" i="14"/>
  <c r="Y25" i="14" s="1"/>
  <c r="V25" i="14"/>
  <c r="O164" i="14"/>
  <c r="Z24" i="14" s="1"/>
  <c r="N164" i="14"/>
  <c r="Y24" i="14" s="1"/>
  <c r="V24" i="14"/>
  <c r="O163" i="14"/>
  <c r="Z23" i="14" s="1"/>
  <c r="N163" i="14"/>
  <c r="Y23" i="14" s="1"/>
  <c r="V23" i="14"/>
  <c r="O162" i="14"/>
  <c r="Z22" i="14" s="1"/>
  <c r="N162" i="14"/>
  <c r="Y22" i="14" s="1"/>
  <c r="V22" i="14"/>
  <c r="O161" i="14"/>
  <c r="Z21" i="14" s="1"/>
  <c r="N161" i="14"/>
  <c r="Y21" i="14" s="1"/>
  <c r="V21" i="14"/>
  <c r="O160" i="14"/>
  <c r="Z20" i="14" s="1"/>
  <c r="N160" i="14"/>
  <c r="Y20" i="14" s="1"/>
  <c r="V20" i="14"/>
  <c r="O159" i="14"/>
  <c r="Z19" i="14" s="1"/>
  <c r="N159" i="14"/>
  <c r="Y19" i="14" s="1"/>
  <c r="V19" i="14"/>
  <c r="O158" i="14"/>
  <c r="Z18" i="14" s="1"/>
  <c r="N158" i="14"/>
  <c r="Y18" i="14" s="1"/>
  <c r="V18" i="14"/>
  <c r="O157" i="14"/>
  <c r="Z17" i="14" s="1"/>
  <c r="N157" i="14"/>
  <c r="Y17" i="14" s="1"/>
  <c r="V17" i="14"/>
  <c r="O156" i="14"/>
  <c r="Z16" i="14" s="1"/>
  <c r="N156" i="14"/>
  <c r="Y16" i="14" s="1"/>
  <c r="V16" i="14"/>
  <c r="O155" i="14"/>
  <c r="Z15" i="14" s="1"/>
  <c r="N155" i="14"/>
  <c r="Y15" i="14" s="1"/>
  <c r="V15" i="14"/>
  <c r="O154" i="14"/>
  <c r="Z14" i="14" s="1"/>
  <c r="N154" i="14"/>
  <c r="Y14" i="14" s="1"/>
  <c r="V14" i="14"/>
  <c r="O153" i="14"/>
  <c r="Z13" i="14" s="1"/>
  <c r="N153" i="14"/>
  <c r="Y13" i="14" s="1"/>
  <c r="V13" i="14"/>
  <c r="O152" i="14"/>
  <c r="Z12" i="14" s="1"/>
  <c r="N152" i="14"/>
  <c r="Y12" i="14" s="1"/>
  <c r="V12" i="14"/>
  <c r="O151" i="14"/>
  <c r="Z11" i="14" s="1"/>
  <c r="N151" i="14"/>
  <c r="Y11" i="14" s="1"/>
  <c r="V11" i="14"/>
  <c r="O150" i="14"/>
  <c r="Z10" i="14" s="1"/>
  <c r="N150" i="14"/>
  <c r="Y10" i="14" s="1"/>
  <c r="V10" i="14"/>
  <c r="O149" i="14"/>
  <c r="Z9" i="14" s="1"/>
  <c r="N149" i="14"/>
  <c r="Y9" i="14" s="1"/>
  <c r="V9" i="14"/>
  <c r="O148" i="14"/>
  <c r="Z8" i="14" s="1"/>
  <c r="N148" i="14"/>
  <c r="Y8" i="14" s="1"/>
  <c r="V8" i="14"/>
  <c r="C8" i="51"/>
  <c r="I8" i="51" s="1"/>
  <c r="I7" i="51"/>
  <c r="C13" i="51"/>
  <c r="I13" i="51" s="1"/>
  <c r="I10" i="51"/>
  <c r="L29" i="52"/>
  <c r="L27" i="52"/>
  <c r="Z13" i="52"/>
  <c r="V13" i="52"/>
  <c r="R13" i="52"/>
  <c r="N14" i="52"/>
  <c r="P41" i="54"/>
  <c r="N15" i="52" s="1"/>
  <c r="N8" i="60" l="1"/>
  <c r="L6" i="53" s="1"/>
  <c r="L6" i="59"/>
  <c r="L5" i="53" s="1"/>
  <c r="Z15" i="52"/>
  <c r="V15" i="52"/>
  <c r="R15" i="52"/>
  <c r="Z14" i="52"/>
  <c r="V14" i="52"/>
  <c r="R14" i="52"/>
  <c r="H6" i="56"/>
  <c r="H5" i="56"/>
  <c r="I7" i="43"/>
  <c r="I6" i="43"/>
  <c r="I5" i="43"/>
  <c r="H10" i="56"/>
  <c r="H9" i="56"/>
  <c r="H8" i="56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H11" i="56"/>
  <c r="L13" i="55"/>
  <c r="N13" i="55" s="1"/>
  <c r="H14" i="56"/>
  <c r="H13" i="56"/>
  <c r="I69" i="43"/>
  <c r="I68" i="43"/>
  <c r="I67" i="43"/>
  <c r="I66" i="43"/>
  <c r="L14" i="55"/>
  <c r="N14" i="55" s="1"/>
  <c r="H20" i="56"/>
  <c r="H19" i="56"/>
  <c r="H18" i="56"/>
  <c r="H17" i="56"/>
  <c r="H16" i="56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H22" i="56"/>
  <c r="I87" i="43"/>
  <c r="I86" i="43"/>
  <c r="H26" i="56"/>
  <c r="I93" i="43"/>
  <c r="H24" i="56"/>
  <c r="I90" i="43"/>
  <c r="I89" i="43"/>
  <c r="N91" i="43"/>
  <c r="L91" i="43"/>
  <c r="K91" i="43"/>
  <c r="Q91" i="43" s="1"/>
  <c r="N89" i="43" l="1"/>
  <c r="L89" i="43"/>
  <c r="K89" i="43"/>
  <c r="N90" i="43"/>
  <c r="L90" i="43"/>
  <c r="K90" i="43"/>
  <c r="M24" i="56"/>
  <c r="K24" i="56"/>
  <c r="J24" i="56"/>
  <c r="N93" i="43"/>
  <c r="L93" i="43"/>
  <c r="K93" i="43"/>
  <c r="Q93" i="43" s="1"/>
  <c r="M26" i="56"/>
  <c r="K26" i="56"/>
  <c r="J26" i="56"/>
  <c r="N86" i="43"/>
  <c r="L86" i="43"/>
  <c r="K86" i="43"/>
  <c r="Q86" i="43" s="1"/>
  <c r="N87" i="43"/>
  <c r="L87" i="43"/>
  <c r="K87" i="43"/>
  <c r="Q87" i="43" s="1"/>
  <c r="M22" i="56"/>
  <c r="K22" i="56"/>
  <c r="J22" i="56"/>
  <c r="N71" i="43"/>
  <c r="L71" i="43"/>
  <c r="K71" i="43"/>
  <c r="Q71" i="43" s="1"/>
  <c r="N72" i="43"/>
  <c r="L72" i="43"/>
  <c r="K72" i="43"/>
  <c r="Q72" i="43" s="1"/>
  <c r="N73" i="43"/>
  <c r="L73" i="43"/>
  <c r="K73" i="43"/>
  <c r="Q73" i="43" s="1"/>
  <c r="N74" i="43"/>
  <c r="L74" i="43"/>
  <c r="K74" i="43"/>
  <c r="Q74" i="43" s="1"/>
  <c r="N75" i="43"/>
  <c r="L75" i="43"/>
  <c r="K75" i="43"/>
  <c r="Q75" i="43" s="1"/>
  <c r="N76" i="43"/>
  <c r="L76" i="43"/>
  <c r="K76" i="43"/>
  <c r="Q76" i="43" s="1"/>
  <c r="N77" i="43"/>
  <c r="L77" i="43"/>
  <c r="K77" i="43"/>
  <c r="Q77" i="43" s="1"/>
  <c r="N78" i="43"/>
  <c r="L78" i="43"/>
  <c r="K78" i="43"/>
  <c r="Q78" i="43" s="1"/>
  <c r="N79" i="43"/>
  <c r="L79" i="43"/>
  <c r="K79" i="43"/>
  <c r="Q79" i="43" s="1"/>
  <c r="N80" i="43"/>
  <c r="L80" i="43"/>
  <c r="K80" i="43"/>
  <c r="Q80" i="43" s="1"/>
  <c r="N81" i="43"/>
  <c r="L81" i="43"/>
  <c r="K81" i="43"/>
  <c r="Q81" i="43" s="1"/>
  <c r="N82" i="43"/>
  <c r="L82" i="43"/>
  <c r="K82" i="43"/>
  <c r="N83" i="43"/>
  <c r="L83" i="43"/>
  <c r="K83" i="43"/>
  <c r="N84" i="43"/>
  <c r="L84" i="43"/>
  <c r="K84" i="43"/>
  <c r="M16" i="56"/>
  <c r="K16" i="56"/>
  <c r="J16" i="56"/>
  <c r="M17" i="56"/>
  <c r="K17" i="56"/>
  <c r="J17" i="56"/>
  <c r="M18" i="56"/>
  <c r="K18" i="56"/>
  <c r="J18" i="56"/>
  <c r="M19" i="56"/>
  <c r="K19" i="56"/>
  <c r="J19" i="56"/>
  <c r="M20" i="56"/>
  <c r="K20" i="56"/>
  <c r="J20" i="56"/>
  <c r="N66" i="43"/>
  <c r="L66" i="43"/>
  <c r="K66" i="43"/>
  <c r="Q66" i="43" s="1"/>
  <c r="N67" i="43"/>
  <c r="L67" i="43"/>
  <c r="K67" i="43"/>
  <c r="Q67" i="43" s="1"/>
  <c r="N68" i="43"/>
  <c r="L68" i="43"/>
  <c r="K68" i="43"/>
  <c r="Q68" i="43" s="1"/>
  <c r="N69" i="43"/>
  <c r="L69" i="43"/>
  <c r="K69" i="43"/>
  <c r="M13" i="56"/>
  <c r="K13" i="56"/>
  <c r="J13" i="56"/>
  <c r="M14" i="56"/>
  <c r="K14" i="56"/>
  <c r="J14" i="56"/>
  <c r="N16" i="55"/>
  <c r="K11" i="56"/>
  <c r="J11" i="56"/>
  <c r="N9" i="43"/>
  <c r="L9" i="43"/>
  <c r="K9" i="43"/>
  <c r="Q9" i="43" s="1"/>
  <c r="L10" i="43"/>
  <c r="K10" i="43"/>
  <c r="Q10" i="43" s="1"/>
  <c r="N11" i="43"/>
  <c r="L11" i="43"/>
  <c r="K11" i="43"/>
  <c r="Q11" i="43" s="1"/>
  <c r="N12" i="43"/>
  <c r="L12" i="43"/>
  <c r="K12" i="43"/>
  <c r="Q12" i="43" s="1"/>
  <c r="N13" i="43"/>
  <c r="L13" i="43"/>
  <c r="K13" i="43"/>
  <c r="Q13" i="43" s="1"/>
  <c r="N14" i="43"/>
  <c r="L14" i="43"/>
  <c r="K14" i="43"/>
  <c r="Q14" i="43" s="1"/>
  <c r="N15" i="43"/>
  <c r="L15" i="43"/>
  <c r="K15" i="43"/>
  <c r="Q15" i="43" s="1"/>
  <c r="N16" i="43"/>
  <c r="L16" i="43"/>
  <c r="K16" i="43"/>
  <c r="Q16" i="43" s="1"/>
  <c r="N17" i="43"/>
  <c r="L17" i="43"/>
  <c r="K17" i="43"/>
  <c r="Q17" i="43" s="1"/>
  <c r="N18" i="43"/>
  <c r="L18" i="43"/>
  <c r="K18" i="43"/>
  <c r="Q18" i="43" s="1"/>
  <c r="N19" i="43"/>
  <c r="L19" i="43"/>
  <c r="K19" i="43"/>
  <c r="Q19" i="43" s="1"/>
  <c r="N20" i="43"/>
  <c r="L20" i="43"/>
  <c r="K20" i="43"/>
  <c r="Q20" i="43" s="1"/>
  <c r="N21" i="43"/>
  <c r="L21" i="43"/>
  <c r="K21" i="43"/>
  <c r="Q21" i="43" s="1"/>
  <c r="N22" i="43"/>
  <c r="L22" i="43"/>
  <c r="K22" i="43"/>
  <c r="Q22" i="43" s="1"/>
  <c r="N23" i="43"/>
  <c r="L23" i="43"/>
  <c r="K23" i="43"/>
  <c r="Q23" i="43" s="1"/>
  <c r="N24" i="43"/>
  <c r="L24" i="43"/>
  <c r="K24" i="43"/>
  <c r="Q24" i="43" s="1"/>
  <c r="N25" i="43"/>
  <c r="L25" i="43"/>
  <c r="K25" i="43"/>
  <c r="Q25" i="43" s="1"/>
  <c r="N26" i="43"/>
  <c r="L26" i="43"/>
  <c r="K26" i="43"/>
  <c r="Q26" i="43" s="1"/>
  <c r="N27" i="43"/>
  <c r="L27" i="43"/>
  <c r="K27" i="43"/>
  <c r="Q27" i="43" s="1"/>
  <c r="N28" i="43"/>
  <c r="L28" i="43"/>
  <c r="K28" i="43"/>
  <c r="Q28" i="43" s="1"/>
  <c r="N29" i="43"/>
  <c r="L29" i="43"/>
  <c r="K29" i="43"/>
  <c r="Q29" i="43" s="1"/>
  <c r="N30" i="43"/>
  <c r="L30" i="43"/>
  <c r="K30" i="43"/>
  <c r="Q30" i="43" s="1"/>
  <c r="N31" i="43"/>
  <c r="L31" i="43"/>
  <c r="K31" i="43"/>
  <c r="Q31" i="43" s="1"/>
  <c r="N32" i="43"/>
  <c r="L32" i="43"/>
  <c r="K32" i="43"/>
  <c r="Q32" i="43" s="1"/>
  <c r="N33" i="43"/>
  <c r="L33" i="43"/>
  <c r="K33" i="43"/>
  <c r="Q33" i="43" s="1"/>
  <c r="N34" i="43"/>
  <c r="L34" i="43"/>
  <c r="K34" i="43"/>
  <c r="Q34" i="43" s="1"/>
  <c r="N35" i="43"/>
  <c r="L35" i="43"/>
  <c r="K35" i="43"/>
  <c r="Q35" i="43" s="1"/>
  <c r="N36" i="43"/>
  <c r="L36" i="43"/>
  <c r="K36" i="43"/>
  <c r="Q36" i="43" s="1"/>
  <c r="N37" i="43"/>
  <c r="L37" i="43"/>
  <c r="K37" i="43"/>
  <c r="Q37" i="43" s="1"/>
  <c r="N38" i="43"/>
  <c r="L38" i="43"/>
  <c r="K38" i="43"/>
  <c r="Q38" i="43" s="1"/>
  <c r="N39" i="43"/>
  <c r="L39" i="43"/>
  <c r="K39" i="43"/>
  <c r="Q39" i="43" s="1"/>
  <c r="N40" i="43"/>
  <c r="L40" i="43"/>
  <c r="K40" i="43"/>
  <c r="Q40" i="43" s="1"/>
  <c r="N41" i="43"/>
  <c r="L41" i="43"/>
  <c r="K41" i="43"/>
  <c r="Q41" i="43" s="1"/>
  <c r="N42" i="43"/>
  <c r="L42" i="43"/>
  <c r="K42" i="43"/>
  <c r="Q42" i="43" s="1"/>
  <c r="N43" i="43"/>
  <c r="L43" i="43"/>
  <c r="K43" i="43"/>
  <c r="Q43" i="43" s="1"/>
  <c r="N44" i="43"/>
  <c r="L44" i="43"/>
  <c r="K44" i="43"/>
  <c r="Q44" i="43" s="1"/>
  <c r="N45" i="43"/>
  <c r="L45" i="43"/>
  <c r="K45" i="43"/>
  <c r="Q45" i="43" s="1"/>
  <c r="N46" i="43"/>
  <c r="L46" i="43"/>
  <c r="K46" i="43"/>
  <c r="Q46" i="43" s="1"/>
  <c r="N47" i="43"/>
  <c r="L47" i="43"/>
  <c r="K47" i="43"/>
  <c r="Q47" i="43" s="1"/>
  <c r="N48" i="43"/>
  <c r="L48" i="43"/>
  <c r="K48" i="43"/>
  <c r="Q48" i="43" s="1"/>
  <c r="N49" i="43"/>
  <c r="L49" i="43"/>
  <c r="K49" i="43"/>
  <c r="Q49" i="43" s="1"/>
  <c r="N50" i="43"/>
  <c r="L50" i="43"/>
  <c r="K50" i="43"/>
  <c r="Q50" i="43" s="1"/>
  <c r="N51" i="43"/>
  <c r="L51" i="43"/>
  <c r="K51" i="43"/>
  <c r="Q51" i="43" s="1"/>
  <c r="N52" i="43"/>
  <c r="L52" i="43"/>
  <c r="K52" i="43"/>
  <c r="Q52" i="43" s="1"/>
  <c r="N53" i="43"/>
  <c r="L53" i="43"/>
  <c r="K53" i="43"/>
  <c r="Q53" i="43" s="1"/>
  <c r="N54" i="43"/>
  <c r="L54" i="43"/>
  <c r="K54" i="43"/>
  <c r="Q54" i="43" s="1"/>
  <c r="N55" i="43"/>
  <c r="L55" i="43"/>
  <c r="K55" i="43"/>
  <c r="Q55" i="43" s="1"/>
  <c r="N56" i="43"/>
  <c r="L56" i="43"/>
  <c r="K56" i="43"/>
  <c r="Q56" i="43" s="1"/>
  <c r="N57" i="43"/>
  <c r="L57" i="43"/>
  <c r="K57" i="43"/>
  <c r="Q57" i="43" s="1"/>
  <c r="N58" i="43"/>
  <c r="L58" i="43"/>
  <c r="K58" i="43"/>
  <c r="Q58" i="43" s="1"/>
  <c r="N59" i="43"/>
  <c r="L59" i="43"/>
  <c r="K59" i="43"/>
  <c r="Q59" i="43" s="1"/>
  <c r="N60" i="43"/>
  <c r="L60" i="43"/>
  <c r="K60" i="43"/>
  <c r="Q60" i="43" s="1"/>
  <c r="N61" i="43"/>
  <c r="L61" i="43"/>
  <c r="K61" i="43"/>
  <c r="Q61" i="43" s="1"/>
  <c r="N62" i="43"/>
  <c r="L62" i="43"/>
  <c r="K62" i="43"/>
  <c r="Q62" i="43" s="1"/>
  <c r="N63" i="43"/>
  <c r="L63" i="43"/>
  <c r="K63" i="43"/>
  <c r="Q63" i="43" s="1"/>
  <c r="N64" i="43"/>
  <c r="L64" i="43"/>
  <c r="K64" i="43"/>
  <c r="Q64" i="43" s="1"/>
  <c r="M8" i="56"/>
  <c r="K8" i="56"/>
  <c r="P8" i="56" s="1"/>
  <c r="J8" i="56"/>
  <c r="K9" i="56"/>
  <c r="J9" i="56"/>
  <c r="P9" i="56" s="1"/>
  <c r="M10" i="56"/>
  <c r="K10" i="56"/>
  <c r="J10" i="56"/>
  <c r="N5" i="43"/>
  <c r="L5" i="43"/>
  <c r="K5" i="43"/>
  <c r="N6" i="43"/>
  <c r="L6" i="43"/>
  <c r="K6" i="43"/>
  <c r="N7" i="43"/>
  <c r="L7" i="43"/>
  <c r="K7" i="43"/>
  <c r="M5" i="56"/>
  <c r="K5" i="56"/>
  <c r="J5" i="56"/>
  <c r="M6" i="56"/>
  <c r="K6" i="56"/>
  <c r="J6" i="56"/>
  <c r="P6" i="56" s="1"/>
  <c r="P16" i="56" l="1"/>
  <c r="U16" i="56" s="1"/>
  <c r="U5" i="56"/>
  <c r="Q7" i="43"/>
  <c r="Q6" i="43"/>
  <c r="Q5" i="43"/>
  <c r="Q89" i="43"/>
  <c r="W5" i="43"/>
  <c r="Z5" i="43" s="1"/>
  <c r="V69" i="43"/>
  <c r="W69" i="43" s="1"/>
  <c r="Z69" i="43" s="1"/>
  <c r="V74" i="43"/>
  <c r="V91" i="43"/>
  <c r="W91" i="43" s="1"/>
  <c r="Z91" i="43" s="1"/>
  <c r="V32" i="43"/>
  <c r="W32" i="43" s="1"/>
  <c r="Z32" i="43" s="1"/>
  <c r="V68" i="43"/>
  <c r="W68" i="43" s="1"/>
  <c r="Z68" i="43" s="1"/>
  <c r="U6" i="56"/>
  <c r="V6" i="43"/>
  <c r="W6" i="43" s="1"/>
  <c r="Z6" i="43" s="1"/>
  <c r="U10" i="56"/>
  <c r="U9" i="56"/>
  <c r="U8" i="56"/>
  <c r="V64" i="43"/>
  <c r="W64" i="43" s="1"/>
  <c r="Z64" i="43" s="1"/>
  <c r="V63" i="43"/>
  <c r="W63" i="43" s="1"/>
  <c r="Z63" i="43" s="1"/>
  <c r="V62" i="43"/>
  <c r="W62" i="43" s="1"/>
  <c r="Z62" i="43" s="1"/>
  <c r="V61" i="43"/>
  <c r="W61" i="43" s="1"/>
  <c r="Z61" i="43" s="1"/>
  <c r="V60" i="43"/>
  <c r="W60" i="43" s="1"/>
  <c r="Z60" i="43" s="1"/>
  <c r="V59" i="43"/>
  <c r="W59" i="43" s="1"/>
  <c r="Z59" i="43" s="1"/>
  <c r="V57" i="43"/>
  <c r="W57" i="43" s="1"/>
  <c r="Z57" i="43" s="1"/>
  <c r="V56" i="43"/>
  <c r="W56" i="43" s="1"/>
  <c r="Z56" i="43" s="1"/>
  <c r="V55" i="43"/>
  <c r="W55" i="43" s="1"/>
  <c r="Z55" i="43" s="1"/>
  <c r="V54" i="43"/>
  <c r="W54" i="43" s="1"/>
  <c r="Z54" i="43" s="1"/>
  <c r="V53" i="43"/>
  <c r="W53" i="43" s="1"/>
  <c r="Z53" i="43" s="1"/>
  <c r="V52" i="43"/>
  <c r="W52" i="43" s="1"/>
  <c r="Z52" i="43" s="1"/>
  <c r="V51" i="43"/>
  <c r="W51" i="43" s="1"/>
  <c r="Z51" i="43" s="1"/>
  <c r="V49" i="43"/>
  <c r="W49" i="43" s="1"/>
  <c r="Z49" i="43" s="1"/>
  <c r="V48" i="43"/>
  <c r="W48" i="43" s="1"/>
  <c r="Z48" i="43" s="1"/>
  <c r="V47" i="43"/>
  <c r="W47" i="43" s="1"/>
  <c r="Z47" i="43" s="1"/>
  <c r="V45" i="43"/>
  <c r="W45" i="43" s="1"/>
  <c r="Z45" i="43" s="1"/>
  <c r="V44" i="43"/>
  <c r="W44" i="43" s="1"/>
  <c r="Z44" i="43" s="1"/>
  <c r="V43" i="43"/>
  <c r="W43" i="43" s="1"/>
  <c r="Z43" i="43" s="1"/>
  <c r="V41" i="43"/>
  <c r="W41" i="43" s="1"/>
  <c r="Z41" i="43" s="1"/>
  <c r="V39" i="43"/>
  <c r="W39" i="43" s="1"/>
  <c r="Z39" i="43" s="1"/>
  <c r="V37" i="43"/>
  <c r="W37" i="43" s="1"/>
  <c r="Z37" i="43" s="1"/>
  <c r="V36" i="43"/>
  <c r="W36" i="43" s="1"/>
  <c r="Z36" i="43" s="1"/>
  <c r="V35" i="43"/>
  <c r="W35" i="43" s="1"/>
  <c r="Z35" i="43" s="1"/>
  <c r="V33" i="43"/>
  <c r="W33" i="43" s="1"/>
  <c r="Z33" i="43" s="1"/>
  <c r="V31" i="43"/>
  <c r="W31" i="43" s="1"/>
  <c r="Z31" i="43" s="1"/>
  <c r="V29" i="43"/>
  <c r="W29" i="43" s="1"/>
  <c r="Z29" i="43" s="1"/>
  <c r="V27" i="43"/>
  <c r="W27" i="43" s="1"/>
  <c r="Z27" i="43" s="1"/>
  <c r="V25" i="43"/>
  <c r="V23" i="43"/>
  <c r="V19" i="43"/>
  <c r="V18" i="43"/>
  <c r="V15" i="43"/>
  <c r="V14" i="43"/>
  <c r="V12" i="43"/>
  <c r="V11" i="43"/>
  <c r="V10" i="43"/>
  <c r="U11" i="56"/>
  <c r="U14" i="56"/>
  <c r="U13" i="56"/>
  <c r="V67" i="43"/>
  <c r="V66" i="43"/>
  <c r="U20" i="56"/>
  <c r="U19" i="56"/>
  <c r="U18" i="56"/>
  <c r="U17" i="56"/>
  <c r="V84" i="43"/>
  <c r="V83" i="43"/>
  <c r="V82" i="43"/>
  <c r="V81" i="43"/>
  <c r="V79" i="43"/>
  <c r="V78" i="43"/>
  <c r="V77" i="43"/>
  <c r="V76" i="43"/>
  <c r="V75" i="43"/>
  <c r="V73" i="43"/>
  <c r="V72" i="43"/>
  <c r="V71" i="43"/>
  <c r="U22" i="56"/>
  <c r="V87" i="43"/>
  <c r="W87" i="43" s="1"/>
  <c r="Z87" i="43" s="1"/>
  <c r="U26" i="56"/>
  <c r="V93" i="43"/>
  <c r="U24" i="56"/>
  <c r="V89" i="43"/>
  <c r="X16" i="56" l="1"/>
  <c r="V16" i="56"/>
  <c r="X6" i="56"/>
  <c r="V6" i="56"/>
  <c r="X11" i="56"/>
  <c r="V11" i="56"/>
  <c r="X8" i="56"/>
  <c r="V8" i="56"/>
  <c r="X19" i="56"/>
  <c r="V19" i="56"/>
  <c r="X13" i="56"/>
  <c r="V13" i="56"/>
  <c r="X14" i="56"/>
  <c r="V14" i="56"/>
  <c r="X9" i="56"/>
  <c r="V9" i="56"/>
  <c r="X24" i="56"/>
  <c r="V24" i="56"/>
  <c r="X26" i="56"/>
  <c r="V26" i="56"/>
  <c r="X17" i="56"/>
  <c r="V17" i="56"/>
  <c r="X10" i="56"/>
  <c r="V10" i="56"/>
  <c r="X20" i="56"/>
  <c r="V20" i="56"/>
  <c r="X22" i="56"/>
  <c r="V22" i="56"/>
  <c r="X18" i="56"/>
  <c r="V18" i="56"/>
  <c r="X5" i="56"/>
  <c r="V5" i="56"/>
  <c r="H40" i="44"/>
  <c r="W93" i="43"/>
  <c r="Z93" i="43" s="1"/>
  <c r="AA94" i="43" s="1"/>
  <c r="H31" i="44"/>
  <c r="W78" i="43"/>
  <c r="Z78" i="43" s="1"/>
  <c r="H32" i="44"/>
  <c r="W79" i="43"/>
  <c r="Z79" i="43" s="1"/>
  <c r="H34" i="44"/>
  <c r="AG34" i="44" s="1"/>
  <c r="W81" i="43"/>
  <c r="Z81" i="43" s="1"/>
  <c r="H37" i="44"/>
  <c r="AF37" i="44" s="1"/>
  <c r="W84" i="43"/>
  <c r="Z84" i="43" s="1"/>
  <c r="H27" i="44"/>
  <c r="AG27" i="44" s="1"/>
  <c r="W74" i="43"/>
  <c r="Z74" i="43" s="1"/>
  <c r="H30" i="44"/>
  <c r="AG30" i="44" s="1"/>
  <c r="W77" i="43"/>
  <c r="Z77" i="43" s="1"/>
  <c r="H36" i="44"/>
  <c r="W83" i="43"/>
  <c r="Z83" i="43" s="1"/>
  <c r="H28" i="44"/>
  <c r="AG28" i="44" s="1"/>
  <c r="W75" i="43"/>
  <c r="Z75" i="43" s="1"/>
  <c r="H35" i="44"/>
  <c r="AG35" i="44" s="1"/>
  <c r="W82" i="43"/>
  <c r="Z82" i="43" s="1"/>
  <c r="H24" i="44"/>
  <c r="AF24" i="44" s="1"/>
  <c r="W71" i="43"/>
  <c r="Z71" i="43" s="1"/>
  <c r="H25" i="44"/>
  <c r="AF25" i="44" s="1"/>
  <c r="W72" i="43"/>
  <c r="Z72" i="43" s="1"/>
  <c r="H26" i="44"/>
  <c r="AD26" i="44" s="1"/>
  <c r="W73" i="43"/>
  <c r="Z73" i="43" s="1"/>
  <c r="H29" i="44"/>
  <c r="J29" i="44" s="1"/>
  <c r="W76" i="43"/>
  <c r="Z76" i="43" s="1"/>
  <c r="H23" i="44"/>
  <c r="AG23" i="44" s="1"/>
  <c r="W67" i="43"/>
  <c r="Z67" i="43" s="1"/>
  <c r="H22" i="44"/>
  <c r="J22" i="44" s="1"/>
  <c r="W66" i="43"/>
  <c r="Z66" i="43" s="1"/>
  <c r="AA70" i="43" s="1"/>
  <c r="H5" i="44"/>
  <c r="AG5" i="44" s="1"/>
  <c r="W10" i="43"/>
  <c r="Z10" i="43" s="1"/>
  <c r="H7" i="44"/>
  <c r="AF7" i="44" s="1"/>
  <c r="W12" i="43"/>
  <c r="Z12" i="43" s="1"/>
  <c r="H6" i="44"/>
  <c r="AD6" i="44" s="1"/>
  <c r="W11" i="43"/>
  <c r="Z11" i="43" s="1"/>
  <c r="H9" i="44"/>
  <c r="AE9" i="44" s="1"/>
  <c r="W14" i="43"/>
  <c r="Z14" i="43" s="1"/>
  <c r="H14" i="44"/>
  <c r="AG14" i="44" s="1"/>
  <c r="W19" i="43"/>
  <c r="Z19" i="43" s="1"/>
  <c r="H10" i="44"/>
  <c r="AF10" i="44" s="1"/>
  <c r="W15" i="43"/>
  <c r="Z15" i="43" s="1"/>
  <c r="H13" i="44"/>
  <c r="AE13" i="44" s="1"/>
  <c r="W18" i="43"/>
  <c r="Z18" i="43" s="1"/>
  <c r="H18" i="44"/>
  <c r="AF18" i="44" s="1"/>
  <c r="W23" i="43"/>
  <c r="Z23" i="43" s="1"/>
  <c r="H20" i="44"/>
  <c r="W25" i="43"/>
  <c r="Z25" i="43" s="1"/>
  <c r="H39" i="44"/>
  <c r="AG39" i="44" s="1"/>
  <c r="W89" i="43"/>
  <c r="Z89" i="43" s="1"/>
  <c r="V21" i="43"/>
  <c r="V42" i="43"/>
  <c r="W42" i="43" s="1"/>
  <c r="Z42" i="43" s="1"/>
  <c r="V86" i="43"/>
  <c r="V80" i="43"/>
  <c r="V24" i="43"/>
  <c r="AA8" i="43"/>
  <c r="V30" i="43"/>
  <c r="W30" i="43" s="1"/>
  <c r="Z30" i="43" s="1"/>
  <c r="V38" i="43"/>
  <c r="W38" i="43" s="1"/>
  <c r="Z38" i="43" s="1"/>
  <c r="V50" i="43"/>
  <c r="W50" i="43" s="1"/>
  <c r="Z50" i="43" s="1"/>
  <c r="V17" i="43"/>
  <c r="V22" i="43"/>
  <c r="V9" i="43"/>
  <c r="V90" i="43"/>
  <c r="W90" i="43" s="1"/>
  <c r="Z90" i="43" s="1"/>
  <c r="V26" i="43"/>
  <c r="V34" i="43"/>
  <c r="W34" i="43" s="1"/>
  <c r="Z34" i="43" s="1"/>
  <c r="V40" i="43"/>
  <c r="W40" i="43" s="1"/>
  <c r="Z40" i="43" s="1"/>
  <c r="V46" i="43"/>
  <c r="W46" i="43" s="1"/>
  <c r="Z46" i="43" s="1"/>
  <c r="V58" i="43"/>
  <c r="W58" i="43" s="1"/>
  <c r="Z58" i="43" s="1"/>
  <c r="V13" i="43"/>
  <c r="V20" i="43"/>
  <c r="V16" i="43"/>
  <c r="V28" i="43"/>
  <c r="W28" i="43" s="1"/>
  <c r="Z28" i="43" s="1"/>
  <c r="V7" i="43"/>
  <c r="W7" i="43" s="1"/>
  <c r="Z7" i="43" s="1"/>
  <c r="AF39" i="44"/>
  <c r="AE39" i="44"/>
  <c r="AD39" i="44"/>
  <c r="J39" i="44"/>
  <c r="AG40" i="44"/>
  <c r="AF40" i="44"/>
  <c r="AE40" i="44"/>
  <c r="AD40" i="44"/>
  <c r="J40" i="44"/>
  <c r="AE26" i="44"/>
  <c r="AF28" i="44"/>
  <c r="AE28" i="44"/>
  <c r="AD28" i="44"/>
  <c r="J28" i="44"/>
  <c r="AG29" i="44"/>
  <c r="AF29" i="44"/>
  <c r="AE29" i="44"/>
  <c r="AD29" i="44"/>
  <c r="AG31" i="44"/>
  <c r="AF31" i="44"/>
  <c r="AE31" i="44"/>
  <c r="AD31" i="44"/>
  <c r="J31" i="44"/>
  <c r="AG32" i="44"/>
  <c r="AF32" i="44"/>
  <c r="AE32" i="44"/>
  <c r="AD32" i="44"/>
  <c r="J32" i="44"/>
  <c r="AD34" i="44"/>
  <c r="J35" i="44"/>
  <c r="AG36" i="44"/>
  <c r="AF36" i="44"/>
  <c r="AE36" i="44"/>
  <c r="AD36" i="44"/>
  <c r="J36" i="44"/>
  <c r="AG37" i="44"/>
  <c r="AD22" i="44"/>
  <c r="AG6" i="44"/>
  <c r="AF6" i="44"/>
  <c r="AE6" i="44"/>
  <c r="J6" i="44"/>
  <c r="AG9" i="44"/>
  <c r="AF9" i="44"/>
  <c r="AD14" i="44"/>
  <c r="J14" i="44"/>
  <c r="AD18" i="44"/>
  <c r="J18" i="44"/>
  <c r="AG20" i="44"/>
  <c r="AF20" i="44"/>
  <c r="AE20" i="44"/>
  <c r="AD20" i="44"/>
  <c r="J20" i="44"/>
  <c r="Y9" i="56" l="1"/>
  <c r="Y22" i="56"/>
  <c r="Z23" i="56" s="1"/>
  <c r="Y6" i="56"/>
  <c r="Y13" i="56"/>
  <c r="Y19" i="56"/>
  <c r="Y18" i="56"/>
  <c r="Y11" i="56"/>
  <c r="Y17" i="56"/>
  <c r="Y26" i="56"/>
  <c r="Z27" i="56" s="1"/>
  <c r="Y10" i="56"/>
  <c r="Y8" i="56"/>
  <c r="Z12" i="56" s="1"/>
  <c r="Y24" i="56"/>
  <c r="Z25" i="56" s="1"/>
  <c r="Y20" i="56"/>
  <c r="Y14" i="56"/>
  <c r="Y16" i="56"/>
  <c r="AD5" i="44"/>
  <c r="J5" i="44"/>
  <c r="AF22" i="44"/>
  <c r="AG13" i="44"/>
  <c r="AD35" i="44"/>
  <c r="J37" i="44"/>
  <c r="AE35" i="44"/>
  <c r="AE22" i="44"/>
  <c r="AF13" i="44"/>
  <c r="AF35" i="44"/>
  <c r="AD37" i="44"/>
  <c r="AH37" i="44" s="1"/>
  <c r="AE37" i="44"/>
  <c r="AG22" i="44"/>
  <c r="J34" i="44"/>
  <c r="AA92" i="43"/>
  <c r="AE34" i="44"/>
  <c r="J25" i="44"/>
  <c r="AF34" i="44"/>
  <c r="AG24" i="44"/>
  <c r="AE23" i="44"/>
  <c r="J23" i="44"/>
  <c r="AF23" i="44"/>
  <c r="AD23" i="44"/>
  <c r="AH23" i="44" s="1"/>
  <c r="AE5" i="44"/>
  <c r="AH5" i="44" s="1"/>
  <c r="AD7" i="44"/>
  <c r="AG18" i="44"/>
  <c r="J7" i="44"/>
  <c r="AG7" i="44"/>
  <c r="AF5" i="44"/>
  <c r="AE7" i="44"/>
  <c r="AH7" i="44" s="1"/>
  <c r="AE18" i="44"/>
  <c r="AH18" i="44" s="1"/>
  <c r="AE14" i="44"/>
  <c r="J13" i="44"/>
  <c r="AD13" i="44"/>
  <c r="AH13" i="44" s="1"/>
  <c r="J30" i="44"/>
  <c r="AE30" i="44"/>
  <c r="AD25" i="44"/>
  <c r="J27" i="44"/>
  <c r="AE25" i="44"/>
  <c r="AF30" i="44"/>
  <c r="AD27" i="44"/>
  <c r="AE27" i="44"/>
  <c r="AG25" i="44"/>
  <c r="AF26" i="44"/>
  <c r="AF27" i="44"/>
  <c r="J24" i="44"/>
  <c r="AD30" i="44"/>
  <c r="AH30" i="44" s="1"/>
  <c r="AD24" i="44"/>
  <c r="AH24" i="44" s="1"/>
  <c r="J26" i="44"/>
  <c r="AE24" i="44"/>
  <c r="AG26" i="44"/>
  <c r="H33" i="44"/>
  <c r="W80" i="43"/>
  <c r="Z80" i="43" s="1"/>
  <c r="AA85" i="43" s="1"/>
  <c r="H16" i="44"/>
  <c r="W21" i="43"/>
  <c r="Z21" i="43" s="1"/>
  <c r="H4" i="44"/>
  <c r="W9" i="43"/>
  <c r="Z9" i="43" s="1"/>
  <c r="AA65" i="43" s="1"/>
  <c r="AA96" i="43" s="1"/>
  <c r="H17" i="44"/>
  <c r="AG17" i="44" s="1"/>
  <c r="W22" i="43"/>
  <c r="Z22" i="43" s="1"/>
  <c r="AE10" i="44"/>
  <c r="H12" i="44"/>
  <c r="W17" i="43"/>
  <c r="Z17" i="43" s="1"/>
  <c r="H21" i="44"/>
  <c r="AG21" i="44" s="1"/>
  <c r="W26" i="43"/>
  <c r="Z26" i="43" s="1"/>
  <c r="AF14" i="44"/>
  <c r="H11" i="44"/>
  <c r="AF11" i="44" s="1"/>
  <c r="W16" i="43"/>
  <c r="Z16" i="43" s="1"/>
  <c r="AG10" i="44"/>
  <c r="H15" i="44"/>
  <c r="J15" i="44" s="1"/>
  <c r="W20" i="43"/>
  <c r="Z20" i="43" s="1"/>
  <c r="J10" i="44"/>
  <c r="AD10" i="44"/>
  <c r="J9" i="44"/>
  <c r="H8" i="44"/>
  <c r="W13" i="43"/>
  <c r="Z13" i="43" s="1"/>
  <c r="AD9" i="44"/>
  <c r="AH9" i="44" s="1"/>
  <c r="H19" i="44"/>
  <c r="W24" i="43"/>
  <c r="Z24" i="43" s="1"/>
  <c r="H38" i="44"/>
  <c r="W86" i="43"/>
  <c r="Z86" i="43" s="1"/>
  <c r="AA88" i="43" s="1"/>
  <c r="J11" i="44"/>
  <c r="AE11" i="44"/>
  <c r="H3" i="44"/>
  <c r="AE8" i="44"/>
  <c r="AH20" i="44"/>
  <c r="AH6" i="44"/>
  <c r="AH22" i="44"/>
  <c r="AH36" i="44"/>
  <c r="AH35" i="44"/>
  <c r="AH34" i="44"/>
  <c r="AH32" i="44"/>
  <c r="AH31" i="44"/>
  <c r="AH29" i="44"/>
  <c r="AH28" i="44"/>
  <c r="AH40" i="44"/>
  <c r="AH39" i="44"/>
  <c r="Z21" i="56" l="1"/>
  <c r="Z15" i="56"/>
  <c r="AH25" i="44"/>
  <c r="AH27" i="44"/>
  <c r="AH26" i="44"/>
  <c r="AH14" i="44"/>
  <c r="AD11" i="44"/>
  <c r="AE15" i="44"/>
  <c r="AG11" i="44"/>
  <c r="AH10" i="44"/>
  <c r="J33" i="44"/>
  <c r="AG33" i="44"/>
  <c r="AF33" i="44"/>
  <c r="AE33" i="44"/>
  <c r="AD33" i="44"/>
  <c r="AG8" i="44"/>
  <c r="J8" i="44"/>
  <c r="AD8" i="44"/>
  <c r="AF21" i="44"/>
  <c r="AF8" i="44"/>
  <c r="AD17" i="44"/>
  <c r="AE17" i="44"/>
  <c r="J12" i="44"/>
  <c r="AG12" i="44"/>
  <c r="AD12" i="44"/>
  <c r="AE12" i="44"/>
  <c r="AF12" i="44"/>
  <c r="J21" i="44"/>
  <c r="N4" i="55"/>
  <c r="AE19" i="44"/>
  <c r="AD19" i="44"/>
  <c r="J19" i="44"/>
  <c r="AG19" i="44"/>
  <c r="AF19" i="44"/>
  <c r="J17" i="44"/>
  <c r="AF4" i="44"/>
  <c r="AG4" i="44"/>
  <c r="AE4" i="44"/>
  <c r="AD4" i="44"/>
  <c r="J4" i="44"/>
  <c r="AF17" i="44"/>
  <c r="AF15" i="44"/>
  <c r="AG15" i="44"/>
  <c r="AD15" i="44"/>
  <c r="AH15" i="44" s="1"/>
  <c r="AE21" i="44"/>
  <c r="AD21" i="44"/>
  <c r="AH11" i="44"/>
  <c r="AF16" i="44"/>
  <c r="AE16" i="44"/>
  <c r="AD16" i="44"/>
  <c r="AG16" i="44"/>
  <c r="J16" i="44"/>
  <c r="AE38" i="44"/>
  <c r="J38" i="44"/>
  <c r="AD38" i="44"/>
  <c r="AG38" i="44"/>
  <c r="AF38" i="44"/>
  <c r="AG3" i="44"/>
  <c r="AF3" i="44"/>
  <c r="AE3" i="44"/>
  <c r="AD3" i="44"/>
  <c r="J3" i="44"/>
  <c r="AH12" i="44" l="1"/>
  <c r="AH33" i="44"/>
  <c r="AH17" i="44"/>
  <c r="AH21" i="44"/>
  <c r="AH8" i="44"/>
  <c r="AH19" i="44"/>
  <c r="AH16" i="44"/>
  <c r="AH4" i="44"/>
  <c r="AH38" i="44"/>
  <c r="AH3" i="44"/>
  <c r="AH53" i="44" s="1"/>
  <c r="Y5" i="56"/>
  <c r="Z7" i="56" s="1"/>
  <c r="Z29" i="56" s="1"/>
  <c r="N5" i="55" s="1"/>
  <c r="N6" i="55" s="1"/>
  <c r="N8" i="55" l="1"/>
  <c r="N7" i="55"/>
  <c r="N17" i="55" s="1"/>
  <c r="E17" i="51" l="1"/>
  <c r="G17" i="51" s="1"/>
  <c r="I17" i="51" s="1"/>
  <c r="I18" i="51" s="1"/>
  <c r="L4" i="67" s="1"/>
  <c r="L8" i="67" s="1"/>
  <c r="L9" i="53" s="1"/>
  <c r="L4" i="53"/>
  <c r="L10" i="53" l="1"/>
  <c r="U4" i="53" s="1"/>
  <c r="U9" i="53" l="1"/>
  <c r="O11" i="53"/>
  <c r="N7" i="52" s="1"/>
  <c r="U10" i="53"/>
  <c r="U5" i="53"/>
  <c r="O12" i="53"/>
  <c r="N8" i="52" s="1"/>
  <c r="U7" i="53"/>
  <c r="U8" i="53"/>
  <c r="U6" i="53"/>
  <c r="N6" i="52"/>
  <c r="R6" i="52" l="1"/>
  <c r="Z6" i="52"/>
  <c r="V6" i="52"/>
  <c r="Z8" i="52"/>
  <c r="R8" i="52"/>
  <c r="V8" i="52"/>
  <c r="L13" i="53"/>
  <c r="Z7" i="52"/>
  <c r="V7" i="52"/>
  <c r="R7" i="52"/>
  <c r="O14" i="53" l="1"/>
  <c r="N9" i="52"/>
  <c r="O16" i="53"/>
  <c r="N5" i="52" l="1"/>
  <c r="O17" i="53"/>
  <c r="N11" i="52" s="1"/>
  <c r="N16" i="52"/>
  <c r="L28" i="52"/>
  <c r="Z9" i="52"/>
  <c r="R9" i="52"/>
  <c r="L26" i="52"/>
  <c r="V9" i="52"/>
  <c r="N4" i="52"/>
  <c r="O15" i="53"/>
  <c r="V4" i="52" l="1"/>
  <c r="Z4" i="52"/>
  <c r="R4" i="52"/>
  <c r="N10" i="52"/>
  <c r="O18" i="53"/>
  <c r="N12" i="52" s="1"/>
  <c r="R16" i="52"/>
  <c r="Z16" i="52"/>
  <c r="V16" i="52"/>
  <c r="L18" i="52" s="1"/>
  <c r="V11" i="52"/>
  <c r="Z11" i="52"/>
  <c r="R11" i="52"/>
  <c r="R5" i="52"/>
  <c r="Z5" i="52"/>
  <c r="V5" i="52"/>
  <c r="L30" i="52" l="1"/>
  <c r="L32" i="52" s="1"/>
  <c r="N21" i="52"/>
  <c r="N20" i="52" s="1"/>
  <c r="R12" i="52"/>
  <c r="Z12" i="52"/>
  <c r="V12" i="52"/>
  <c r="N17" i="52"/>
  <c r="V10" i="52"/>
  <c r="R10" i="52"/>
  <c r="Z10" i="52"/>
  <c r="Z17" i="52" l="1"/>
  <c r="R17" i="52"/>
  <c r="V17" i="52"/>
  <c r="L19" i="52" l="1"/>
</calcChain>
</file>

<file path=xl/comments1.xml><?xml version="1.0" encoding="utf-8"?>
<comments xmlns="http://schemas.openxmlformats.org/spreadsheetml/2006/main">
  <authors>
    <author>María Blázquez</author>
  </authors>
  <commentList>
    <comment ref="L14" authorId="0" shapeId="0">
      <text>
        <r>
          <rPr>
            <b/>
            <sz val="9"/>
            <rFont val="Tahoma"/>
            <charset val="134"/>
          </rPr>
          <t>Estimado</t>
        </r>
      </text>
    </comment>
    <comment ref="L16" authorId="0" shapeId="0">
      <text>
        <r>
          <rPr>
            <sz val="9"/>
            <rFont val="Tahoma"/>
            <charset val="134"/>
          </rPr>
          <t>Estimado</t>
        </r>
      </text>
    </comment>
  </commentList>
</comments>
</file>

<file path=xl/comments2.xml><?xml version="1.0" encoding="utf-8"?>
<comments xmlns="http://schemas.openxmlformats.org/spreadsheetml/2006/main">
  <authors>
    <author>mls</author>
  </authors>
  <commentList>
    <comment ref="AC6" authorId="0" shapeId="0">
      <text>
        <r>
          <rPr>
            <b/>
            <sz val="8"/>
            <rFont val="Tahoma"/>
            <charset val="134"/>
          </rPr>
          <t>Coste de Reparación: % respecto al precio de adquisición. 0,01%</t>
        </r>
      </text>
    </comment>
  </commentList>
</comments>
</file>

<file path=xl/comments3.xml><?xml version="1.0" encoding="utf-8"?>
<comments xmlns="http://schemas.openxmlformats.org/spreadsheetml/2006/main">
  <authors>
    <author>María Blázquez</author>
  </authors>
  <commentList>
    <comment ref="D11" authorId="0" shapeId="0">
      <text>
        <r>
          <rPr>
            <b/>
            <sz val="9"/>
            <rFont val="Tahoma"/>
            <charset val="134"/>
          </rPr>
          <t>María Blázquez:</t>
        </r>
        <r>
          <rPr>
            <sz val="9"/>
            <rFont val="Tahoma"/>
            <charset val="134"/>
          </rPr>
          <t xml:space="preserve">
Coste equipo / día</t>
        </r>
      </text>
    </comment>
  </commentList>
</comments>
</file>

<file path=xl/sharedStrings.xml><?xml version="1.0" encoding="utf-8"?>
<sst xmlns="http://schemas.openxmlformats.org/spreadsheetml/2006/main" count="2230" uniqueCount="970">
  <si>
    <t>PRESUPUESTO BASE LICITACIÓN</t>
  </si>
  <si>
    <t>AÑO 1</t>
  </si>
  <si>
    <t>AÑO2</t>
  </si>
  <si>
    <t>AÑO3</t>
  </si>
  <si>
    <t>AÑO4</t>
  </si>
  <si>
    <t>a1</t>
  </si>
  <si>
    <t>Total Costes Conservación</t>
  </si>
  <si>
    <t>a2</t>
  </si>
  <si>
    <t>Total Costes Limpieza</t>
  </si>
  <si>
    <t>A = a1+a2</t>
  </si>
  <si>
    <t>TOTAL COSTES EJECUCIÓN MATERIAL</t>
  </si>
  <si>
    <t>B</t>
  </si>
  <si>
    <t>Gastos Generales</t>
  </si>
  <si>
    <t>C</t>
  </si>
  <si>
    <t>Beneficio industrial</t>
  </si>
  <si>
    <t>D=A+B+C</t>
  </si>
  <si>
    <t>TOTAL CANON ANUAL SIN IVA</t>
  </si>
  <si>
    <t>E=21% · a2</t>
  </si>
  <si>
    <t>IVA Conservación</t>
  </si>
  <si>
    <t>F=10% · a2</t>
  </si>
  <si>
    <t>IVA Limpieza</t>
  </si>
  <si>
    <t>G=D+E+F</t>
  </si>
  <si>
    <t>TOTAL CANON ANUAL CON IVA</t>
  </si>
  <si>
    <t>H</t>
  </si>
  <si>
    <t>TRABAJOS POR MEDICIÓN/SUMINISTRO SIN IVA</t>
  </si>
  <si>
    <t>I</t>
  </si>
  <si>
    <t>IVA Trabajos medición</t>
  </si>
  <si>
    <t>J=H+I</t>
  </si>
  <si>
    <t>TRABAJOS MEDICIÓN CON IVA</t>
  </si>
  <si>
    <t>K=D+H</t>
  </si>
  <si>
    <t>PRECIO BASE LICITACIÓN ANUAL SIN IVA</t>
  </si>
  <si>
    <t>P=G+J</t>
  </si>
  <si>
    <t>PRECIO BASE LICITACIÓN ANUAL CON IVA</t>
  </si>
  <si>
    <t>L</t>
  </si>
  <si>
    <t>TOTAL PRECIO BASE LICITACIÓN SIN IVA</t>
  </si>
  <si>
    <t>M</t>
  </si>
  <si>
    <t>TOTAL PRECIO BASE LICITACIÓN CON IVA</t>
  </si>
  <si>
    <t>%</t>
  </si>
  <si>
    <t>DESGLOSE COSTES DIRECTOS</t>
  </si>
  <si>
    <t>DESGLOSE COSTES INDIRECTOS</t>
  </si>
  <si>
    <t>VALOR ESTIMADO</t>
  </si>
  <si>
    <t>TOTAL PRECIO BASE LICITACIÓN ANUAL SIN IVA</t>
  </si>
  <si>
    <t>N</t>
  </si>
  <si>
    <t xml:space="preserve">PRÓRROGA: </t>
  </si>
  <si>
    <t>Canon Anual año 5 (actualizado con costes salariales convenio, GG+BI, sin IVA)</t>
  </si>
  <si>
    <t>Coeficiente de ajuste año 5</t>
  </si>
  <si>
    <t>Trabajos Medición/suministro año 5</t>
  </si>
  <si>
    <t>Canon Anual año 6 (actualizado con costes salariales convenio, GG+BI, sin IVA)</t>
  </si>
  <si>
    <t>Coeficiente de ajuste año 6</t>
  </si>
  <si>
    <t>Trabajos Medición/suministro año 6</t>
  </si>
  <si>
    <t>O</t>
  </si>
  <si>
    <t>MODIFICACIONES PREVISTAS (art.204 &lt;20% PBL)</t>
  </si>
  <si>
    <t>Coeficiente modificaciones previstas</t>
  </si>
  <si>
    <t>R=L+N+O</t>
  </si>
  <si>
    <t>TOTAL VALOR ESTIMADO</t>
  </si>
  <si>
    <t>COSTES EJECUCIÓN MATERIAL (AÑO 1)</t>
  </si>
  <si>
    <t>TOTAL</t>
  </si>
  <si>
    <t>A. TOTAL COSTES DE PERSONAL</t>
  </si>
  <si>
    <t>B. TOTAL COSTES DE VEHÍCULOS Y MAQUINARIA</t>
  </si>
  <si>
    <t>C. TOTAL COSTES VESTUARIO, EQUIPAMIENTOS, ÚTILES Y HERRAMIENTAS</t>
  </si>
  <si>
    <t>D. TOTAL COSTES LOCALES E INSTALACIONES</t>
  </si>
  <si>
    <t>E. TOTAL COSTES MATERIALES DE CONSERVACIÓN</t>
  </si>
  <si>
    <t>F. TOTAL OTROS COSTES</t>
  </si>
  <si>
    <t>TOTAL COSTES EJECUCIÓN MATERIAL DEL SERVICIO (AÑO 1)</t>
  </si>
  <si>
    <t>Beneficio Industrial</t>
  </si>
  <si>
    <t>TOTAL CANON ANUAL SIN IVA (AÑO 1)</t>
  </si>
  <si>
    <t xml:space="preserve">CANON ANUAL CONSERVACIÓN </t>
  </si>
  <si>
    <t>CANON ANUAL LIMPIEZA</t>
  </si>
  <si>
    <t>TOTAL CANON ANUAL CON IVA (AÑO 1)</t>
  </si>
  <si>
    <t>TRABAJOS POR MEDICIÓN / SUMINISTRO</t>
  </si>
  <si>
    <t>TRABAJOS</t>
  </si>
  <si>
    <t>MEDICIÓN ESTIMADA</t>
  </si>
  <si>
    <t>PRECIO UNITARIO</t>
  </si>
  <si>
    <t>COSTE ESTIMADO</t>
  </si>
  <si>
    <t>Suministro de elementos de redes de riego</t>
  </si>
  <si>
    <t>m2</t>
  </si>
  <si>
    <t>Renovación</t>
  </si>
  <si>
    <t>Reparación por vandalismo y/o eventos climáticos</t>
  </si>
  <si>
    <t>Suministro de elementos vegetales</t>
  </si>
  <si>
    <t>Árbol contenedor</t>
  </si>
  <si>
    <t>Árbol cepellón</t>
  </si>
  <si>
    <t>Arbusto</t>
  </si>
  <si>
    <t>Suministro de tratamiento integral plagas</t>
  </si>
  <si>
    <t>Herbicida  - Ácido Acético</t>
  </si>
  <si>
    <t>Medida Cultural Potenciador Biológico foliar</t>
  </si>
  <si>
    <t>Medida Cultural Potenciador Biológico radicular</t>
  </si>
  <si>
    <t>Medida Cultural Potenciador Enmiendas minerales</t>
  </si>
  <si>
    <t>Suministro de materiales de conservación o reposición  de elementos de obra civil</t>
  </si>
  <si>
    <t>Reparación</t>
  </si>
  <si>
    <t>Suministro de materiales de conservación o reposición de mobiliario y juegos</t>
  </si>
  <si>
    <t>Reposición bancos vandalismo</t>
  </si>
  <si>
    <t>Renovación bancos</t>
  </si>
  <si>
    <t>Renovación juegos infantiles</t>
  </si>
  <si>
    <t>Reposición juegos infantiles</t>
  </si>
  <si>
    <t>Reposición A.mayores</t>
  </si>
  <si>
    <t>Maquinaria específica para operaciones extraordinarias</t>
  </si>
  <si>
    <t>Jornada</t>
  </si>
  <si>
    <t>Plataforma poda &gt; 20 m</t>
  </si>
  <si>
    <t xml:space="preserve">Retro-Excavadora 95 CV </t>
  </si>
  <si>
    <t>Estudios proyectos y asistencias técnicas</t>
  </si>
  <si>
    <t>Estudios de plagas y enfermedades</t>
  </si>
  <si>
    <t>Horas técnico especialista</t>
  </si>
  <si>
    <t>TOTAL COSTE DE EJECUCIÓN MATERIAL</t>
  </si>
  <si>
    <t>TOTAL TRABAJOS POR MEDICIÓN/SUMINISTRO SIN IVA</t>
  </si>
  <si>
    <t xml:space="preserve">IVA </t>
  </si>
  <si>
    <t xml:space="preserve">TOTAL TRABAJOS POR MEDICIÓN/SUMINISTRO CON IVA </t>
  </si>
  <si>
    <t>RESUMEN COSTES DE PERSONAL ANUAL</t>
  </si>
  <si>
    <t>CONCEPTOS</t>
  </si>
  <si>
    <t>COSTE ANUAL</t>
  </si>
  <si>
    <t>A.1</t>
  </si>
  <si>
    <t>COSTES SALARIALES DEL PERSONAL A SUBROGAR</t>
  </si>
  <si>
    <t>A.2</t>
  </si>
  <si>
    <t>COSTES SALARIALES DEL PERSONAL DE NUEVA CONTRATACIÓN</t>
  </si>
  <si>
    <t>A.3</t>
  </si>
  <si>
    <t>SUSTITUCIÓN DE VACACIONES</t>
  </si>
  <si>
    <t>A.4</t>
  </si>
  <si>
    <t>SUSTITUCIÓN HORAS FORMACIÓN</t>
  </si>
  <si>
    <t>A.5</t>
  </si>
  <si>
    <t>ABSENTISMO (Y BAJAS)</t>
  </si>
  <si>
    <t>A.6</t>
  </si>
  <si>
    <t>PELIGROSIDAD Y OTROS</t>
  </si>
  <si>
    <t>Nº OPERARIOS</t>
  </si>
  <si>
    <t>Nº JORNADAS /MES</t>
  </si>
  <si>
    <t>Nº MESES</t>
  </si>
  <si>
    <t>TOTAL JORNADAS</t>
  </si>
  <si>
    <t>COSTE JORNADA</t>
  </si>
  <si>
    <t>TOTAL COSTE</t>
  </si>
  <si>
    <t>Plus peligrosidad para todo el personal salvo poda</t>
  </si>
  <si>
    <t>Plus de poda en la modalidad de trepa</t>
  </si>
  <si>
    <t>Plus de poda en la modalidad de cesta</t>
  </si>
  <si>
    <t>Plus de poda por manejo de astilladora</t>
  </si>
  <si>
    <t>Horarios nocturnos para riegos y tratamientos fit.</t>
  </si>
  <si>
    <t>Gratificaciones por permanencia y otros</t>
  </si>
  <si>
    <t>TOTAL COSTES DE PERSONAL</t>
  </si>
  <si>
    <t>Inicio contrato año</t>
  </si>
  <si>
    <t>RESUMEN PERSONAL</t>
  </si>
  <si>
    <t>Final contrato año</t>
  </si>
  <si>
    <t>Peón</t>
  </si>
  <si>
    <t>Auxiliar jardinero/a</t>
  </si>
  <si>
    <t>Jardinero/a</t>
  </si>
  <si>
    <t>Oficial Jardinero/a</t>
  </si>
  <si>
    <t>Encargado/a</t>
  </si>
  <si>
    <t>Técnico/a</t>
  </si>
  <si>
    <t>Administrativo/a</t>
  </si>
  <si>
    <t>CONVENIO ESTATAL 2021-2024</t>
  </si>
  <si>
    <t>COSTES UNITARIOS DE PERSONAL</t>
  </si>
  <si>
    <t>ANEXO I Tablas salariales</t>
  </si>
  <si>
    <t>TABLAS SALARIALES AÑO 2023</t>
  </si>
  <si>
    <t>TABLAS SALARIALES MEDIAS</t>
  </si>
  <si>
    <t>Salario base mensual anualidades 2021-2024</t>
  </si>
  <si>
    <t>OFICIOS</t>
  </si>
  <si>
    <t>Aprendiz jardinero</t>
  </si>
  <si>
    <t>CATEGORÍA</t>
  </si>
  <si>
    <t>SB</t>
  </si>
  <si>
    <t>P. CONS VES</t>
  </si>
  <si>
    <t>P. TRANS</t>
  </si>
  <si>
    <t>P. EXTRA</t>
  </si>
  <si>
    <t>P. VERDE</t>
  </si>
  <si>
    <t>P. VINC</t>
  </si>
  <si>
    <t>Limpiador/a</t>
  </si>
  <si>
    <t>Vigilante</t>
  </si>
  <si>
    <t>Oficial jardinero/a</t>
  </si>
  <si>
    <t>Oficial conductor</t>
  </si>
  <si>
    <t>Maestro jardinero</t>
  </si>
  <si>
    <t>Encargado</t>
  </si>
  <si>
    <t>ADMINISTRATIVOS</t>
  </si>
  <si>
    <t>Aprendiz administrativo/a</t>
  </si>
  <si>
    <t>Aspirante</t>
  </si>
  <si>
    <t>Auxiliar administrativo/a</t>
  </si>
  <si>
    <t>Oficial administrativo/a</t>
  </si>
  <si>
    <t>Jefe/a administrativo/a</t>
  </si>
  <si>
    <t>TÉCNICOS</t>
  </si>
  <si>
    <t>Delineante</t>
  </si>
  <si>
    <t>Técnico/a no titolado/a</t>
  </si>
  <si>
    <t>Técnico/a titulado/a</t>
  </si>
  <si>
    <t>Técnico/a diplomado/a</t>
  </si>
  <si>
    <t>Técnico/a licenciado/a</t>
  </si>
  <si>
    <t>ANEXO II Tablas de vinculación y antigüedades</t>
  </si>
  <si>
    <t>Antigüedad</t>
  </si>
  <si>
    <t>Personal oficios manuales</t>
  </si>
  <si>
    <t>Personal administrativo</t>
  </si>
  <si>
    <t>Personal técnico</t>
  </si>
  <si>
    <t>2 años</t>
  </si>
  <si>
    <t>TABLAS SALARIALES AÑO 2024</t>
  </si>
  <si>
    <t>6 años</t>
  </si>
  <si>
    <t>10 años</t>
  </si>
  <si>
    <t>14 años</t>
  </si>
  <si>
    <t>18 años</t>
  </si>
  <si>
    <t>20 años</t>
  </si>
  <si>
    <t>22 años</t>
  </si>
  <si>
    <t>24 años</t>
  </si>
  <si>
    <t>26 años</t>
  </si>
  <si>
    <t>28 años</t>
  </si>
  <si>
    <t>TABLAS SALARIALES AÑO 2025</t>
  </si>
  <si>
    <t>INCREMENTO</t>
  </si>
  <si>
    <t>Otras tablas</t>
  </si>
  <si>
    <t>PLUSES TRABAJOS TÓXICOS, PENOSOS Y PELIGROSOS 2021-2024</t>
  </si>
  <si>
    <t>Plus de trabajos tóxicos, penosos o peligrosos. Día completo.</t>
  </si>
  <si>
    <t>Plus de trabajos tóxicos, penosos o peligrosos. Hora o fracción superior a treinta minutos</t>
  </si>
  <si>
    <t>Plus de trabajos tóxicos, penosos o peligrosos. Fracción inferior a treinta minutos</t>
  </si>
  <si>
    <t>DESPLAZAMIENTOS Y DIETAS</t>
  </si>
  <si>
    <t>Media dieta</t>
  </si>
  <si>
    <t>Dieta completa</t>
  </si>
  <si>
    <t>GRATIFICACIÓN POR PERMANENCIA</t>
  </si>
  <si>
    <t>TABLAS SALARIALES AÑO 2026</t>
  </si>
  <si>
    <t>A los 60 años</t>
  </si>
  <si>
    <t>A los 61 años</t>
  </si>
  <si>
    <t>A los 62 años</t>
  </si>
  <si>
    <t>A los 63 años</t>
  </si>
  <si>
    <t>A los 64 años</t>
  </si>
  <si>
    <t>BENEFICIOS SOCIALES</t>
  </si>
  <si>
    <t>Por matrimonio de la persona trabajadora</t>
  </si>
  <si>
    <t>Por nacimiento de cada hijo</t>
  </si>
  <si>
    <t>TABLAS SALARIALES AÑO 2027</t>
  </si>
  <si>
    <t>TABLAS SALARIALES AÑO 2028</t>
  </si>
  <si>
    <t>MEDIOS PERSONALES - INFORMACIÓN COSTES SOBRE EL PERSONAL A SUBROGAR</t>
  </si>
  <si>
    <t>GÉNERO</t>
  </si>
  <si>
    <t>TIPO CONTRATO</t>
  </si>
  <si>
    <t>FECHA ANTIGÜEDAD</t>
  </si>
  <si>
    <t>ANTIGÜEDAD MEDIA</t>
  </si>
  <si>
    <t>VENCIMIENTO CONTRATO</t>
  </si>
  <si>
    <t>JORNADA</t>
  </si>
  <si>
    <t>SALARIO BASE MENSUAL (S.B.M.)</t>
  </si>
  <si>
    <t>COSTE ANTIGÜEDAD MES (C.A.M.)</t>
  </si>
  <si>
    <t>PAGA EXTRA (S.B.M. + C.A.M.)</t>
  </si>
  <si>
    <t>PAGA VERDE</t>
  </si>
  <si>
    <t>PAGA DE VINCULACIÓN</t>
  </si>
  <si>
    <t>PLUS DE NOCTURNIDAD</t>
  </si>
  <si>
    <t>PLUS TRABAJOS TÓXICOS PENOSOS O PELIGROSOS</t>
  </si>
  <si>
    <t>OTROS PLUSES MES COTIZABLES AÑO</t>
  </si>
  <si>
    <t>SUMA CONCEPTOS COTIZABLES AÑO</t>
  </si>
  <si>
    <t>PLUS TRANSPORTE MES</t>
  </si>
  <si>
    <t>PLUS VESTUARIO AÑO</t>
  </si>
  <si>
    <t>SUMA CONCEPTOS NO COTIZABLES AÑO</t>
  </si>
  <si>
    <t>% COTIZACIÓN SEGURIDAD SOCIAL 32%-38%</t>
  </si>
  <si>
    <t>IMPORTE SEGURIDAD SOCIAL</t>
  </si>
  <si>
    <t>TOTAL COSTE EMPRESA POR UD</t>
  </si>
  <si>
    <t>TOTAL COSTE EMPRESA POR CATEGORÍA</t>
  </si>
  <si>
    <t>FRECUENCIA / AÑO</t>
  </si>
  <si>
    <t xml:space="preserve"> PEÓN  </t>
  </si>
  <si>
    <t xml:space="preserve"> AUXILIAR JARD.  </t>
  </si>
  <si>
    <t>F</t>
  </si>
  <si>
    <t xml:space="preserve"> JARDINERO/A</t>
  </si>
  <si>
    <t xml:space="preserve"> OFICIAL JARD.  </t>
  </si>
  <si>
    <t xml:space="preserve"> OFICIAL COND.  </t>
  </si>
  <si>
    <t xml:space="preserve"> ENCARGADO/A</t>
  </si>
  <si>
    <t xml:space="preserve"> TÉCNICO/A DIPLOMADO/A  </t>
  </si>
  <si>
    <t xml:space="preserve"> TÉCNICO/A LICENCIADO/A  </t>
  </si>
  <si>
    <t xml:space="preserve"> ADMINISTRATIVO/A  </t>
  </si>
  <si>
    <t>TOTAL COSTE MEDIOS A SUBROGAR</t>
  </si>
  <si>
    <t xml:space="preserve"> </t>
  </si>
  <si>
    <t>MEDIOS PERSONALES - CÁLCULO COSTES ANTIGÜEDAD</t>
  </si>
  <si>
    <t>AÑO ANTIGÜEDAD</t>
  </si>
  <si>
    <t>AÑO INICIO SERVICIO</t>
  </si>
  <si>
    <t>TRAMO ANTIGËDAD INICIO</t>
  </si>
  <si>
    <t>AÑO FINAL SERVICIO</t>
  </si>
  <si>
    <t>TRAMO ANTIGËDAD FINAL</t>
  </si>
  <si>
    <t>TRAMO SUPERIOR ANTIGÜEDAD MEDIA</t>
  </si>
  <si>
    <t>Personal Oficios</t>
  </si>
  <si>
    <t>Personal Administrativo</t>
  </si>
  <si>
    <t>Personal Técnico</t>
  </si>
  <si>
    <t>AÑO ANTUGÜEDAD</t>
  </si>
  <si>
    <t xml:space="preserve">Nº ORDEN </t>
  </si>
  <si>
    <t xml:space="preserve">CONTRATO </t>
  </si>
  <si>
    <t xml:space="preserve">FECHA ANTIGÜEDAD </t>
  </si>
  <si>
    <t xml:space="preserve">CATEGORIA </t>
  </si>
  <si>
    <t xml:space="preserve">JORNADA </t>
  </si>
  <si>
    <t xml:space="preserve">TIPO CONTRATO </t>
  </si>
  <si>
    <t xml:space="preserve">CONVENIO APLICACIÓN </t>
  </si>
  <si>
    <t xml:space="preserve">SAL.BRUTO ANUAL (ANTIG.+COMP.) </t>
  </si>
  <si>
    <t xml:space="preserve">TOTAL COSTE EMPRESA </t>
  </si>
  <si>
    <t>% COSTE EMPRESA</t>
  </si>
  <si>
    <t>Antiguedad</t>
  </si>
  <si>
    <t>Plus transp+ropa</t>
  </si>
  <si>
    <t>Plus prod.</t>
  </si>
  <si>
    <t>A2023</t>
  </si>
  <si>
    <t>A2024</t>
  </si>
  <si>
    <t>A2025</t>
  </si>
  <si>
    <t>A2026</t>
  </si>
  <si>
    <t>SB2023</t>
  </si>
  <si>
    <t>SB2024</t>
  </si>
  <si>
    <t>SB2025</t>
  </si>
  <si>
    <t>SB2026</t>
  </si>
  <si>
    <t>Coste de empresa medio
duracion de contrato</t>
  </si>
  <si>
    <t xml:space="preserve">OBSERVACIONES </t>
  </si>
  <si>
    <t xml:space="preserve">LOTE 1 </t>
  </si>
  <si>
    <t xml:space="preserve"> Peón  </t>
  </si>
  <si>
    <t xml:space="preserve">DE LUNES A VIERNES </t>
  </si>
  <si>
    <t>Convenio Estatal de Jardineria 2021-2024 + Acuerdo Colectivo...</t>
  </si>
  <si>
    <t xml:space="preserve"> Auxiliar Jardinero  </t>
  </si>
  <si>
    <t xml:space="preserve">FIN CONTRATO POR INCAPACIDAD TOTAL: 18/02/2018 / PROXIMA REVISION 01/03/2020 </t>
  </si>
  <si>
    <t xml:space="preserve">Jardinero  </t>
  </si>
  <si>
    <t xml:space="preserve">Oficial </t>
  </si>
  <si>
    <t xml:space="preserve">FECHA FIN EXCEDENCIA 30/09/2019 </t>
  </si>
  <si>
    <t xml:space="preserve">FIN REDUCCIÓN CUIDADO DE HIJOS: 28/04/2027 / REDUCCION JORNADA 92,93% </t>
  </si>
  <si>
    <t>Jefe de servicio</t>
  </si>
  <si>
    <t>Auxiliar administrativo</t>
  </si>
  <si>
    <t>NUEVA INCORP</t>
  </si>
  <si>
    <t xml:space="preserve">FIN CONTRATO: 15/10/2018 </t>
  </si>
  <si>
    <t xml:space="preserve">FIN CONTRATO: 31/10/2018 </t>
  </si>
  <si>
    <t xml:space="preserve">FIN CONTRATO: 26/11/2018 </t>
  </si>
  <si>
    <t xml:space="preserve">FIN CONTRATO: 13/10/2018 </t>
  </si>
  <si>
    <t xml:space="preserve">FIN CONTRATO: 27/03/2019 </t>
  </si>
  <si>
    <t xml:space="preserve">FIN CONTRATO: 30/09/2018 </t>
  </si>
  <si>
    <t xml:space="preserve">FIN CONTRATO: 07/10/2018 </t>
  </si>
  <si>
    <t xml:space="preserve">FIN CONTRATO: 31/05/2019 </t>
  </si>
  <si>
    <t xml:space="preserve">FIN CONTRATO: 28/09/2018 </t>
  </si>
  <si>
    <t xml:space="preserve">FIN CONTRATO: 16/10/2018 </t>
  </si>
  <si>
    <t xml:space="preserve">FIN CONTRATO: 18/03/2019 </t>
  </si>
  <si>
    <t>Total Lote 1  Servicio de RSU:</t>
  </si>
  <si>
    <t>RESUMEN COSTES VEHÍCULOS Y MAQUINARIA</t>
  </si>
  <si>
    <t>COSTES FIJOS ANUALES</t>
  </si>
  <si>
    <t>COSTES MANTENIMIENTO</t>
  </si>
  <si>
    <t>B.1</t>
  </si>
  <si>
    <t>VEHÍCULOS</t>
  </si>
  <si>
    <t>B.2</t>
  </si>
  <si>
    <t>MAQUINARIA</t>
  </si>
  <si>
    <t>TOTAL COSTES DE VEHÍCULOS Y MAQUINARIA</t>
  </si>
  <si>
    <t>Gastos financieros aplicados</t>
  </si>
  <si>
    <t>CONSUMO DE ACEITE DE UN MOTOR (l. / h.)</t>
  </si>
  <si>
    <t>POTENCIA MOTOR</t>
  </si>
  <si>
    <t>CONSUMO ACEITE</t>
  </si>
  <si>
    <t>kw.</t>
  </si>
  <si>
    <t>cv</t>
  </si>
  <si>
    <t>l./ h.</t>
  </si>
  <si>
    <t>MÉTODO ESTIMADO</t>
  </si>
  <si>
    <t>PRECIO LUBRICANTE</t>
  </si>
  <si>
    <t>CONSUMO</t>
  </si>
  <si>
    <t>COSTE LUBRICANTES</t>
  </si>
  <si>
    <t>COSTE litro/Combustible</t>
  </si>
  <si>
    <t>Precio Mercado 31/07/2022</t>
  </si>
  <si>
    <t>€ / l.</t>
  </si>
  <si>
    <t>l. / h.</t>
  </si>
  <si>
    <t>€ / h.</t>
  </si>
  <si>
    <t>COSTE litro/Lubricante (2T)</t>
  </si>
  <si>
    <t>COSTE litro/Lubricante (4T)</t>
  </si>
  <si>
    <t>COSTE litro/GLP</t>
  </si>
  <si>
    <t>EFICIENCIA DEL COMBUSTIBLE</t>
  </si>
  <si>
    <t>CONSUMO ESPECÍFICO</t>
  </si>
  <si>
    <t>CONSUMO ESPECÍFICO*CM</t>
  </si>
  <si>
    <t>EFICINCIA DEL COMB.</t>
  </si>
  <si>
    <t>Carga Motor</t>
  </si>
  <si>
    <t>kw. x h. / l.</t>
  </si>
  <si>
    <t>Factor</t>
  </si>
  <si>
    <t>L/(kw*h)</t>
  </si>
  <si>
    <t>kwh/L/CM</t>
  </si>
  <si>
    <t>ASAE</t>
  </si>
  <si>
    <t>l. / kw. x h.</t>
  </si>
  <si>
    <t>Combinado</t>
  </si>
  <si>
    <t>PRECIOS UNITARIOS DE VEHÍCULOS. INVERSIÓN, COMBUSTIBLE Y MANTENIMIENTO</t>
  </si>
  <si>
    <t>DATOS GENERALES</t>
  </si>
  <si>
    <t>COSTES FIJOS ANUALES / VEHÍCULO</t>
  </si>
  <si>
    <t>MANTENIMIENTO</t>
  </si>
  <si>
    <t>COSTE TOTAL AÑO</t>
  </si>
  <si>
    <t>KM / AÑO</t>
  </si>
  <si>
    <t>COMBUSTIBLE</t>
  </si>
  <si>
    <t>LUBRICANTE</t>
  </si>
  <si>
    <t>REPUESTOS</t>
  </si>
  <si>
    <t>COSTE TOTAL (€/jornada)</t>
  </si>
  <si>
    <t>Uds</t>
  </si>
  <si>
    <t>DESCRIPCIÓN</t>
  </si>
  <si>
    <t>MOTOR</t>
  </si>
  <si>
    <t>USO</t>
  </si>
  <si>
    <t>CARGA (Kg)</t>
  </si>
  <si>
    <t>AÑO ADQUISICIÓN</t>
  </si>
  <si>
    <t>VALOR ADQUISICIÓN (sin IVA)</t>
  </si>
  <si>
    <t>VIDA ÚTIL</t>
  </si>
  <si>
    <t>AÑOS SERVICIO</t>
  </si>
  <si>
    <t>PRECIO ALQUILER (mes)</t>
  </si>
  <si>
    <t>PLAZAS (Nº)</t>
  </si>
  <si>
    <t>TOTAL INVERSIÓN</t>
  </si>
  <si>
    <t>AMORTIZ./UD</t>
  </si>
  <si>
    <t>GASTOS FINANCIEROS /UD</t>
  </si>
  <si>
    <t>SEGUROS Y TASAS /UD</t>
  </si>
  <si>
    <t>VALOR RESIDUAL</t>
  </si>
  <si>
    <t>TOTAL COSTES FIJOS / UD</t>
  </si>
  <si>
    <t>CONSUMO (l/100Km)</t>
  </si>
  <si>
    <t>LITROS / AÑO</t>
  </si>
  <si>
    <t>COSTE €/l.</t>
  </si>
  <si>
    <t>COSTE (€/jornada)</t>
  </si>
  <si>
    <t>CONSUMO Lubric. (l/año)</t>
  </si>
  <si>
    <t>COSTE Lub. (€/litro)</t>
  </si>
  <si>
    <t>COSTE Lubr. (€/jornada)</t>
  </si>
  <si>
    <t>COSTE Rep. (€/jornada)</t>
  </si>
  <si>
    <t>A</t>
  </si>
  <si>
    <t>C´</t>
  </si>
  <si>
    <t>D=A·B</t>
  </si>
  <si>
    <t>E=B/C</t>
  </si>
  <si>
    <t>G</t>
  </si>
  <si>
    <t>H=E+F+G</t>
  </si>
  <si>
    <t>Camiones 8.000 - 30.000 Kg</t>
  </si>
  <si>
    <t>TRES EJES PLUMA</t>
  </si>
  <si>
    <t>DIESEL</t>
  </si>
  <si>
    <t>Transporte varios</t>
  </si>
  <si>
    <t>30.000 kg</t>
  </si>
  <si>
    <t>CAJA BASCULANTE</t>
  </si>
  <si>
    <t>26.000 kg</t>
  </si>
  <si>
    <t>TRES EJES BASCULANTE</t>
  </si>
  <si>
    <t>20.000 kg</t>
  </si>
  <si>
    <t>GRUA BASCULANTE</t>
  </si>
  <si>
    <t>12.000 kg</t>
  </si>
  <si>
    <t>GRÚA</t>
  </si>
  <si>
    <t>18.000 kg</t>
  </si>
  <si>
    <t>8.000 kg</t>
  </si>
  <si>
    <t>CABINA DOB LE</t>
  </si>
  <si>
    <t>15.000 kg</t>
  </si>
  <si>
    <t>DOBLE CABINA BASCULANTE</t>
  </si>
  <si>
    <t>PORTACONTENEDORES</t>
  </si>
  <si>
    <t>Transporte contenedores</t>
  </si>
  <si>
    <t>14.000 kg</t>
  </si>
  <si>
    <t>COMPACTADOR BASURA</t>
  </si>
  <si>
    <t>Recogida residuos</t>
  </si>
  <si>
    <t>12.500 kg</t>
  </si>
  <si>
    <t>CISTERNA 10000L</t>
  </si>
  <si>
    <t>Riego y limpieza</t>
  </si>
  <si>
    <t>Furgones</t>
  </si>
  <si>
    <t>CAJA CERRADA 3 Plazas</t>
  </si>
  <si>
    <t>ELECTR.</t>
  </si>
  <si>
    <t>900 Kg</t>
  </si>
  <si>
    <t>HIBRIDO</t>
  </si>
  <si>
    <t>3000 kg</t>
  </si>
  <si>
    <t xml:space="preserve">CAJA CERRADA 6 Plazas </t>
  </si>
  <si>
    <t>2.835 kg</t>
  </si>
  <si>
    <t xml:space="preserve">CAJA CERRADA 9 Plazas </t>
  </si>
  <si>
    <t>2.920 kg</t>
  </si>
  <si>
    <t>CAJA ABIERTA Cabina SIMPLE</t>
  </si>
  <si>
    <t>3.500 kg</t>
  </si>
  <si>
    <t>CAJA ABIERTA Cabina DOBLE</t>
  </si>
  <si>
    <t>Furgonetas</t>
  </si>
  <si>
    <t>FURGONETA 5P</t>
  </si>
  <si>
    <t>500 Kg</t>
  </si>
  <si>
    <t>GASOLINA</t>
  </si>
  <si>
    <t>1300 kg</t>
  </si>
  <si>
    <t>Turismos y todoterrenos</t>
  </si>
  <si>
    <t>Turismos y Todoterrenos</t>
  </si>
  <si>
    <t>TURISMO 2 plazas</t>
  </si>
  <si>
    <t>Inspección</t>
  </si>
  <si>
    <t>400 kg</t>
  </si>
  <si>
    <t>VEHÍCULO TURISMO 5P</t>
  </si>
  <si>
    <t>1120 kg</t>
  </si>
  <si>
    <t>VEHICULO TURISMO 5P</t>
  </si>
  <si>
    <t>VEHICULO TODO-TERRENO</t>
  </si>
  <si>
    <t>VEHÍCULO TODO-TERRENO</t>
  </si>
  <si>
    <t>VEHÍCULO 4X4 TODOTERRENO</t>
  </si>
  <si>
    <t>2.805 kg</t>
  </si>
  <si>
    <t>Varios</t>
  </si>
  <si>
    <t xml:space="preserve">MULTIUSOS </t>
  </si>
  <si>
    <t>450 kg</t>
  </si>
  <si>
    <t>CAJA ABIERTA MINIVAN Cabina SIMPLE</t>
  </si>
  <si>
    <t>560 kg</t>
  </si>
  <si>
    <t>PORTACONTENEDOR MINIVAN Cabina SIMPLE</t>
  </si>
  <si>
    <t>Transporte residuos</t>
  </si>
  <si>
    <t>665 Kg</t>
  </si>
  <si>
    <t>CAJA ABIERTA MINIVAN Cabina DOBLE</t>
  </si>
  <si>
    <t>GLP</t>
  </si>
  <si>
    <t>685 kg</t>
  </si>
  <si>
    <t>CAJA CERRADA MINIVAN Cabina SIMPLE</t>
  </si>
  <si>
    <t>CAJA ABIERTA 3P PLATAFORMA 17 m</t>
  </si>
  <si>
    <t>Poda en altura</t>
  </si>
  <si>
    <t>250 kg</t>
  </si>
  <si>
    <t>Transporte varios. Vehículo</t>
  </si>
  <si>
    <t>680 kg</t>
  </si>
  <si>
    <t>600 kg</t>
  </si>
  <si>
    <t>TOTAL COSTES VEHÍCULOS</t>
  </si>
  <si>
    <t>PRECIOS UNITARIOS DE MAQUINARIA. INVERSIÓN, COMBUSTIBLE Y MANTENIMIENTO</t>
  </si>
  <si>
    <t>nº horas uso / jornada</t>
  </si>
  <si>
    <t>Coeficiente IPC</t>
  </si>
  <si>
    <t>LABOR</t>
  </si>
  <si>
    <t>PRECIO ADQUISICIÓN (sin IVA)</t>
  </si>
  <si>
    <t>HORAS/año</t>
  </si>
  <si>
    <t>VIDA ÚTIL (años)</t>
  </si>
  <si>
    <t>Potencia (cv)</t>
  </si>
  <si>
    <t>Nº DE DÍAS DE USO</t>
  </si>
  <si>
    <t>CONSUMO Lubric. (l/h)</t>
  </si>
  <si>
    <t>CONSUMO TOTAL Lubr.</t>
  </si>
  <si>
    <t>CONSUMO Comb. (l/h)</t>
  </si>
  <si>
    <t>CONSUMO TOTAL Comb.</t>
  </si>
  <si>
    <t>COSTE Comb. (€/litro)</t>
  </si>
  <si>
    <t>COSTE Comb. (€/jornada)</t>
  </si>
  <si>
    <t>Labores sobre céspedes y praderas naturales</t>
  </si>
  <si>
    <t xml:space="preserve">SEGADORA 53 cm corte </t>
  </si>
  <si>
    <t>4T</t>
  </si>
  <si>
    <t>Segadora de césped</t>
  </si>
  <si>
    <t xml:space="preserve">SEGADORA 66 cm corte </t>
  </si>
  <si>
    <t xml:space="preserve">SEGADORA 91 cm corte </t>
  </si>
  <si>
    <t>SEGADORA 90 cm corte giro 0</t>
  </si>
  <si>
    <t xml:space="preserve">PLATAFORMA SIEGA 132 cm corte </t>
  </si>
  <si>
    <t xml:space="preserve">MINITRACTOR 127 cm corte </t>
  </si>
  <si>
    <t>Mantenimiento de cesped</t>
  </si>
  <si>
    <t>TRACTOR DE SIEGA 137 cm corte</t>
  </si>
  <si>
    <t>Tractor segador de césped</t>
  </si>
  <si>
    <t xml:space="preserve">DESBROZADORA Cuchillas centrífuga 51 cm </t>
  </si>
  <si>
    <t>2T</t>
  </si>
  <si>
    <t>Desbrozadora trac. Manual</t>
  </si>
  <si>
    <t xml:space="preserve">DESBROZADORA Cuchilas centrifuga 95 cm </t>
  </si>
  <si>
    <t>Desbrozadora de asiento</t>
  </si>
  <si>
    <t xml:space="preserve">DESBROZADORA hilo 1,4 Kw </t>
  </si>
  <si>
    <t>Desbrozadora trac. manual</t>
  </si>
  <si>
    <t>DESBROZADORA HILO/ CUCHILLA 2,8 CV</t>
  </si>
  <si>
    <t>Desbrozadora mixta</t>
  </si>
  <si>
    <t xml:space="preserve">MOTOGUADAÑA Cuchillas 2,2 Kw </t>
  </si>
  <si>
    <t>Motoguadaña de mochila</t>
  </si>
  <si>
    <t>PERFILADORA de hilo 0,7 Kw</t>
  </si>
  <si>
    <t>Perfiladora de césped</t>
  </si>
  <si>
    <t>PERFILADORA Cuchilla vertical</t>
  </si>
  <si>
    <t xml:space="preserve">ESCARIFICADORA Verticut 50 cm 6 CV </t>
  </si>
  <si>
    <t xml:space="preserve">Escarificadora trac. man. </t>
  </si>
  <si>
    <t xml:space="preserve">ESCARIFICADORA 100 cm 5 CV </t>
  </si>
  <si>
    <t>Praderas de cesped</t>
  </si>
  <si>
    <t>AIREADORA "Verticut"</t>
  </si>
  <si>
    <t>TOLVA ABONADO apero</t>
  </si>
  <si>
    <t>Abonado césped</t>
  </si>
  <si>
    <t xml:space="preserve">RULO </t>
  </si>
  <si>
    <t>Mantenimiento cesped</t>
  </si>
  <si>
    <t>Laboreo del terreno. Plantaciones</t>
  </si>
  <si>
    <t xml:space="preserve">MINICULTIVADOR 49 cc </t>
  </si>
  <si>
    <t>Laboreo del terreno</t>
  </si>
  <si>
    <t xml:space="preserve">MOTOAZADA 163 cc </t>
  </si>
  <si>
    <t>Laboreo del terreno.</t>
  </si>
  <si>
    <t xml:space="preserve">MOTOCULTOR 198 cc </t>
  </si>
  <si>
    <t>Cava de zonas verdes</t>
  </si>
  <si>
    <t>AHOYADORA</t>
  </si>
  <si>
    <t xml:space="preserve">Poda </t>
  </si>
  <si>
    <t>PODADORA en Altura</t>
  </si>
  <si>
    <t>Poda</t>
  </si>
  <si>
    <t xml:space="preserve">CORTASETOS 60 cm corte </t>
  </si>
  <si>
    <t>Cortasetos 650 W</t>
  </si>
  <si>
    <t xml:space="preserve">MOTOSIERRA Ligera 1,8 CV </t>
  </si>
  <si>
    <t>Poda directa en árbol. Ligera</t>
  </si>
  <si>
    <t xml:space="preserve">MOTOSIERRA Pequeña 3,5 CV </t>
  </si>
  <si>
    <t>Poda y tala de arbolado</t>
  </si>
  <si>
    <t>MOTOSIERRA Mediana 4,1 CV</t>
  </si>
  <si>
    <t xml:space="preserve">MOTOSIERRA Grande 4,6 CV </t>
  </si>
  <si>
    <t xml:space="preserve">PODADORA en Altura 1,9 CV </t>
  </si>
  <si>
    <t xml:space="preserve">CORTASETOS Ligero 60 cm corte </t>
  </si>
  <si>
    <t>Cortasetos</t>
  </si>
  <si>
    <t xml:space="preserve">CORTASETOS 75 cm corte </t>
  </si>
  <si>
    <t>Cortasetos doble cuchilla</t>
  </si>
  <si>
    <t xml:space="preserve">CORTASETOS 100 cm corte </t>
  </si>
  <si>
    <t>Cortasetos cuch. 100 cm corte</t>
  </si>
  <si>
    <t xml:space="preserve">CORTASETOS altura 50 cm 1,3 CV </t>
  </si>
  <si>
    <t>Cortasetos en altura. 50 cm</t>
  </si>
  <si>
    <t xml:space="preserve">CORTASETOS altura 50 cm 1,4 CV </t>
  </si>
  <si>
    <t xml:space="preserve">BIOTRITURADORA 15 CV </t>
  </si>
  <si>
    <t>Astilladora</t>
  </si>
  <si>
    <t xml:space="preserve">BIOTRITURADORA 20 CV </t>
  </si>
  <si>
    <t xml:space="preserve">DESFIBRADORA 115 CV </t>
  </si>
  <si>
    <t>Trabajos de poda. Desfibrado</t>
  </si>
  <si>
    <t>DESTOCONADORA</t>
  </si>
  <si>
    <t>Eliminación de tocones</t>
  </si>
  <si>
    <t>Limpieza</t>
  </si>
  <si>
    <t>SOPLADORA Mochila</t>
  </si>
  <si>
    <t>Varios. Limpieza</t>
  </si>
  <si>
    <t xml:space="preserve">HIDROLIMPIADORA Agua Cal.4,5Kw </t>
  </si>
  <si>
    <t>HIDROLIMPIADORA Agua Fría 7,8Kw</t>
  </si>
  <si>
    <t>TRATAMIENTO ARENA</t>
  </si>
  <si>
    <t>Limpieza y desinfección arena</t>
  </si>
  <si>
    <t xml:space="preserve">SOPLADORA Mochila 64,8 cc </t>
  </si>
  <si>
    <t>CARRITO de Limpieza</t>
  </si>
  <si>
    <t>Tratamientos Fitosanitarios</t>
  </si>
  <si>
    <t>MOCHILA Pulverizadora</t>
  </si>
  <si>
    <t>Trat. fitosanitarios y varios</t>
  </si>
  <si>
    <t>MOTOPULVERIZADOR 13 litros</t>
  </si>
  <si>
    <t>CARRETILLA de Tratamientos</t>
  </si>
  <si>
    <t>CUBA 1000l</t>
  </si>
  <si>
    <t>CAÑON PULVERIZADOR</t>
  </si>
  <si>
    <t>Riego</t>
  </si>
  <si>
    <t xml:space="preserve">DEPÓSITO 1000 l </t>
  </si>
  <si>
    <t xml:space="preserve">MOTOBOMBA 5,5 CV </t>
  </si>
  <si>
    <t>CISTERNA 8000 l remolque</t>
  </si>
  <si>
    <t>Trabajos Forestales</t>
  </si>
  <si>
    <t>TRACTOR 48 CV</t>
  </si>
  <si>
    <t>Desbroce, laboreo</t>
  </si>
  <si>
    <t>TRACTOR 83 CV</t>
  </si>
  <si>
    <t>CULTIVADOR (apero)</t>
  </si>
  <si>
    <t>GRADA de Discos (apero)</t>
  </si>
  <si>
    <t>BRAZO DESBROZADOR para Tractor (apero)</t>
  </si>
  <si>
    <t>Desbroce cunetas/taludes</t>
  </si>
  <si>
    <t>AIREADORA (apero)</t>
  </si>
  <si>
    <t>Aireador pradera</t>
  </si>
  <si>
    <t>SEMBRADORA Arrastrada (apero)</t>
  </si>
  <si>
    <t>Semillado de césped</t>
  </si>
  <si>
    <t>SEGADORA Arrastrada (apero)</t>
  </si>
  <si>
    <t>Siega de pasto fino</t>
  </si>
  <si>
    <t>RECEBADORA de Mantillo (apero)</t>
  </si>
  <si>
    <t>DESBROZADORA Articulada (apero)</t>
  </si>
  <si>
    <t>Desbrozadora</t>
  </si>
  <si>
    <t>DESBROZADORA de Martillos (apero)</t>
  </si>
  <si>
    <t>BIOTRITURADORA Grande (apero)</t>
  </si>
  <si>
    <t>Poda de árboles y arbustos</t>
  </si>
  <si>
    <t>BIOTRITURADORA Mediana (apero)</t>
  </si>
  <si>
    <t>Obra Civil. Conservación equipamiento urbano</t>
  </si>
  <si>
    <t xml:space="preserve">RETRO-EXCAVADORA 95 CV </t>
  </si>
  <si>
    <t>Maquinaria obra civil. Varios</t>
  </si>
  <si>
    <t xml:space="preserve">MINI-CARGADORA 60 CV </t>
  </si>
  <si>
    <t xml:space="preserve">DUMPER Autocargable </t>
  </si>
  <si>
    <t>HORMIGONERA</t>
  </si>
  <si>
    <t>Producción de hormigón</t>
  </si>
  <si>
    <t>MARTILLO PICADOR</t>
  </si>
  <si>
    <t>Obra Civil</t>
  </si>
  <si>
    <t xml:space="preserve">ZANJADORA </t>
  </si>
  <si>
    <t>Zanjadora para riego</t>
  </si>
  <si>
    <t>RODILLO Autopropulsado 25 CV</t>
  </si>
  <si>
    <t xml:space="preserve">TALADRO </t>
  </si>
  <si>
    <t xml:space="preserve">CORTADORA Radial </t>
  </si>
  <si>
    <t>Cortadora de metales</t>
  </si>
  <si>
    <t xml:space="preserve">GENERADOR Polivalente 11 CV </t>
  </si>
  <si>
    <t>Obra civil</t>
  </si>
  <si>
    <t xml:space="preserve">MOTOSOLDADOR 15 CV </t>
  </si>
  <si>
    <t>Varios. Soldadura</t>
  </si>
  <si>
    <t xml:space="preserve">COMPRESOR MÓVIL 35 CV </t>
  </si>
  <si>
    <t>Obra civil, varios</t>
  </si>
  <si>
    <t xml:space="preserve">GRUPO Generador Soldadura 11 CV </t>
  </si>
  <si>
    <t xml:space="preserve">GRUPO Electrógeno 6,5 CV </t>
  </si>
  <si>
    <t>Generador</t>
  </si>
  <si>
    <t xml:space="preserve">BOMBA de MEMBRANA (Pintura) 2,5 CV </t>
  </si>
  <si>
    <t>Pintura a presión</t>
  </si>
  <si>
    <t xml:space="preserve">COMPRESOR de Pistón 2 CV 24 l </t>
  </si>
  <si>
    <t xml:space="preserve">BANDEJA COMPACTADORA </t>
  </si>
  <si>
    <t>REMOLQUE Portamáquinas</t>
  </si>
  <si>
    <t>Varios. Transporte maquinaria</t>
  </si>
  <si>
    <t>REMOLQUE 2 ejes Basculante</t>
  </si>
  <si>
    <t>RESUMEN COSTES VESTUARIO, EQUIPAMIENTOS, ÚTILES Y HERRAMIENTAS</t>
  </si>
  <si>
    <t>COSTES</t>
  </si>
  <si>
    <t xml:space="preserve">C.1 </t>
  </si>
  <si>
    <t>VESTUARIO Y EQUIPAMIENTOS</t>
  </si>
  <si>
    <t>Vestuario</t>
  </si>
  <si>
    <t>Equipos de protección individual y colectiva</t>
  </si>
  <si>
    <t>C.2</t>
  </si>
  <si>
    <t>ÚTILES Y HERRAMIENTAS</t>
  </si>
  <si>
    <t>TOTAL COSTES DE VESTUARIO, EQUIPAMIENTOS, ÚTILES Y HERRAMIENTAS</t>
  </si>
  <si>
    <t>COSTES DE VESTUARIO DEL PERSONAL</t>
  </si>
  <si>
    <t>Nº UDS</t>
  </si>
  <si>
    <t>COSTE UD</t>
  </si>
  <si>
    <t>VIDA ÚTIL AÑOS</t>
  </si>
  <si>
    <t>AMORTIZACIÓN /UD</t>
  </si>
  <si>
    <t>GASTOS FINACIEROS / UD</t>
  </si>
  <si>
    <t>TOTAL COSTES AÑO(€)</t>
  </si>
  <si>
    <t>TEMPORADA DE VERANO</t>
  </si>
  <si>
    <t>Camisa de manga corta</t>
  </si>
  <si>
    <t>Pantalón</t>
  </si>
  <si>
    <t>Nº ADMINISTRATIVOS</t>
  </si>
  <si>
    <t>Calzado apropiado</t>
  </si>
  <si>
    <t>Nº TÉCNICOS</t>
  </si>
  <si>
    <t>Chaquetilla</t>
  </si>
  <si>
    <t>TEMPORADA DE INVIERNO</t>
  </si>
  <si>
    <t>Camisa de manga larga</t>
  </si>
  <si>
    <t>Pantalón de invierno</t>
  </si>
  <si>
    <t>Forro polar</t>
  </si>
  <si>
    <t>Prenda de abrigo</t>
  </si>
  <si>
    <t xml:space="preserve">COSTES DE EQUIPOS DE PROTECCIÓN INDIVIDUAL Y COLECTIVA </t>
  </si>
  <si>
    <t>Nº de UDS por cada 10 operarios</t>
  </si>
  <si>
    <t>PODAS Y DESBROCES</t>
  </si>
  <si>
    <t>CASCO PROTECTOR REJILLA</t>
  </si>
  <si>
    <t>PROTECTOR FACIAL</t>
  </si>
  <si>
    <t>PANTALÓN ANTICORTE</t>
  </si>
  <si>
    <t>CHAQUETA ANTICORTE</t>
  </si>
  <si>
    <t>GUANTE ANTICORTE</t>
  </si>
  <si>
    <t>GAFA AMPLIVISION</t>
  </si>
  <si>
    <t>BOTAS SEG. ANTICORTE</t>
  </si>
  <si>
    <t>ARNÉS ANTICAIDA+COMPLEM.</t>
  </si>
  <si>
    <t>CINTURÓN SEGURIDAD+COMPLEM.</t>
  </si>
  <si>
    <t>PROTECTOR AUDITIVO</t>
  </si>
  <si>
    <t>TRATAMIENTOS</t>
  </si>
  <si>
    <t>MASCARILLA-FILTRO</t>
  </si>
  <si>
    <t>MONO/GUANTES DESECHABLES</t>
  </si>
  <si>
    <t>GUANTES NEOPRENO/PVC</t>
  </si>
  <si>
    <t>GENERALES</t>
  </si>
  <si>
    <t>RODILLERAS</t>
  </si>
  <si>
    <t>CHALECO ALTA VISIBILIDAD</t>
  </si>
  <si>
    <t>PIBOTE SEÑALIZACIÓN</t>
  </si>
  <si>
    <t>VALLA SEÑALIZACIÓN</t>
  </si>
  <si>
    <t>ALMACEN Y VESTUARIOS</t>
  </si>
  <si>
    <t>DEPÓSITO LUBRICANTES</t>
  </si>
  <si>
    <t>DEPÓSITO BATERIAS</t>
  </si>
  <si>
    <t>DEPÓSITO RES. PELIGROSOS</t>
  </si>
  <si>
    <t>MESA MELANIMA</t>
  </si>
  <si>
    <t>BANCO DE MADERA</t>
  </si>
  <si>
    <t>BOTIQUÍN</t>
  </si>
  <si>
    <t>RECAMBIO BOTIQUÍN</t>
  </si>
  <si>
    <t>EXTINTOR</t>
  </si>
  <si>
    <t xml:space="preserve"> - </t>
  </si>
  <si>
    <t>FORMACIÓN SEG Y SALUD</t>
  </si>
  <si>
    <t>RECONOCIMIENTO</t>
  </si>
  <si>
    <t>COSTES DE ÚTILES Y HERRAMIENTAS</t>
  </si>
  <si>
    <t>JARDINERÍA</t>
  </si>
  <si>
    <t>AZADÓN</t>
  </si>
  <si>
    <t>AZADA</t>
  </si>
  <si>
    <t>PALA CUADRADA</t>
  </si>
  <si>
    <t>PALA REDONDA</t>
  </si>
  <si>
    <t>PALA JARDINERA</t>
  </si>
  <si>
    <t>ESCOBA  METALICA</t>
  </si>
  <si>
    <t>RASTRILLO METALICO</t>
  </si>
  <si>
    <t>PICO</t>
  </si>
  <si>
    <t>HACHA PICO</t>
  </si>
  <si>
    <t>AZADAPICO</t>
  </si>
  <si>
    <t>HORCA</t>
  </si>
  <si>
    <t>AZADAHORQUILLO</t>
  </si>
  <si>
    <t>MINIAZADAHORQUILLA</t>
  </si>
  <si>
    <t>MANGO de REPUESTO</t>
  </si>
  <si>
    <t>PLANTADOR BULBOS</t>
  </si>
  <si>
    <t>TRASPLANTADOR</t>
  </si>
  <si>
    <t>ESCARDILLO</t>
  </si>
  <si>
    <t>HOZ</t>
  </si>
  <si>
    <t>GUADAÑA</t>
  </si>
  <si>
    <t>YUNQUE GUADAÑA</t>
  </si>
  <si>
    <t>SEMILLADORA LIGERA</t>
  </si>
  <si>
    <t>LIMPIEZA</t>
  </si>
  <si>
    <t>CEPILLO METÁLICO</t>
  </si>
  <si>
    <t>CEPILLO BARRENDERO</t>
  </si>
  <si>
    <t xml:space="preserve">PINZAS RECOGEDOR </t>
  </si>
  <si>
    <t>RECOGEDORES SIN TAPA</t>
  </si>
  <si>
    <t>PODA</t>
  </si>
  <si>
    <t>TIJERA HOJA LARGA 2 MANOS</t>
  </si>
  <si>
    <t>TIJERAS HOJA CORTA 2 MANOS</t>
  </si>
  <si>
    <t>TIJERAS DE PODAR 1 MANO</t>
  </si>
  <si>
    <t>SIERRA MANO</t>
  </si>
  <si>
    <t>SIERRA PÉRTIGA</t>
  </si>
  <si>
    <t>LIMA REDONDA MOTOSIERRA</t>
  </si>
  <si>
    <t>HACHA</t>
  </si>
  <si>
    <t>CUÑA DE RAJAR</t>
  </si>
  <si>
    <t>TAJAMATA</t>
  </si>
  <si>
    <t>TAJAMATA-GANCHO</t>
  </si>
  <si>
    <t>UTILLAJE COMÚN</t>
  </si>
  <si>
    <t>ESCALERA DOS TRAMOS</t>
  </si>
  <si>
    <t>ESCALERA TIJERA</t>
  </si>
  <si>
    <t>CARRETILLA METALICA</t>
  </si>
  <si>
    <t>CONTENEDOR 1.100 L</t>
  </si>
  <si>
    <t>CONTENEDOR 600 L</t>
  </si>
  <si>
    <t>GUANTES</t>
  </si>
  <si>
    <t>MANGUERA AGUA 25</t>
  </si>
  <si>
    <t>BOLSAS DE BASURA</t>
  </si>
  <si>
    <t>OTROS</t>
  </si>
  <si>
    <t>PLOMADA</t>
  </si>
  <si>
    <t>RAEDERA</t>
  </si>
  <si>
    <t>ALCOTANA</t>
  </si>
  <si>
    <t>ARCO SIERRA</t>
  </si>
  <si>
    <t>PALETA PUNTA ALBAÑIL</t>
  </si>
  <si>
    <t>PALETA CORTA ALBAÑIL</t>
  </si>
  <si>
    <t>PALETA ALBAÑIL</t>
  </si>
  <si>
    <t>PALETA</t>
  </si>
  <si>
    <t>PALETA CUADRADA ALBAÑIL</t>
  </si>
  <si>
    <t>ANDAMIO PROFESIONAL</t>
  </si>
  <si>
    <t>CAJA DE HERRAMIENTAS</t>
  </si>
  <si>
    <t>CAJA HERRAMIENTAS METALICA</t>
  </si>
  <si>
    <t>TALADRADOR-ATORNILLADOR</t>
  </si>
  <si>
    <t>DESTORNILLADOR</t>
  </si>
  <si>
    <t>DESTORNILLADOR ESTRELLA</t>
  </si>
  <si>
    <t>DESTORNILLADOR REVERSIBLE</t>
  </si>
  <si>
    <t>ALICATE</t>
  </si>
  <si>
    <t>ALICATES PUNTA</t>
  </si>
  <si>
    <t>LLAVE INGLESA 15 "</t>
  </si>
  <si>
    <t>TENAZA</t>
  </si>
  <si>
    <t>MARTILLO</t>
  </si>
  <si>
    <t>MARTILLO GOMA</t>
  </si>
  <si>
    <t>MAZA</t>
  </si>
  <si>
    <t>GRIFA</t>
  </si>
  <si>
    <t>LLANA</t>
  </si>
  <si>
    <t>LIMA REDONDA</t>
  </si>
  <si>
    <t>LIMA TRIANGULAR 8 "</t>
  </si>
  <si>
    <t>JUEGOS LLAVES FIJAS VASO</t>
  </si>
  <si>
    <t>JUEGO LLAVES MIXTAS FIJAS</t>
  </si>
  <si>
    <t>LLAVES FIJAS COMBINADAS</t>
  </si>
  <si>
    <t>JUEGO LLAVES FIJAS ACODADAS</t>
  </si>
  <si>
    <t>JUEGOS LLAVES ALLEN</t>
  </si>
  <si>
    <t>NIVEL BURBUJA</t>
  </si>
  <si>
    <t>ESPATULA MANGO PLASTICO</t>
  </si>
  <si>
    <t>ESCUADRA 0,60 cm</t>
  </si>
  <si>
    <t>CINTA METRICA</t>
  </si>
  <si>
    <t>BANCO TORNILLO</t>
  </si>
  <si>
    <t>FLEXOMETRO 5 mts</t>
  </si>
  <si>
    <t>TIRALINEAS</t>
  </si>
  <si>
    <t>RESUMEN COSTES DE LOCALES E INSTALACIONES</t>
  </si>
  <si>
    <t xml:space="preserve">D.1 </t>
  </si>
  <si>
    <t>COSTES FIJOS DE LOCALES E INSTALACIONES</t>
  </si>
  <si>
    <t>D.2</t>
  </si>
  <si>
    <t>COSTES VARIABLES DE LOCALES E INSTALACIONES</t>
  </si>
  <si>
    <t>TOTAL COSTES DE LOCALES E INSTALACIONES</t>
  </si>
  <si>
    <t>D.1 COSTES FIJOS DE LOCALES E INSTALACIONES</t>
  </si>
  <si>
    <t>SUPERFICIE (m2)</t>
  </si>
  <si>
    <t>PRECIO (€/m2)</t>
  </si>
  <si>
    <t>COSTE MENSUAL</t>
  </si>
  <si>
    <t>Nº MS/AÑO</t>
  </si>
  <si>
    <t>Alquiler nave principal</t>
  </si>
  <si>
    <t>Alquiler oficina técnica</t>
  </si>
  <si>
    <t>Alquiler nave adicional</t>
  </si>
  <si>
    <t>D.2 COSTES VARIABLES DE LOCALES E INSTALACIONES</t>
  </si>
  <si>
    <t>Obras acondicionamiento nave principal</t>
  </si>
  <si>
    <t>Obra acondicionamiento oficina técnica</t>
  </si>
  <si>
    <t>Obra acondicionamiento nave adicional</t>
  </si>
  <si>
    <t>Costes manutención y explotación</t>
  </si>
  <si>
    <t>Tasas, impuestos</t>
  </si>
  <si>
    <t>RESUMEN COSTES DE MATERIALES DE CONSERVACIÓN</t>
  </si>
  <si>
    <t>E.1</t>
  </si>
  <si>
    <t>COSTE MATERIALES Y MATERIAS PRIMAS</t>
  </si>
  <si>
    <t>E.2</t>
  </si>
  <si>
    <t>COSTES TRATAMIENTOS FITOSANITARIOS</t>
  </si>
  <si>
    <t>TOTAL COSTES DE MATERIALES</t>
  </si>
  <si>
    <t>COSTES DE MATERIALES Y MATERIAS PRIMAS</t>
  </si>
  <si>
    <t>MATERIAL</t>
  </si>
  <si>
    <t>TIPO</t>
  </si>
  <si>
    <t xml:space="preserve">MEDICIÓN INVENTARIO </t>
  </si>
  <si>
    <t>DOSIS O UNIDADES DE MATERIAL</t>
  </si>
  <si>
    <t>UNIDADES</t>
  </si>
  <si>
    <t>FRECUENCIA  ANUAL</t>
  </si>
  <si>
    <t>TOTAL PRODUCTO</t>
  </si>
  <si>
    <t>COSTE UNITARIO</t>
  </si>
  <si>
    <t>TOTAL COSTE AÑO</t>
  </si>
  <si>
    <t>OBSERVACIONES</t>
  </si>
  <si>
    <t>ARENAS, ÁRIDOS, TIERRAS Y ABONOS</t>
  </si>
  <si>
    <t>(HA)</t>
  </si>
  <si>
    <t>ABONO QUIMICO 15-15-15</t>
  </si>
  <si>
    <t>GRANULADO</t>
  </si>
  <si>
    <t>kg/ha</t>
  </si>
  <si>
    <t>TODA LA SUPERFICIE CÉSPED</t>
  </si>
  <si>
    <t>ABONO ORGÁNICO FERMENTADO</t>
  </si>
  <si>
    <t>PELLET</t>
  </si>
  <si>
    <t>Kg/ha</t>
  </si>
  <si>
    <t>TODA LA SUPERFICIE CÉSPED+MACIZOS+ALCORQUES</t>
  </si>
  <si>
    <t>ESTIERCOL FERMENTADO GRANEL</t>
  </si>
  <si>
    <t>MANTILLO</t>
  </si>
  <si>
    <t>m3/ha</t>
  </si>
  <si>
    <t>RECEBO SÓLO DE  INVIERNO 25%TOTAL SUPERFICIE</t>
  </si>
  <si>
    <t>ARENA DE RIO</t>
  </si>
  <si>
    <t>GRANEL</t>
  </si>
  <si>
    <t>SUSTITUCIÓN ARENEROS ÁREAS INFANTILES</t>
  </si>
  <si>
    <t>ÁRIDOS</t>
  </si>
  <si>
    <t>TERRIZOS, PARTERRES</t>
  </si>
  <si>
    <t>PLANTAS</t>
  </si>
  <si>
    <t xml:space="preserve"> (HA - UDS)</t>
  </si>
  <si>
    <t>SEMILLA DE CÉSPED MEZCLA 50-30-20</t>
  </si>
  <si>
    <t>VARIOS</t>
  </si>
  <si>
    <t xml:space="preserve">RESIEMBRA del 25% anual. </t>
  </si>
  <si>
    <t>REPOSICIÓN FLOR DE TEMPORADA</t>
  </si>
  <si>
    <t>ud/m2</t>
  </si>
  <si>
    <t>TODOS LOS CAMBIOS ANUALES (14ud/m2)</t>
  </si>
  <si>
    <t>RIEGOS</t>
  </si>
  <si>
    <t>MATERIAL DE REPOSICIÓN (valvulería, tubería, aparataje...)</t>
  </si>
  <si>
    <t>pa/ha</t>
  </si>
  <si>
    <t>REPARACIONES</t>
  </si>
  <si>
    <t>MANTENIMIENTO BANCOS (PINTADO/BARNIZADO)</t>
  </si>
  <si>
    <t>Act/año</t>
  </si>
  <si>
    <t>PRODUCTOS ANTIGRAFFITI, REPINTADO, REPARACIONES</t>
  </si>
  <si>
    <t>MANTENIMIENTO PAPELERAS (PINTADO/BARNIZADO)</t>
  </si>
  <si>
    <t>CERTIFICACIÓN ÁREA JUEGOS INFANTILES</t>
  </si>
  <si>
    <t>PRODUCTOS ANTIGRAFFITI, MNTO PREVENTIVO/CORRECTIVO/CERTIFICACIÓN</t>
  </si>
  <si>
    <t xml:space="preserve">DESINFECCIÓN/RECEBO ÁREA JUEGOS INFANTILES </t>
  </si>
  <si>
    <t>ELIMINACIÓN GRAFFITI, REPINTADO, REPARACIONES</t>
  </si>
  <si>
    <t>RECEBO CAMINOS</t>
  </si>
  <si>
    <t>MANTENIMIENTO FUENTES</t>
  </si>
  <si>
    <t>DESINFECCIÓN/CONTROL LEGIONELLA</t>
  </si>
  <si>
    <t>MEDIOS AUXILIARES: GESTIÓN INTEGRAL DE PLAGAS</t>
  </si>
  <si>
    <t xml:space="preserve">MEDICIÓN </t>
  </si>
  <si>
    <t>HERBICIDAS</t>
  </si>
  <si>
    <t>M2</t>
  </si>
  <si>
    <t>ÁCIDO ACÉTICO</t>
  </si>
  <si>
    <t>l</t>
  </si>
  <si>
    <t xml:space="preserve">INSECTICIDAS </t>
  </si>
  <si>
    <t>EJEMPLAR</t>
  </si>
  <si>
    <t>ENDOTERAPIA (4DOSIS/EJEMPLAR)</t>
  </si>
  <si>
    <t>JABÓN POTASICO</t>
  </si>
  <si>
    <t>FUNGICIDAS</t>
  </si>
  <si>
    <t>TRATAMIENTO BIOLÓGICO TRICHODERMA</t>
  </si>
  <si>
    <t>MEDIDAS CONTROL BIOLÓGICO</t>
  </si>
  <si>
    <t>TRAMPA FEROMONAS POLILLAS</t>
  </si>
  <si>
    <t>ud</t>
  </si>
  <si>
    <t>TRAMPA FEROMONAS COLEOPTEROS</t>
  </si>
  <si>
    <t>MEDIDAS CULTURALES</t>
  </si>
  <si>
    <t>POTENCIADOR BIOLÓGICO FOLIAR</t>
  </si>
  <si>
    <t>POTENCIADOR BIOLÓGICO RADICULAR</t>
  </si>
  <si>
    <t>ENMIENDAS MINERALES</t>
  </si>
  <si>
    <t>Kg</t>
  </si>
  <si>
    <t xml:space="preserve">RESUMEN OTROS COSTES </t>
  </si>
  <si>
    <t>F.1</t>
  </si>
  <si>
    <t>COSTES DE EQUIPOS TECNÓLOGICOS Y LICENCIAS SOFTWARE</t>
  </si>
  <si>
    <t>F.2</t>
  </si>
  <si>
    <t>INVENTARIO (Media anual)</t>
  </si>
  <si>
    <t>F.3</t>
  </si>
  <si>
    <t>SERVICIOS PROFESIONALES</t>
  </si>
  <si>
    <t>F.4</t>
  </si>
  <si>
    <t>OTROS COSTES</t>
  </si>
  <si>
    <t>COSTES DE EQUIPOS TÉCNOLOGICOS Y LICENCIAS INFORMÁTICAS</t>
  </si>
  <si>
    <t>DISPOSITIVO  GPS</t>
  </si>
  <si>
    <t>Renting equipos GPS instalados bajo salpicadero+ Software (1ud/vehículo)</t>
  </si>
  <si>
    <t>TELEFONÍA MÓVIL</t>
  </si>
  <si>
    <t>DISPOSITIVO SMARTPHONE</t>
  </si>
  <si>
    <t>DISPOSITIVO TABLET</t>
  </si>
  <si>
    <t>TARJETA DATOS</t>
  </si>
  <si>
    <t>ORDENADORES Y PERIFÉRICOS</t>
  </si>
  <si>
    <t>Nº VEHÍCULOS</t>
  </si>
  <si>
    <t>DISPOSITIVO</t>
  </si>
  <si>
    <t>Nº OFICINAS TÉCNICAS</t>
  </si>
  <si>
    <t>ACCESO RED</t>
  </si>
  <si>
    <t>APLICACIONES INFORMÁTICAS</t>
  </si>
  <si>
    <t>PAQUETE MICROSOFT OFFICE</t>
  </si>
  <si>
    <t>SKETCHUP</t>
  </si>
  <si>
    <t>PRESTO</t>
  </si>
  <si>
    <t>AUTOCAD</t>
  </si>
  <si>
    <t>SOFTWARE GESTIÓN INFRAESTRUCTURA VERDE</t>
  </si>
  <si>
    <t>COSTES DE INVENTARIO</t>
  </si>
  <si>
    <t>UNIDAD</t>
  </si>
  <si>
    <t>ARBOLADO</t>
  </si>
  <si>
    <t>Inventario de posiciones arboladas - Revisión</t>
  </si>
  <si>
    <t>UD</t>
  </si>
  <si>
    <t>Inventario de posiciones arboladas - Alta</t>
  </si>
  <si>
    <t>ZONAS VERDES</t>
  </si>
  <si>
    <t>Inventario informatizado espacios verdes - Revisión</t>
  </si>
  <si>
    <t>ha</t>
  </si>
  <si>
    <t>Inventario informatizado espacios verdes - Alta</t>
  </si>
  <si>
    <t>ZONA FORESTAL</t>
  </si>
  <si>
    <t>Inventario informatizado zona forestal - Revisión</t>
  </si>
  <si>
    <t>Inventario informatizado zona forestal - Alta</t>
  </si>
  <si>
    <t>MOBILIARIO EN ZONA VERDE</t>
  </si>
  <si>
    <t>Inventario informatizado mobiliario zona verde - Revisión</t>
  </si>
  <si>
    <t>Inventario informatizado mobiliario zona verde - Alta</t>
  </si>
  <si>
    <t>MOBILIARIO EN SUELO URBANO</t>
  </si>
  <si>
    <t>Inventario informatizado mobiliario suelo urbano - Revisión</t>
  </si>
  <si>
    <t>Inventario informatizado mobiliario suelo urbano - Alta</t>
  </si>
  <si>
    <t>ÁREA DE JUEGO INFANTIL</t>
  </si>
  <si>
    <t>Inventario informatizado Juego Infantil - Revisión</t>
  </si>
  <si>
    <t>Inventario informatizado Juego Infantil - Alta</t>
  </si>
  <si>
    <t>COSTES DE SERVICIOS PROFESIONALES</t>
  </si>
  <si>
    <t>FOMENTO BIODIVERSIDAD</t>
  </si>
  <si>
    <t>REDACCIÓN PLAN</t>
  </si>
  <si>
    <t>* Trabajo de campo</t>
  </si>
  <si>
    <t xml:space="preserve">     Técnico Licenciado</t>
  </si>
  <si>
    <t>€/h</t>
  </si>
  <si>
    <t xml:space="preserve">     Técnico Diplomado</t>
  </si>
  <si>
    <t xml:space="preserve">     Técnico no titulado</t>
  </si>
  <si>
    <t xml:space="preserve">     Delineante</t>
  </si>
  <si>
    <t xml:space="preserve">     Operario</t>
  </si>
  <si>
    <t xml:space="preserve">     Consultor / Especialista</t>
  </si>
  <si>
    <t>* Trabajo de gabinete</t>
  </si>
  <si>
    <t>* Medios Auxiliares</t>
  </si>
  <si>
    <t xml:space="preserve">ACCIONES </t>
  </si>
  <si>
    <t>* Acción 1: Inventario Aves</t>
  </si>
  <si>
    <t>* Acción 2: Biodiversidad en alcorques</t>
  </si>
  <si>
    <t>* Acción 3: Control de fauna exótica</t>
  </si>
  <si>
    <t>* Acción 4: …</t>
  </si>
  <si>
    <t>PLAN DIRECTOR / PLAN ESTRATÉGICO</t>
  </si>
  <si>
    <t xml:space="preserve">    Consultor / Especialista</t>
  </si>
  <si>
    <t>* Acción 1: Estudio de Adecuación arbolada al cambio climático</t>
  </si>
  <si>
    <t>* Acción 2: Techos y muros verdes</t>
  </si>
  <si>
    <t>* Acción 3: …</t>
  </si>
  <si>
    <t>PLAN DE GESTIÓN DEL RIESGO</t>
  </si>
  <si>
    <t>* Acción 1: Plan de inspección de riesgo</t>
  </si>
  <si>
    <t>* Acción 2: Informes de riesgo + testificación instrumental</t>
  </si>
  <si>
    <t>PLAN DE COMUNICACIÓN Y PARTICIPACIÓN CIUDADANA</t>
  </si>
  <si>
    <t>* Acción 1: Activación cuenta Instagram / Facebook Infraestrucutura verde</t>
  </si>
  <si>
    <t>* Acción 2: Mesa del Árbol</t>
  </si>
  <si>
    <t>PLAN DE EDUCACIÓN AMBIENTAL</t>
  </si>
  <si>
    <t>* Acción 3: Talleres por estaciones</t>
  </si>
  <si>
    <t>OTROS SERVICIOS PROFESIONALES</t>
  </si>
  <si>
    <t xml:space="preserve">COSTE IMPLANTACIÓN CERTIFICADOS </t>
  </si>
  <si>
    <t>COSTE SEGURO RESPONSABILIDAD CIVIL</t>
  </si>
  <si>
    <t>Importe de póliza anual</t>
  </si>
  <si>
    <t>Canon vertidos</t>
  </si>
  <si>
    <t>Equipos apoyo Jardinería/Limpieza (Fiestas municipio, cabalgatas, etc.)</t>
  </si>
  <si>
    <t>TOTAL COSTES FIJOS /UD</t>
  </si>
  <si>
    <t>TOTAL COSTES FIJOS</t>
  </si>
  <si>
    <t>H=(E+F+G)*A</t>
  </si>
  <si>
    <t>COSTE UNITARIO JORNADA (€/jornada)</t>
  </si>
  <si>
    <t>COSTE UNITARIO ANUAL (€/año)</t>
  </si>
  <si>
    <t>TOTAL COSTES MNTO. (€/año)</t>
  </si>
  <si>
    <t>Nº DÍAS DE USO</t>
  </si>
  <si>
    <t xml:space="preserve"> PLUS ANTIGÜEDAD UNITARIA</t>
  </si>
  <si>
    <t>TOTAL SALARIO ANUAL UNITARIO (1PAX 100% JORNADA)</t>
  </si>
  <si>
    <t>PRECIO COSTE EMPRESA</t>
  </si>
  <si>
    <t>TOTAL SALARIO ANUAL FINAL</t>
  </si>
  <si>
    <t>TIPO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</si>
</sst>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0.0"/>
    <numFmt numFmtId="167" formatCode="0.000"/>
    <numFmt numFmtId="168" formatCode="0.0000"/>
    <numFmt numFmtId="169" formatCode="#,##0.0"/>
    <numFmt numFmtId="170" formatCode="#,##0.000000"/>
    <numFmt numFmtId="171" formatCode="#,##0.00\ _€"/>
  </numFmts>
  <fonts count="53">
    <font>
      <sz val="10"/>
      <name val="Arial"/>
      <charset val="134"/>
    </font>
    <font>
      <b/>
      <sz val="12"/>
      <color indexed="9"/>
      <name val="Calibri"/>
      <charset val="134"/>
      <scheme val="minor"/>
    </font>
    <font>
      <b/>
      <sz val="11"/>
      <color indexed="9"/>
      <name val="Calibri"/>
      <charset val="134"/>
      <scheme val="minor"/>
    </font>
    <font>
      <b/>
      <sz val="11"/>
      <color theme="1" tint="0.34998626667073579"/>
      <name val="Calibri"/>
      <charset val="134"/>
      <scheme val="minor"/>
    </font>
    <font>
      <sz val="11"/>
      <name val="Calibri"/>
      <charset val="134"/>
      <scheme val="minor"/>
    </font>
    <font>
      <sz val="11"/>
      <color theme="8" tint="-0.499984740745262"/>
      <name val="Calibri"/>
      <charset val="134"/>
      <scheme val="minor"/>
    </font>
    <font>
      <sz val="9"/>
      <name val="Arial"/>
      <charset val="134"/>
    </font>
    <font>
      <b/>
      <sz val="11"/>
      <color indexed="10"/>
      <name val="Arial"/>
      <charset val="134"/>
    </font>
    <font>
      <i/>
      <sz val="11"/>
      <name val="Calibri"/>
      <charset val="134"/>
      <scheme val="minor"/>
    </font>
    <font>
      <b/>
      <sz val="11"/>
      <color theme="8" tint="-0.49998474074526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5" tint="-0.249977111117893"/>
      <name val="Calibri"/>
      <charset val="134"/>
      <scheme val="minor"/>
    </font>
    <font>
      <sz val="11"/>
      <color theme="4" tint="-0.499984740745262"/>
      <name val="Calibri"/>
      <charset val="134"/>
      <scheme val="minor"/>
    </font>
    <font>
      <sz val="11"/>
      <color theme="1" tint="0.249977111117893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theme="1" tint="0.34998626667073579"/>
      <name val="Calibri"/>
      <charset val="134"/>
      <scheme val="minor"/>
    </font>
    <font>
      <b/>
      <sz val="11"/>
      <name val="Calibri"/>
      <charset val="134"/>
      <scheme val="minor"/>
    </font>
    <font>
      <b/>
      <sz val="9"/>
      <color theme="1" tint="0.34998626667073579"/>
      <name val="Calibri"/>
      <charset val="134"/>
      <scheme val="minor"/>
    </font>
    <font>
      <sz val="9"/>
      <color indexed="10"/>
      <name val="Arial"/>
      <charset val="134"/>
    </font>
    <font>
      <b/>
      <sz val="11"/>
      <color theme="5"/>
      <name val="Calibri"/>
      <charset val="134"/>
      <scheme val="minor"/>
    </font>
    <font>
      <b/>
      <sz val="11"/>
      <color theme="1" tint="0.499984740745262"/>
      <name val="Calibri"/>
      <charset val="134"/>
      <scheme val="minor"/>
    </font>
    <font>
      <sz val="8"/>
      <name val="Arial"/>
      <charset val="134"/>
    </font>
    <font>
      <b/>
      <sz val="11"/>
      <color theme="4" tint="-0.499984740745262"/>
      <name val="Calibri"/>
      <charset val="134"/>
      <scheme val="minor"/>
    </font>
    <font>
      <b/>
      <sz val="9"/>
      <color indexed="10"/>
      <name val="Arial"/>
      <charset val="134"/>
    </font>
    <font>
      <b/>
      <sz val="9"/>
      <name val="Arial"/>
      <charset val="134"/>
    </font>
    <font>
      <b/>
      <sz val="10"/>
      <color indexed="10"/>
      <name val="Arial"/>
      <charset val="134"/>
    </font>
    <font>
      <sz val="11"/>
      <color indexed="8"/>
      <name val="Calibri"/>
      <charset val="134"/>
      <scheme val="minor"/>
    </font>
    <font>
      <b/>
      <sz val="11"/>
      <color theme="4" tint="-0.249977111117893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  <scheme val="minor"/>
    </font>
    <font>
      <i/>
      <sz val="11"/>
      <color theme="4" tint="-0.499984740745262"/>
      <name val="Calibri"/>
      <charset val="134"/>
      <scheme val="minor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1"/>
      <name val="Arial"/>
      <charset val="134"/>
    </font>
    <font>
      <b/>
      <sz val="12"/>
      <color theme="0"/>
      <name val="Calibri"/>
      <charset val="134"/>
      <scheme val="minor"/>
    </font>
    <font>
      <b/>
      <sz val="11"/>
      <color theme="4" tint="0.59999389629810485"/>
      <name val="Calibri"/>
      <charset val="134"/>
      <scheme val="minor"/>
    </font>
    <font>
      <sz val="11"/>
      <color theme="9" tint="0.79992065187536243"/>
      <name val="Calibri"/>
      <charset val="134"/>
      <scheme val="minor"/>
    </font>
    <font>
      <sz val="11"/>
      <color theme="1" tint="0.499984740745262"/>
      <name val="Calibri"/>
      <charset val="134"/>
      <scheme val="minor"/>
    </font>
    <font>
      <sz val="11"/>
      <color rgb="FF000000"/>
      <name val="Calibri"/>
      <charset val="134"/>
    </font>
    <font>
      <sz val="9"/>
      <name val="Calibri"/>
      <charset val="134"/>
      <scheme val="minor"/>
    </font>
    <font>
      <sz val="10"/>
      <color indexed="8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8"/>
      <name val="Tahoma"/>
      <charset val="134"/>
    </font>
    <font>
      <sz val="10"/>
      <name val="Arial"/>
      <charset val="134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39991454817346722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79992065187536243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0"/>
      </patternFill>
    </fill>
  </fills>
  <borders count="94">
    <border>
      <left/>
      <right/>
      <top/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-0.249977111117893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-0.249977111117893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auto="1"/>
      </bottom>
      <diagonal/>
    </border>
    <border>
      <left style="thin">
        <color theme="4" tint="-0.249977111117893"/>
      </left>
      <right style="thin">
        <color theme="4" tint="0.59999389629810485"/>
      </right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0.59999389629810485"/>
      </right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-0.249977111117893"/>
      </bottom>
      <diagonal/>
    </border>
    <border>
      <left/>
      <right/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 tint="0.59999389629810485"/>
      </left>
      <right/>
      <top/>
      <bottom style="thin">
        <color theme="4" tint="-0.249977111117893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-0.249977111117893"/>
      </right>
      <top style="thin">
        <color theme="4" tint="0.59999389629810485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0.5999938962981048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5" tint="-0.249977111117893"/>
      </left>
      <right style="thin">
        <color theme="0" tint="-0.34998626667073579"/>
      </right>
      <top style="thin">
        <color theme="5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5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5" tint="-0.249977111117893"/>
      </right>
      <top style="thin">
        <color theme="5" tint="-0.249977111117893"/>
      </top>
      <bottom style="thin">
        <color theme="0" tint="-0.34998626667073579"/>
      </bottom>
      <diagonal/>
    </border>
    <border>
      <left style="thin">
        <color theme="5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5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5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5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5" tint="-0.249977111117893"/>
      </bottom>
      <diagonal/>
    </border>
    <border>
      <left style="thin">
        <color theme="0" tint="-0.34998626667073579"/>
      </left>
      <right style="thin">
        <color theme="5" tint="-0.249977111117893"/>
      </right>
      <top style="thin">
        <color theme="0" tint="-0.34998626667073579"/>
      </top>
      <bottom style="thin">
        <color theme="5" tint="-0.249977111117893"/>
      </bottom>
      <diagonal/>
    </border>
    <border>
      <left style="thin">
        <color theme="5" tint="-0.249977111117893"/>
      </left>
      <right/>
      <top/>
      <bottom/>
      <diagonal/>
    </border>
    <border>
      <left/>
      <right style="thin">
        <color theme="5" tint="-0.249977111117893"/>
      </right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0"/>
      </top>
      <bottom/>
      <diagonal/>
    </border>
    <border>
      <left style="thin">
        <color theme="5" tint="-0.249977111117893"/>
      </left>
      <right style="thin">
        <color theme="0"/>
      </right>
      <top style="thin">
        <color theme="0"/>
      </top>
      <bottom/>
      <diagonal/>
    </border>
    <border>
      <left style="thin">
        <color theme="5" tint="-0.249977111117893"/>
      </left>
      <right style="thin">
        <color theme="0"/>
      </right>
      <top/>
      <bottom style="thin">
        <color theme="0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0"/>
      </bottom>
      <diagonal/>
    </border>
    <border>
      <left/>
      <right/>
      <top style="thin">
        <color theme="5" tint="-0.249977111117893"/>
      </top>
      <bottom style="thin">
        <color theme="0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0"/>
      </bottom>
      <diagonal/>
    </border>
    <border>
      <left style="thin">
        <color theme="0"/>
      </left>
      <right style="thin">
        <color theme="5" tint="-0.249977111117893"/>
      </right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/>
      <top/>
      <bottom style="thin">
        <color theme="0"/>
      </bottom>
      <diagonal/>
    </border>
    <border>
      <left style="thin">
        <color theme="5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/>
      <top style="thin">
        <color theme="0"/>
      </top>
      <bottom style="thin">
        <color theme="5" tint="-0.249977111117893"/>
      </bottom>
      <diagonal/>
    </border>
    <border>
      <left/>
      <right/>
      <top style="thin">
        <color theme="0"/>
      </top>
      <bottom style="thin">
        <color theme="5" tint="-0.249977111117893"/>
      </bottom>
      <diagonal/>
    </border>
    <border>
      <left style="thin">
        <color theme="0"/>
      </left>
      <right style="thin">
        <color theme="5" tint="-0.249977111117893"/>
      </right>
      <top style="thin">
        <color theme="0"/>
      </top>
      <bottom style="thin">
        <color theme="5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0">
    <xf numFmtId="0" fontId="0" fillId="0" borderId="0"/>
    <xf numFmtId="4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3" fillId="0" borderId="0"/>
    <xf numFmtId="0" fontId="43" fillId="0" borderId="0"/>
    <xf numFmtId="0" fontId="47" fillId="0" borderId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43" fillId="0" borderId="0"/>
  </cellStyleXfs>
  <cellXfs count="7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3" xfId="0" applyFont="1" applyFill="1" applyBorder="1" applyAlignment="1">
      <alignment vertical="center"/>
    </xf>
    <xf numFmtId="0" fontId="15" fillId="5" borderId="3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2" borderId="14" xfId="0" applyFont="1" applyFill="1" applyBorder="1"/>
    <xf numFmtId="0" fontId="4" fillId="2" borderId="1" xfId="0" applyFont="1" applyFill="1" applyBorder="1"/>
    <xf numFmtId="164" fontId="17" fillId="2" borderId="1" xfId="0" applyNumberFormat="1" applyFont="1" applyFill="1" applyBorder="1"/>
    <xf numFmtId="4" fontId="0" fillId="0" borderId="0" xfId="0" applyNumberFormat="1"/>
    <xf numFmtId="0" fontId="4" fillId="0" borderId="7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44" fontId="0" fillId="0" borderId="0" xfId="1" applyFont="1"/>
    <xf numFmtId="4" fontId="5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3" fontId="0" fillId="0" borderId="0" xfId="0" applyNumberFormat="1"/>
    <xf numFmtId="44" fontId="0" fillId="0" borderId="0" xfId="1" applyFont="1" applyBorder="1"/>
    <xf numFmtId="0" fontId="19" fillId="0" borderId="0" xfId="0" applyFont="1"/>
    <xf numFmtId="0" fontId="5" fillId="0" borderId="7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7" fillId="2" borderId="3" xfId="0" applyFont="1" applyFill="1" applyBorder="1"/>
    <xf numFmtId="0" fontId="17" fillId="6" borderId="0" xfId="0" applyFont="1" applyFill="1"/>
    <xf numFmtId="0" fontId="20" fillId="6" borderId="0" xfId="0" applyFont="1" applyFill="1"/>
    <xf numFmtId="0" fontId="0" fillId="3" borderId="0" xfId="0" applyFill="1"/>
    <xf numFmtId="3" fontId="12" fillId="0" borderId="3" xfId="0" applyNumberFormat="1" applyFont="1" applyBorder="1" applyAlignment="1">
      <alignment horizontal="center" vertical="center"/>
    </xf>
    <xf numFmtId="0" fontId="22" fillId="0" borderId="0" xfId="0" applyFont="1"/>
    <xf numFmtId="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/>
    <xf numFmtId="9" fontId="4" fillId="0" borderId="14" xfId="0" applyNumberFormat="1" applyFont="1" applyBorder="1"/>
    <xf numFmtId="0" fontId="4" fillId="0" borderId="1" xfId="0" applyFont="1" applyBorder="1"/>
    <xf numFmtId="0" fontId="4" fillId="0" borderId="2" xfId="0" applyFont="1" applyBorder="1"/>
    <xf numFmtId="2" fontId="21" fillId="2" borderId="0" xfId="0" applyNumberFormat="1" applyFont="1" applyFill="1" applyAlignment="1">
      <alignment horizontal="center" vertical="center" wrapText="1"/>
    </xf>
    <xf numFmtId="0" fontId="23" fillId="8" borderId="27" xfId="4" applyFont="1" applyFill="1" applyBorder="1" applyAlignment="1">
      <alignment horizontal="center" vertical="center" wrapText="1"/>
    </xf>
    <xf numFmtId="0" fontId="23" fillId="9" borderId="27" xfId="4" applyFont="1" applyFill="1" applyBorder="1" applyAlignment="1">
      <alignment horizontal="center" vertical="center" wrapText="1"/>
    </xf>
    <xf numFmtId="1" fontId="21" fillId="2" borderId="0" xfId="0" applyNumberFormat="1" applyFont="1" applyFill="1" applyAlignment="1">
      <alignment horizontal="center" vertical="center" wrapText="1"/>
    </xf>
    <xf numFmtId="0" fontId="28" fillId="7" borderId="0" xfId="4" applyFont="1" applyFill="1" applyAlignment="1">
      <alignment horizontal="center" vertical="center" wrapText="1"/>
    </xf>
    <xf numFmtId="0" fontId="10" fillId="10" borderId="27" xfId="4" applyFont="1" applyFill="1" applyBorder="1" applyAlignment="1">
      <alignment horizontal="center" vertical="center" wrapText="1"/>
    </xf>
    <xf numFmtId="0" fontId="29" fillId="7" borderId="27" xfId="4" applyFont="1" applyFill="1" applyBorder="1" applyAlignment="1">
      <alignment horizontal="center" vertical="center" wrapText="1"/>
    </xf>
    <xf numFmtId="0" fontId="17" fillId="0" borderId="0" xfId="6" applyFont="1" applyAlignment="1">
      <alignment horizontal="center"/>
    </xf>
    <xf numFmtId="168" fontId="21" fillId="2" borderId="0" xfId="0" applyNumberFormat="1" applyFont="1" applyFill="1" applyAlignment="1">
      <alignment horizontal="center" vertical="center" wrapText="1"/>
    </xf>
    <xf numFmtId="2" fontId="21" fillId="2" borderId="10" xfId="0" applyNumberFormat="1" applyFont="1" applyFill="1" applyBorder="1" applyAlignment="1">
      <alignment horizontal="center" vertical="center" wrapText="1"/>
    </xf>
    <xf numFmtId="0" fontId="4" fillId="0" borderId="0" xfId="6" applyFont="1" applyAlignment="1">
      <alignment horizontal="left"/>
    </xf>
    <xf numFmtId="0" fontId="4" fillId="0" borderId="0" xfId="6" applyFont="1"/>
    <xf numFmtId="0" fontId="30" fillId="0" borderId="0" xfId="0" applyFont="1"/>
    <xf numFmtId="0" fontId="20" fillId="10" borderId="27" xfId="4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4" borderId="3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2" fillId="4" borderId="37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7" fontId="4" fillId="4" borderId="0" xfId="0" applyNumberFormat="1" applyFont="1" applyFill="1" applyAlignment="1">
      <alignment horizontal="center"/>
    </xf>
    <xf numFmtId="167" fontId="4" fillId="4" borderId="38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38" xfId="0" applyNumberFormat="1" applyFont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167" fontId="4" fillId="4" borderId="40" xfId="0" applyNumberFormat="1" applyFont="1" applyFill="1" applyBorder="1" applyAlignment="1">
      <alignment horizontal="center"/>
    </xf>
    <xf numFmtId="167" fontId="4" fillId="4" borderId="41" xfId="0" applyNumberFormat="1" applyFont="1" applyFill="1" applyBorder="1" applyAlignment="1">
      <alignment horizontal="center"/>
    </xf>
    <xf numFmtId="0" fontId="17" fillId="0" borderId="0" xfId="0" applyFont="1"/>
    <xf numFmtId="0" fontId="23" fillId="4" borderId="35" xfId="0" applyFont="1" applyFill="1" applyBorder="1" applyAlignment="1">
      <alignment horizontal="right"/>
    </xf>
    <xf numFmtId="2" fontId="5" fillId="4" borderId="36" xfId="0" applyNumberFormat="1" applyFont="1" applyFill="1" applyBorder="1" applyAlignment="1">
      <alignment horizontal="center"/>
    </xf>
    <xf numFmtId="0" fontId="32" fillId="0" borderId="0" xfId="0" applyFont="1"/>
    <xf numFmtId="0" fontId="23" fillId="0" borderId="0" xfId="0" applyFont="1" applyAlignment="1">
      <alignment horizontal="right"/>
    </xf>
    <xf numFmtId="2" fontId="5" fillId="0" borderId="38" xfId="0" applyNumberFormat="1" applyFont="1" applyBorder="1" applyAlignment="1">
      <alignment horizontal="center"/>
    </xf>
    <xf numFmtId="0" fontId="8" fillId="0" borderId="0" xfId="0" applyFont="1"/>
    <xf numFmtId="0" fontId="23" fillId="4" borderId="0" xfId="0" applyFont="1" applyFill="1" applyAlignment="1">
      <alignment horizontal="right"/>
    </xf>
    <xf numFmtId="2" fontId="5" fillId="4" borderId="38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3" fillId="0" borderId="40" xfId="0" applyFont="1" applyBorder="1" applyAlignment="1">
      <alignment horizontal="right"/>
    </xf>
    <xf numFmtId="2" fontId="5" fillId="0" borderId="4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33" fillId="11" borderId="42" xfId="0" applyFont="1" applyFill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34" fillId="0" borderId="42" xfId="0" applyFont="1" applyBorder="1" applyAlignment="1">
      <alignment vertical="center" wrapText="1"/>
    </xf>
    <xf numFmtId="4" fontId="34" fillId="0" borderId="4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" fontId="33" fillId="11" borderId="42" xfId="0" applyNumberFormat="1" applyFont="1" applyFill="1" applyBorder="1" applyAlignment="1">
      <alignment horizontal="center" vertical="center" wrapText="1"/>
    </xf>
    <xf numFmtId="49" fontId="33" fillId="11" borderId="42" xfId="0" applyNumberFormat="1" applyFont="1" applyFill="1" applyBorder="1" applyAlignment="1">
      <alignment horizontal="center" vertical="center" wrapText="1"/>
    </xf>
    <xf numFmtId="2" fontId="34" fillId="0" borderId="42" xfId="0" applyNumberFormat="1" applyFont="1" applyBorder="1" applyAlignment="1">
      <alignment horizontal="center" vertical="center" wrapText="1"/>
    </xf>
    <xf numFmtId="1" fontId="34" fillId="0" borderId="42" xfId="0" applyNumberFormat="1" applyFont="1" applyBorder="1" applyAlignment="1">
      <alignment horizontal="center" vertical="center" wrapText="1"/>
    </xf>
    <xf numFmtId="1" fontId="34" fillId="0" borderId="43" xfId="0" applyNumberFormat="1" applyFont="1" applyBorder="1" applyAlignment="1">
      <alignment horizontal="center" vertical="center" wrapText="1"/>
    </xf>
    <xf numFmtId="2" fontId="34" fillId="0" borderId="43" xfId="0" applyNumberFormat="1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4" fontId="35" fillId="12" borderId="4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" fontId="38" fillId="2" borderId="0" xfId="0" applyNumberFormat="1" applyFont="1" applyFill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5" borderId="0" xfId="0" applyFont="1" applyFill="1" applyAlignment="1">
      <alignment horizontal="center"/>
    </xf>
    <xf numFmtId="0" fontId="4" fillId="5" borderId="27" xfId="0" applyFont="1" applyFill="1" applyBorder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/>
    <xf numFmtId="2" fontId="4" fillId="0" borderId="0" xfId="0" applyNumberFormat="1" applyFont="1"/>
    <xf numFmtId="0" fontId="5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4" fontId="4" fillId="5" borderId="0" xfId="0" applyNumberFormat="1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10" fontId="4" fillId="0" borderId="0" xfId="0" applyNumberFormat="1" applyFont="1" applyAlignment="1">
      <alignment horizontal="center"/>
    </xf>
    <xf numFmtId="43" fontId="4" fillId="0" borderId="0" xfId="2" applyFont="1" applyBorder="1"/>
    <xf numFmtId="10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44" fontId="4" fillId="5" borderId="0" xfId="2" applyNumberFormat="1" applyFont="1" applyFill="1" applyBorder="1"/>
    <xf numFmtId="1" fontId="4" fillId="0" borderId="3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8" fontId="4" fillId="0" borderId="3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0" fontId="3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4" borderId="19" xfId="0" applyFont="1" applyFill="1" applyBorder="1" applyAlignment="1">
      <alignment vertical="center"/>
    </xf>
    <xf numFmtId="8" fontId="4" fillId="4" borderId="19" xfId="0" applyNumberFormat="1" applyFont="1" applyFill="1" applyBorder="1" applyAlignment="1">
      <alignment vertical="center"/>
    </xf>
    <xf numFmtId="8" fontId="4" fillId="4" borderId="20" xfId="0" applyNumberFormat="1" applyFont="1" applyFill="1" applyBorder="1" applyAlignment="1">
      <alignment vertical="center"/>
    </xf>
    <xf numFmtId="8" fontId="4" fillId="0" borderId="0" xfId="0" applyNumberFormat="1" applyFont="1" applyAlignment="1">
      <alignment vertical="center"/>
    </xf>
    <xf numFmtId="8" fontId="4" fillId="3" borderId="0" xfId="0" applyNumberFormat="1" applyFont="1" applyFill="1" applyAlignment="1">
      <alignment vertical="center"/>
    </xf>
    <xf numFmtId="8" fontId="4" fillId="3" borderId="45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8" fontId="4" fillId="4" borderId="0" xfId="0" applyNumberFormat="1" applyFont="1" applyFill="1" applyAlignment="1">
      <alignment vertical="center"/>
    </xf>
    <xf numFmtId="8" fontId="4" fillId="4" borderId="4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8" fontId="4" fillId="3" borderId="15" xfId="0" applyNumberFormat="1" applyFont="1" applyFill="1" applyBorder="1" applyAlignment="1">
      <alignment vertical="center"/>
    </xf>
    <xf numFmtId="8" fontId="4" fillId="3" borderId="17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8" fontId="4" fillId="4" borderId="15" xfId="0" applyNumberFormat="1" applyFont="1" applyFill="1" applyBorder="1" applyAlignment="1">
      <alignment vertical="center"/>
    </xf>
    <xf numFmtId="8" fontId="4" fillId="4" borderId="17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2" fontId="4" fillId="4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14" fontId="17" fillId="0" borderId="47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0" fontId="5" fillId="15" borderId="0" xfId="3" applyNumberFormat="1" applyFont="1" applyFill="1" applyBorder="1" applyAlignment="1">
      <alignment horizontal="center" vertical="center" wrapText="1"/>
    </xf>
    <xf numFmtId="44" fontId="4" fillId="4" borderId="0" xfId="1" applyFont="1" applyFill="1" applyAlignment="1">
      <alignment vertical="center"/>
    </xf>
    <xf numFmtId="4" fontId="4" fillId="4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41" fillId="0" borderId="0" xfId="0" applyFont="1"/>
    <xf numFmtId="10" fontId="4" fillId="4" borderId="0" xfId="3" applyNumberFormat="1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9" fillId="6" borderId="0" xfId="0" applyFont="1" applyFill="1"/>
    <xf numFmtId="0" fontId="4" fillId="3" borderId="0" xfId="0" applyFont="1" applyFill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4" fillId="5" borderId="3" xfId="0" applyFont="1" applyFill="1" applyBorder="1"/>
    <xf numFmtId="0" fontId="4" fillId="5" borderId="14" xfId="0" applyFont="1" applyFill="1" applyBorder="1"/>
    <xf numFmtId="4" fontId="4" fillId="5" borderId="14" xfId="0" applyNumberFormat="1" applyFont="1" applyFill="1" applyBorder="1"/>
    <xf numFmtId="4" fontId="4" fillId="5" borderId="1" xfId="0" applyNumberFormat="1" applyFont="1" applyFill="1" applyBorder="1"/>
    <xf numFmtId="4" fontId="4" fillId="5" borderId="2" xfId="0" applyNumberFormat="1" applyFont="1" applyFill="1" applyBorder="1"/>
    <xf numFmtId="0" fontId="17" fillId="2" borderId="14" xfId="0" applyFont="1" applyFill="1" applyBorder="1"/>
    <xf numFmtId="0" fontId="17" fillId="2" borderId="1" xfId="0" applyFont="1" applyFill="1" applyBorder="1"/>
    <xf numFmtId="0" fontId="10" fillId="0" borderId="0" xfId="0" applyFont="1"/>
    <xf numFmtId="0" fontId="40" fillId="0" borderId="0" xfId="0" applyFont="1" applyAlignment="1">
      <alignment horizontal="center"/>
    </xf>
    <xf numFmtId="0" fontId="4" fillId="3" borderId="9" xfId="0" applyFont="1" applyFill="1" applyBorder="1"/>
    <xf numFmtId="0" fontId="40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" fillId="0" borderId="7" xfId="0" applyFont="1" applyBorder="1"/>
    <xf numFmtId="0" fontId="4" fillId="3" borderId="10" xfId="0" applyFont="1" applyFill="1" applyBorder="1"/>
    <xf numFmtId="0" fontId="5" fillId="5" borderId="0" xfId="0" applyFont="1" applyFill="1" applyAlignment="1">
      <alignment vertical="center"/>
    </xf>
    <xf numFmtId="9" fontId="5" fillId="5" borderId="0" xfId="0" applyNumberFormat="1" applyFont="1" applyFill="1" applyAlignment="1">
      <alignment vertical="center"/>
    </xf>
    <xf numFmtId="0" fontId="4" fillId="17" borderId="9" xfId="0" applyFont="1" applyFill="1" applyBorder="1"/>
    <xf numFmtId="0" fontId="4" fillId="17" borderId="0" xfId="0" applyFont="1" applyFill="1"/>
    <xf numFmtId="0" fontId="10" fillId="17" borderId="0" xfId="0" applyFont="1" applyFill="1" applyAlignment="1">
      <alignment horizontal="center"/>
    </xf>
    <xf numFmtId="0" fontId="10" fillId="17" borderId="21" xfId="0" applyFont="1" applyFill="1" applyBorder="1"/>
    <xf numFmtId="0" fontId="10" fillId="17" borderId="22" xfId="0" applyFont="1" applyFill="1" applyBorder="1"/>
    <xf numFmtId="0" fontId="10" fillId="17" borderId="30" xfId="0" applyFont="1" applyFill="1" applyBorder="1"/>
    <xf numFmtId="9" fontId="4" fillId="17" borderId="1" xfId="0" applyNumberFormat="1" applyFont="1" applyFill="1" applyBorder="1"/>
    <xf numFmtId="9" fontId="4" fillId="17" borderId="2" xfId="0" applyNumberFormat="1" applyFont="1" applyFill="1" applyBorder="1"/>
    <xf numFmtId="0" fontId="4" fillId="17" borderId="1" xfId="0" applyFont="1" applyFill="1" applyBorder="1"/>
    <xf numFmtId="0" fontId="10" fillId="17" borderId="18" xfId="0" applyFont="1" applyFill="1" applyBorder="1" applyAlignment="1">
      <alignment vertical="center" wrapText="1"/>
    </xf>
    <xf numFmtId="0" fontId="10" fillId="17" borderId="19" xfId="0" applyFont="1" applyFill="1" applyBorder="1" applyAlignment="1">
      <alignment vertical="center" wrapText="1"/>
    </xf>
    <xf numFmtId="0" fontId="10" fillId="17" borderId="20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/>
    </xf>
    <xf numFmtId="0" fontId="10" fillId="17" borderId="3" xfId="0" applyFont="1" applyFill="1" applyBorder="1" applyAlignment="1">
      <alignment horizontal="center" vertical="center" textRotation="90" wrapText="1"/>
    </xf>
    <xf numFmtId="0" fontId="10" fillId="17" borderId="0" xfId="0" applyFont="1" applyFill="1" applyAlignment="1">
      <alignment horizontal="right"/>
    </xf>
    <xf numFmtId="4" fontId="10" fillId="17" borderId="0" xfId="0" applyNumberFormat="1" applyFont="1" applyFill="1" applyAlignment="1">
      <alignment horizontal="center"/>
    </xf>
    <xf numFmtId="164" fontId="10" fillId="17" borderId="0" xfId="0" applyNumberFormat="1" applyFont="1" applyFill="1" applyAlignment="1">
      <alignment horizontal="center"/>
    </xf>
    <xf numFmtId="0" fontId="21" fillId="17" borderId="3" xfId="0" applyFont="1" applyFill="1" applyBorder="1" applyAlignment="1">
      <alignment horizontal="center" vertical="center" textRotation="90" wrapText="1"/>
    </xf>
    <xf numFmtId="0" fontId="10" fillId="17" borderId="0" xfId="0" applyFont="1" applyFill="1" applyAlignment="1">
      <alignment horizontal="center" vertical="center" textRotation="90" wrapText="1"/>
    </xf>
    <xf numFmtId="0" fontId="23" fillId="16" borderId="37" xfId="0" applyFont="1" applyFill="1" applyBorder="1" applyAlignment="1">
      <alignment horizontal="center" vertical="center"/>
    </xf>
    <xf numFmtId="0" fontId="23" fillId="16" borderId="0" xfId="0" applyFont="1" applyFill="1" applyAlignment="1">
      <alignment horizontal="center" vertical="center"/>
    </xf>
    <xf numFmtId="0" fontId="23" fillId="16" borderId="38" xfId="0" applyFont="1" applyFill="1" applyBorder="1" applyAlignment="1">
      <alignment horizontal="center" vertical="center"/>
    </xf>
    <xf numFmtId="0" fontId="4" fillId="16" borderId="34" xfId="0" applyFont="1" applyFill="1" applyBorder="1" applyAlignment="1">
      <alignment horizontal="center"/>
    </xf>
    <xf numFmtId="0" fontId="17" fillId="16" borderId="37" xfId="0" applyFont="1" applyFill="1" applyBorder="1" applyAlignment="1">
      <alignment horizontal="center"/>
    </xf>
    <xf numFmtId="0" fontId="4" fillId="16" borderId="39" xfId="0" applyFont="1" applyFill="1" applyBorder="1" applyAlignment="1">
      <alignment horizontal="center"/>
    </xf>
    <xf numFmtId="0" fontId="23" fillId="16" borderId="40" xfId="0" applyFont="1" applyFill="1" applyBorder="1" applyAlignment="1">
      <alignment horizontal="center" vertical="center"/>
    </xf>
    <xf numFmtId="0" fontId="23" fillId="16" borderId="41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6" borderId="0" xfId="0" applyFont="1" applyFill="1" applyAlignment="1">
      <alignment horizontal="left" vertical="center"/>
    </xf>
    <xf numFmtId="4" fontId="16" fillId="16" borderId="0" xfId="0" applyNumberFormat="1" applyFont="1" applyFill="1" applyAlignment="1">
      <alignment vertical="center"/>
    </xf>
    <xf numFmtId="0" fontId="16" fillId="16" borderId="0" xfId="0" applyFont="1" applyFill="1" applyAlignment="1">
      <alignment horizontal="center" vertical="center"/>
    </xf>
    <xf numFmtId="4" fontId="16" fillId="16" borderId="10" xfId="0" applyNumberFormat="1" applyFont="1" applyFill="1" applyBorder="1" applyAlignment="1">
      <alignment vertical="center"/>
    </xf>
    <xf numFmtId="164" fontId="16" fillId="16" borderId="10" xfId="0" applyNumberFormat="1" applyFont="1" applyFill="1" applyBorder="1" applyAlignment="1">
      <alignment vertical="center"/>
    </xf>
    <xf numFmtId="0" fontId="4" fillId="17" borderId="11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vertical="center"/>
    </xf>
    <xf numFmtId="0" fontId="4" fillId="17" borderId="12" xfId="0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right" vertical="center"/>
    </xf>
    <xf numFmtId="0" fontId="2" fillId="17" borderId="12" xfId="0" applyFont="1" applyFill="1" applyBorder="1" applyAlignment="1">
      <alignment vertical="center"/>
    </xf>
    <xf numFmtId="164" fontId="2" fillId="17" borderId="13" xfId="0" applyNumberFormat="1" applyFont="1" applyFill="1" applyBorder="1" applyAlignment="1">
      <alignment vertical="center"/>
    </xf>
    <xf numFmtId="0" fontId="3" fillId="16" borderId="0" xfId="0" applyFont="1" applyFill="1" applyAlignment="1">
      <alignment horizontal="center" vertical="center"/>
    </xf>
    <xf numFmtId="0" fontId="3" fillId="16" borderId="9" xfId="0" applyFont="1" applyFill="1" applyBorder="1" applyAlignment="1">
      <alignment horizontal="left" vertical="center"/>
    </xf>
    <xf numFmtId="0" fontId="21" fillId="16" borderId="0" xfId="0" applyFont="1" applyFill="1" applyAlignment="1">
      <alignment horizontal="center" vertical="center"/>
    </xf>
    <xf numFmtId="0" fontId="3" fillId="16" borderId="10" xfId="0" applyFont="1" applyFill="1" applyBorder="1" applyAlignment="1">
      <alignment horizontal="left" vertical="center"/>
    </xf>
    <xf numFmtId="164" fontId="3" fillId="16" borderId="0" xfId="0" applyNumberFormat="1" applyFont="1" applyFill="1" applyAlignment="1">
      <alignment horizontal="left" vertical="center"/>
    </xf>
    <xf numFmtId="164" fontId="3" fillId="16" borderId="10" xfId="0" applyNumberFormat="1" applyFont="1" applyFill="1" applyBorder="1" applyAlignment="1">
      <alignment horizontal="left" vertical="center"/>
    </xf>
    <xf numFmtId="0" fontId="1" fillId="17" borderId="6" xfId="0" applyFont="1" applyFill="1" applyBorder="1" applyAlignment="1">
      <alignment vertical="center"/>
    </xf>
    <xf numFmtId="4" fontId="3" fillId="16" borderId="0" xfId="0" applyNumberFormat="1" applyFont="1" applyFill="1" applyAlignment="1">
      <alignment horizontal="left" vertical="center"/>
    </xf>
    <xf numFmtId="164" fontId="2" fillId="17" borderId="12" xfId="0" applyNumberFormat="1" applyFont="1" applyFill="1" applyBorder="1" applyAlignment="1">
      <alignment vertical="center"/>
    </xf>
    <xf numFmtId="0" fontId="18" fillId="16" borderId="0" xfId="0" applyFont="1" applyFill="1" applyAlignment="1">
      <alignment horizontal="center" vertical="center"/>
    </xf>
    <xf numFmtId="0" fontId="2" fillId="17" borderId="11" xfId="0" applyFont="1" applyFill="1" applyBorder="1" applyAlignment="1">
      <alignment horizontal="right" vertical="center"/>
    </xf>
    <xf numFmtId="0" fontId="11" fillId="16" borderId="0" xfId="0" applyFont="1" applyFill="1" applyAlignment="1">
      <alignment horizontal="left" vertical="center"/>
    </xf>
    <xf numFmtId="0" fontId="9" fillId="16" borderId="0" xfId="0" applyFont="1" applyFill="1" applyAlignment="1">
      <alignment horizontal="left" vertical="center"/>
    </xf>
    <xf numFmtId="0" fontId="4" fillId="17" borderId="0" xfId="0" applyFont="1" applyFill="1" applyAlignment="1">
      <alignment horizontal="center" vertical="center"/>
    </xf>
    <xf numFmtId="0" fontId="4" fillId="17" borderId="0" xfId="0" applyFont="1" applyFill="1" applyAlignment="1">
      <alignment vertical="center"/>
    </xf>
    <xf numFmtId="0" fontId="2" fillId="17" borderId="0" xfId="0" applyFont="1" applyFill="1" applyAlignment="1">
      <alignment horizontal="right" vertical="center"/>
    </xf>
    <xf numFmtId="164" fontId="2" fillId="17" borderId="0" xfId="0" applyNumberFormat="1" applyFont="1" applyFill="1" applyAlignment="1">
      <alignment vertical="center"/>
    </xf>
    <xf numFmtId="0" fontId="11" fillId="16" borderId="9" xfId="0" applyFont="1" applyFill="1" applyBorder="1" applyAlignment="1">
      <alignment horizontal="left" vertical="center"/>
    </xf>
    <xf numFmtId="2" fontId="11" fillId="16" borderId="9" xfId="0" applyNumberFormat="1" applyFont="1" applyFill="1" applyBorder="1" applyAlignment="1">
      <alignment horizontal="left" vertical="center"/>
    </xf>
    <xf numFmtId="0" fontId="10" fillId="17" borderId="12" xfId="0" applyFont="1" applyFill="1" applyBorder="1" applyAlignment="1">
      <alignment vertical="center"/>
    </xf>
    <xf numFmtId="0" fontId="9" fillId="16" borderId="9" xfId="0" applyFont="1" applyFill="1" applyBorder="1" applyAlignment="1">
      <alignment horizontal="center" vertical="center"/>
    </xf>
    <xf numFmtId="2" fontId="9" fillId="16" borderId="9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0" fillId="17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0" fillId="18" borderId="27" xfId="4" applyFont="1" applyFill="1" applyBorder="1" applyAlignment="1">
      <alignment horizontal="center" vertical="center" wrapText="1"/>
    </xf>
    <xf numFmtId="0" fontId="28" fillId="7" borderId="0" xfId="4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50" fillId="7" borderId="62" xfId="4" applyFont="1" applyFill="1" applyBorder="1" applyAlignment="1">
      <alignment horizontal="center" vertical="center" wrapText="1"/>
    </xf>
    <xf numFmtId="0" fontId="29" fillId="7" borderId="62" xfId="4" applyFont="1" applyFill="1" applyBorder="1" applyAlignment="1">
      <alignment horizontal="center" vertical="center" wrapText="1"/>
    </xf>
    <xf numFmtId="0" fontId="27" fillId="0" borderId="63" xfId="9" applyFont="1" applyBorder="1" applyAlignment="1">
      <alignment vertical="center" wrapText="1"/>
    </xf>
    <xf numFmtId="4" fontId="27" fillId="0" borderId="63" xfId="9" applyNumberFormat="1" applyFont="1" applyBorder="1" applyAlignment="1">
      <alignment horizontal="right" vertical="center" wrapText="1"/>
    </xf>
    <xf numFmtId="4" fontId="52" fillId="0" borderId="63" xfId="9" applyNumberFormat="1" applyFont="1" applyBorder="1" applyAlignment="1">
      <alignment horizontal="right" vertical="center" wrapText="1"/>
    </xf>
    <xf numFmtId="2" fontId="27" fillId="0" borderId="63" xfId="9" applyNumberFormat="1" applyFont="1" applyBorder="1" applyAlignment="1">
      <alignment horizontal="right" vertical="center" wrapText="1"/>
    </xf>
    <xf numFmtId="0" fontId="27" fillId="0" borderId="63" xfId="9" applyFont="1" applyBorder="1" applyAlignment="1">
      <alignment wrapText="1"/>
    </xf>
    <xf numFmtId="4" fontId="27" fillId="0" borderId="63" xfId="9" applyNumberFormat="1" applyFont="1" applyBorder="1" applyAlignment="1">
      <alignment horizontal="right" wrapText="1"/>
    </xf>
    <xf numFmtId="2" fontId="27" fillId="0" borderId="63" xfId="9" applyNumberFormat="1" applyFont="1" applyBorder="1" applyAlignment="1">
      <alignment horizontal="right" wrapText="1"/>
    </xf>
    <xf numFmtId="0" fontId="27" fillId="0" borderId="63" xfId="5" applyFont="1" applyBorder="1" applyAlignment="1">
      <alignment wrapText="1"/>
    </xf>
    <xf numFmtId="2" fontId="27" fillId="0" borderId="63" xfId="4" applyNumberFormat="1" applyFont="1" applyBorder="1" applyAlignment="1">
      <alignment horizontal="right" vertical="center" wrapText="1"/>
    </xf>
    <xf numFmtId="0" fontId="27" fillId="0" borderId="63" xfId="4" applyFont="1" applyBorder="1" applyAlignment="1">
      <alignment horizontal="left" vertical="center" wrapText="1"/>
    </xf>
    <xf numFmtId="0" fontId="27" fillId="0" borderId="63" xfId="4" applyFont="1" applyBorder="1" applyAlignment="1">
      <alignment vertical="center" wrapText="1"/>
    </xf>
    <xf numFmtId="4" fontId="27" fillId="0" borderId="63" xfId="4" applyNumberFormat="1" applyFont="1" applyBorder="1" applyAlignment="1">
      <alignment horizontal="center" vertical="center" wrapText="1"/>
    </xf>
    <xf numFmtId="2" fontId="27" fillId="0" borderId="63" xfId="4" applyNumberFormat="1" applyFont="1" applyBorder="1" applyAlignment="1">
      <alignment horizontal="center" vertical="center" wrapText="1"/>
    </xf>
    <xf numFmtId="1" fontId="27" fillId="0" borderId="63" xfId="4" applyNumberFormat="1" applyFont="1" applyBorder="1" applyAlignment="1">
      <alignment horizontal="center" vertical="center" wrapText="1"/>
    </xf>
    <xf numFmtId="4" fontId="27" fillId="0" borderId="63" xfId="9" applyNumberFormat="1" applyFont="1" applyBorder="1" applyAlignment="1">
      <alignment horizontal="center" vertical="center" wrapText="1"/>
    </xf>
    <xf numFmtId="4" fontId="49" fillId="0" borderId="63" xfId="4" applyNumberFormat="1" applyFont="1" applyBorder="1" applyAlignment="1">
      <alignment horizontal="center" vertical="center" wrapText="1"/>
    </xf>
    <xf numFmtId="167" fontId="27" fillId="0" borderId="63" xfId="4" applyNumberFormat="1" applyFont="1" applyBorder="1" applyAlignment="1">
      <alignment horizontal="center" vertical="center" wrapText="1"/>
    </xf>
    <xf numFmtId="169" fontId="27" fillId="0" borderId="63" xfId="4" applyNumberFormat="1" applyFont="1" applyBorder="1" applyAlignment="1">
      <alignment vertical="center" wrapText="1"/>
    </xf>
    <xf numFmtId="0" fontId="5" fillId="0" borderId="64" xfId="9" applyFont="1" applyBorder="1" applyAlignment="1">
      <alignment horizontal="center" vertical="center" wrapText="1"/>
    </xf>
    <xf numFmtId="0" fontId="27" fillId="0" borderId="65" xfId="9" applyFont="1" applyBorder="1" applyAlignment="1">
      <alignment vertical="center" wrapText="1"/>
    </xf>
    <xf numFmtId="4" fontId="27" fillId="0" borderId="65" xfId="9" applyNumberFormat="1" applyFont="1" applyBorder="1" applyAlignment="1">
      <alignment horizontal="right" vertical="center" wrapText="1"/>
    </xf>
    <xf numFmtId="4" fontId="27" fillId="0" borderId="66" xfId="9" applyNumberFormat="1" applyFont="1" applyBorder="1" applyAlignment="1">
      <alignment horizontal="right" vertical="center" wrapText="1"/>
    </xf>
    <xf numFmtId="0" fontId="5" fillId="0" borderId="67" xfId="9" applyFont="1" applyBorder="1" applyAlignment="1">
      <alignment horizontal="center" vertical="center" wrapText="1"/>
    </xf>
    <xf numFmtId="4" fontId="27" fillId="0" borderId="68" xfId="9" applyNumberFormat="1" applyFont="1" applyBorder="1" applyAlignment="1">
      <alignment horizontal="right" vertical="center" wrapText="1"/>
    </xf>
    <xf numFmtId="0" fontId="5" fillId="0" borderId="69" xfId="9" applyFont="1" applyBorder="1" applyAlignment="1">
      <alignment horizontal="center" vertical="center" wrapText="1"/>
    </xf>
    <xf numFmtId="0" fontId="27" fillId="0" borderId="70" xfId="9" applyFont="1" applyBorder="1" applyAlignment="1">
      <alignment vertical="center" wrapText="1"/>
    </xf>
    <xf numFmtId="4" fontId="27" fillId="0" borderId="70" xfId="9" applyNumberFormat="1" applyFont="1" applyBorder="1" applyAlignment="1">
      <alignment horizontal="right" vertical="center" wrapText="1"/>
    </xf>
    <xf numFmtId="4" fontId="27" fillId="0" borderId="71" xfId="9" applyNumberFormat="1" applyFont="1" applyBorder="1" applyAlignment="1">
      <alignment horizontal="right" vertical="center" wrapText="1"/>
    </xf>
    <xf numFmtId="4" fontId="27" fillId="0" borderId="64" xfId="9" applyNumberFormat="1" applyFont="1" applyBorder="1" applyAlignment="1">
      <alignment horizontal="right" vertical="center" wrapText="1"/>
    </xf>
    <xf numFmtId="4" fontId="52" fillId="0" borderId="65" xfId="9" applyNumberFormat="1" applyFont="1" applyBorder="1" applyAlignment="1">
      <alignment horizontal="right" vertical="center" wrapText="1"/>
    </xf>
    <xf numFmtId="2" fontId="27" fillId="0" borderId="65" xfId="9" applyNumberFormat="1" applyFont="1" applyBorder="1" applyAlignment="1">
      <alignment horizontal="right" vertical="center" wrapText="1"/>
    </xf>
    <xf numFmtId="4" fontId="27" fillId="0" borderId="67" xfId="9" applyNumberFormat="1" applyFont="1" applyBorder="1" applyAlignment="1">
      <alignment horizontal="right" vertical="center" wrapText="1"/>
    </xf>
    <xf numFmtId="4" fontId="27" fillId="0" borderId="69" xfId="9" applyNumberFormat="1" applyFont="1" applyBorder="1" applyAlignment="1">
      <alignment horizontal="right" vertical="center" wrapText="1"/>
    </xf>
    <xf numFmtId="2" fontId="27" fillId="0" borderId="70" xfId="9" applyNumberFormat="1" applyFont="1" applyBorder="1" applyAlignment="1">
      <alignment horizontal="right" vertical="center" wrapText="1"/>
    </xf>
    <xf numFmtId="4" fontId="27" fillId="0" borderId="64" xfId="9" applyNumberFormat="1" applyFont="1" applyBorder="1" applyAlignment="1">
      <alignment horizontal="right" wrapText="1"/>
    </xf>
    <xf numFmtId="4" fontId="27" fillId="0" borderId="65" xfId="9" applyNumberFormat="1" applyFont="1" applyBorder="1" applyAlignment="1">
      <alignment horizontal="right" wrapText="1"/>
    </xf>
    <xf numFmtId="2" fontId="27" fillId="0" borderId="65" xfId="9" applyNumberFormat="1" applyFont="1" applyBorder="1" applyAlignment="1">
      <alignment horizontal="right" wrapText="1"/>
    </xf>
    <xf numFmtId="4" fontId="27" fillId="0" borderId="66" xfId="9" applyNumberFormat="1" applyFont="1" applyBorder="1" applyAlignment="1">
      <alignment horizontal="right" wrapText="1"/>
    </xf>
    <xf numFmtId="4" fontId="27" fillId="0" borderId="67" xfId="9" applyNumberFormat="1" applyFont="1" applyBorder="1" applyAlignment="1">
      <alignment horizontal="right" wrapText="1"/>
    </xf>
    <xf numFmtId="4" fontId="27" fillId="0" borderId="68" xfId="9" applyNumberFormat="1" applyFont="1" applyBorder="1" applyAlignment="1">
      <alignment horizontal="right" wrapText="1"/>
    </xf>
    <xf numFmtId="4" fontId="27" fillId="0" borderId="69" xfId="9" applyNumberFormat="1" applyFont="1" applyBorder="1" applyAlignment="1">
      <alignment horizontal="right" wrapText="1"/>
    </xf>
    <xf numFmtId="4" fontId="27" fillId="0" borderId="70" xfId="9" applyNumberFormat="1" applyFont="1" applyBorder="1" applyAlignment="1">
      <alignment horizontal="right" wrapText="1"/>
    </xf>
    <xf numFmtId="2" fontId="27" fillId="0" borderId="70" xfId="9" applyNumberFormat="1" applyFont="1" applyBorder="1" applyAlignment="1">
      <alignment horizontal="right" wrapText="1"/>
    </xf>
    <xf numFmtId="4" fontId="27" fillId="0" borderId="71" xfId="9" applyNumberFormat="1" applyFont="1" applyBorder="1" applyAlignment="1">
      <alignment horizontal="right" wrapText="1"/>
    </xf>
    <xf numFmtId="2" fontId="27" fillId="0" borderId="70" xfId="4" applyNumberFormat="1" applyFont="1" applyBorder="1" applyAlignment="1">
      <alignment horizontal="right" vertical="center" wrapText="1"/>
    </xf>
    <xf numFmtId="0" fontId="27" fillId="0" borderId="65" xfId="9" applyFont="1" applyBorder="1" applyAlignment="1">
      <alignment wrapText="1"/>
    </xf>
    <xf numFmtId="0" fontId="27" fillId="0" borderId="70" xfId="9" applyFont="1" applyBorder="1" applyAlignment="1">
      <alignment wrapText="1"/>
    </xf>
    <xf numFmtId="0" fontId="5" fillId="0" borderId="64" xfId="4" applyFont="1" applyBorder="1" applyAlignment="1">
      <alignment horizontal="center" vertical="center" wrapText="1"/>
    </xf>
    <xf numFmtId="0" fontId="27" fillId="0" borderId="65" xfId="4" applyFont="1" applyBorder="1" applyAlignment="1">
      <alignment horizontal="left" vertical="center" wrapText="1"/>
    </xf>
    <xf numFmtId="0" fontId="27" fillId="0" borderId="65" xfId="4" applyFont="1" applyBorder="1" applyAlignment="1">
      <alignment vertical="center" wrapText="1"/>
    </xf>
    <xf numFmtId="4" fontId="27" fillId="0" borderId="65" xfId="4" applyNumberFormat="1" applyFont="1" applyBorder="1" applyAlignment="1">
      <alignment horizontal="center" vertical="center" wrapText="1"/>
    </xf>
    <xf numFmtId="2" fontId="27" fillId="0" borderId="65" xfId="4" applyNumberFormat="1" applyFont="1" applyBorder="1" applyAlignment="1">
      <alignment horizontal="center" vertical="center" wrapText="1"/>
    </xf>
    <xf numFmtId="1" fontId="27" fillId="0" borderId="65" xfId="4" applyNumberFormat="1" applyFont="1" applyBorder="1" applyAlignment="1">
      <alignment horizontal="center" vertical="center" wrapText="1"/>
    </xf>
    <xf numFmtId="4" fontId="27" fillId="0" borderId="65" xfId="9" applyNumberFormat="1" applyFont="1" applyBorder="1" applyAlignment="1">
      <alignment horizontal="center" vertical="center" wrapText="1"/>
    </xf>
    <xf numFmtId="4" fontId="49" fillId="0" borderId="66" xfId="4" applyNumberFormat="1" applyFont="1" applyBorder="1" applyAlignment="1">
      <alignment horizontal="center" vertical="center" wrapText="1"/>
    </xf>
    <xf numFmtId="0" fontId="5" fillId="0" borderId="67" xfId="4" applyFont="1" applyBorder="1" applyAlignment="1">
      <alignment horizontal="center" vertical="center" wrapText="1"/>
    </xf>
    <xf numFmtId="4" fontId="49" fillId="0" borderId="68" xfId="4" applyNumberFormat="1" applyFont="1" applyBorder="1" applyAlignment="1">
      <alignment horizontal="center" vertical="center" wrapText="1"/>
    </xf>
    <xf numFmtId="0" fontId="5" fillId="0" borderId="69" xfId="4" applyFont="1" applyBorder="1" applyAlignment="1">
      <alignment horizontal="center" vertical="center" wrapText="1"/>
    </xf>
    <xf numFmtId="0" fontId="27" fillId="0" borderId="70" xfId="4" applyFont="1" applyBorder="1" applyAlignment="1">
      <alignment horizontal="left" vertical="center" wrapText="1"/>
    </xf>
    <xf numFmtId="0" fontId="27" fillId="0" borderId="70" xfId="4" applyFont="1" applyBorder="1" applyAlignment="1">
      <alignment vertical="center" wrapText="1"/>
    </xf>
    <xf numFmtId="4" fontId="27" fillId="0" borderId="70" xfId="4" applyNumberFormat="1" applyFont="1" applyBorder="1" applyAlignment="1">
      <alignment horizontal="center" vertical="center" wrapText="1"/>
    </xf>
    <xf numFmtId="2" fontId="27" fillId="0" borderId="70" xfId="4" applyNumberFormat="1" applyFont="1" applyBorder="1" applyAlignment="1">
      <alignment horizontal="center" vertical="center" wrapText="1"/>
    </xf>
    <xf numFmtId="1" fontId="27" fillId="0" borderId="70" xfId="4" applyNumberFormat="1" applyFont="1" applyBorder="1" applyAlignment="1">
      <alignment horizontal="center" vertical="center" wrapText="1"/>
    </xf>
    <xf numFmtId="4" fontId="27" fillId="0" borderId="70" xfId="9" applyNumberFormat="1" applyFont="1" applyBorder="1" applyAlignment="1">
      <alignment horizontal="center" vertical="center" wrapText="1"/>
    </xf>
    <xf numFmtId="4" fontId="49" fillId="0" borderId="71" xfId="4" applyNumberFormat="1" applyFont="1" applyBorder="1" applyAlignment="1">
      <alignment horizontal="center" vertical="center" wrapText="1"/>
    </xf>
    <xf numFmtId="167" fontId="27" fillId="0" borderId="64" xfId="4" applyNumberFormat="1" applyFont="1" applyBorder="1" applyAlignment="1">
      <alignment horizontal="center" vertical="center" wrapText="1"/>
    </xf>
    <xf numFmtId="167" fontId="27" fillId="0" borderId="65" xfId="4" applyNumberFormat="1" applyFont="1" applyBorder="1" applyAlignment="1">
      <alignment horizontal="center" vertical="center" wrapText="1"/>
    </xf>
    <xf numFmtId="4" fontId="49" fillId="0" borderId="65" xfId="4" applyNumberFormat="1" applyFont="1" applyBorder="1" applyAlignment="1">
      <alignment horizontal="center" vertical="center" wrapText="1"/>
    </xf>
    <xf numFmtId="4" fontId="49" fillId="0" borderId="66" xfId="4" applyNumberFormat="1" applyFont="1" applyBorder="1" applyAlignment="1">
      <alignment horizontal="right" vertical="center" wrapText="1"/>
    </xf>
    <xf numFmtId="167" fontId="27" fillId="0" borderId="67" xfId="4" applyNumberFormat="1" applyFont="1" applyBorder="1" applyAlignment="1">
      <alignment horizontal="center" vertical="center" wrapText="1"/>
    </xf>
    <xf numFmtId="4" fontId="49" fillId="0" borderId="68" xfId="4" applyNumberFormat="1" applyFont="1" applyBorder="1" applyAlignment="1">
      <alignment horizontal="right" vertical="center" wrapText="1"/>
    </xf>
    <xf numFmtId="167" fontId="27" fillId="0" borderId="69" xfId="4" applyNumberFormat="1" applyFont="1" applyBorder="1" applyAlignment="1">
      <alignment horizontal="center" vertical="center" wrapText="1"/>
    </xf>
    <xf numFmtId="167" fontId="27" fillId="0" borderId="70" xfId="4" applyNumberFormat="1" applyFont="1" applyBorder="1" applyAlignment="1">
      <alignment horizontal="center" vertical="center" wrapText="1"/>
    </xf>
    <xf numFmtId="4" fontId="49" fillId="0" borderId="70" xfId="4" applyNumberFormat="1" applyFont="1" applyBorder="1" applyAlignment="1">
      <alignment horizontal="center" vertical="center" wrapText="1"/>
    </xf>
    <xf numFmtId="4" fontId="49" fillId="0" borderId="71" xfId="4" applyNumberFormat="1" applyFont="1" applyBorder="1" applyAlignment="1">
      <alignment horizontal="right" vertical="center" wrapText="1"/>
    </xf>
    <xf numFmtId="4" fontId="27" fillId="0" borderId="69" xfId="4" applyNumberFormat="1" applyFont="1" applyBorder="1" applyAlignment="1">
      <alignment horizontal="center" vertical="center" wrapText="1"/>
    </xf>
    <xf numFmtId="169" fontId="27" fillId="0" borderId="70" xfId="4" applyNumberFormat="1" applyFont="1" applyBorder="1" applyAlignment="1">
      <alignment vertical="center" wrapText="1"/>
    </xf>
    <xf numFmtId="1" fontId="21" fillId="2" borderId="0" xfId="0" applyNumberFormat="1" applyFont="1" applyFill="1" applyBorder="1" applyAlignment="1">
      <alignment horizontal="center" vertical="center" wrapText="1"/>
    </xf>
    <xf numFmtId="2" fontId="21" fillId="2" borderId="73" xfId="0" applyNumberFormat="1" applyFont="1" applyFill="1" applyBorder="1" applyAlignment="1">
      <alignment horizontal="center" vertical="center" wrapText="1"/>
    </xf>
    <xf numFmtId="2" fontId="51" fillId="2" borderId="0" xfId="0" applyNumberFormat="1" applyFont="1" applyFill="1" applyBorder="1" applyAlignment="1">
      <alignment horizontal="center" vertical="center" wrapText="1"/>
    </xf>
    <xf numFmtId="2" fontId="51" fillId="2" borderId="73" xfId="0" applyNumberFormat="1" applyFont="1" applyFill="1" applyBorder="1" applyAlignment="1">
      <alignment horizontal="center" vertical="center" wrapText="1"/>
    </xf>
    <xf numFmtId="0" fontId="23" fillId="8" borderId="0" xfId="4" applyFont="1" applyFill="1" applyBorder="1" applyAlignment="1">
      <alignment horizontal="center" vertical="center" wrapText="1"/>
    </xf>
    <xf numFmtId="0" fontId="23" fillId="8" borderId="80" xfId="4" applyFont="1" applyFill="1" applyBorder="1" applyAlignment="1">
      <alignment horizontal="center" vertical="center" wrapText="1"/>
    </xf>
    <xf numFmtId="0" fontId="23" fillId="9" borderId="81" xfId="4" applyFont="1" applyFill="1" applyBorder="1" applyAlignment="1">
      <alignment horizontal="center" vertical="center" wrapText="1"/>
    </xf>
    <xf numFmtId="0" fontId="23" fillId="8" borderId="81" xfId="4" applyFont="1" applyFill="1" applyBorder="1" applyAlignment="1">
      <alignment vertical="center" wrapText="1"/>
    </xf>
    <xf numFmtId="0" fontId="23" fillId="8" borderId="81" xfId="4" applyFont="1" applyFill="1" applyBorder="1" applyAlignment="1">
      <alignment horizontal="center" vertical="center" wrapText="1"/>
    </xf>
    <xf numFmtId="0" fontId="29" fillId="7" borderId="81" xfId="4" applyFont="1" applyFill="1" applyBorder="1" applyAlignment="1">
      <alignment horizontal="center" vertical="center" wrapText="1"/>
    </xf>
    <xf numFmtId="0" fontId="23" fillId="8" borderId="89" xfId="4" applyFont="1" applyFill="1" applyBorder="1" applyAlignment="1">
      <alignment horizontal="center" vertical="center" wrapText="1"/>
    </xf>
    <xf numFmtId="0" fontId="4" fillId="0" borderId="72" xfId="0" applyFont="1" applyBorder="1" applyAlignment="1">
      <alignment vertical="center"/>
    </xf>
    <xf numFmtId="0" fontId="4" fillId="0" borderId="0" xfId="0" applyFont="1" applyBorder="1"/>
    <xf numFmtId="0" fontId="4" fillId="0" borderId="73" xfId="0" applyFont="1" applyBorder="1"/>
    <xf numFmtId="0" fontId="10" fillId="17" borderId="80" xfId="0" applyFont="1" applyFill="1" applyBorder="1" applyAlignment="1">
      <alignment vertical="center"/>
    </xf>
    <xf numFmtId="0" fontId="10" fillId="17" borderId="81" xfId="0" applyFont="1" applyFill="1" applyBorder="1"/>
    <xf numFmtId="4" fontId="10" fillId="17" borderId="83" xfId="0" applyNumberFormat="1" applyFont="1" applyFill="1" applyBorder="1"/>
    <xf numFmtId="0" fontId="23" fillId="8" borderId="90" xfId="4" applyFont="1" applyFill="1" applyBorder="1" applyAlignment="1">
      <alignment horizontal="center" vertical="center" wrapText="1"/>
    </xf>
    <xf numFmtId="0" fontId="23" fillId="9" borderId="91" xfId="4" applyFont="1" applyFill="1" applyBorder="1" applyAlignment="1">
      <alignment horizontal="center" vertical="center" wrapText="1"/>
    </xf>
    <xf numFmtId="0" fontId="23" fillId="8" borderId="91" xfId="4" applyFont="1" applyFill="1" applyBorder="1" applyAlignment="1">
      <alignment horizontal="center" vertical="center" wrapText="1"/>
    </xf>
    <xf numFmtId="0" fontId="28" fillId="8" borderId="81" xfId="4" applyFont="1" applyFill="1" applyBorder="1" applyAlignment="1">
      <alignment horizontal="center" vertical="center" wrapText="1"/>
    </xf>
    <xf numFmtId="2" fontId="21" fillId="2" borderId="81" xfId="0" applyNumberFormat="1" applyFont="1" applyFill="1" applyBorder="1" applyAlignment="1">
      <alignment horizontal="center" vertical="center" wrapText="1"/>
    </xf>
    <xf numFmtId="0" fontId="31" fillId="7" borderId="81" xfId="4" applyFont="1" applyFill="1" applyBorder="1" applyAlignment="1">
      <alignment horizontal="center" vertical="center" wrapText="1"/>
    </xf>
    <xf numFmtId="0" fontId="2" fillId="10" borderId="81" xfId="4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48" fillId="17" borderId="93" xfId="0" applyFont="1" applyFill="1" applyBorder="1" applyAlignment="1">
      <alignment horizontal="center" vertical="center" textRotation="90" wrapText="1"/>
    </xf>
    <xf numFmtId="0" fontId="48" fillId="17" borderId="3" xfId="0" applyFont="1" applyFill="1" applyBorder="1" applyAlignment="1">
      <alignment horizontal="center" vertical="center" textRotation="90" wrapText="1"/>
    </xf>
    <xf numFmtId="0" fontId="10" fillId="17" borderId="21" xfId="0" applyFont="1" applyFill="1" applyBorder="1" applyAlignment="1">
      <alignment horizontal="center"/>
    </xf>
    <xf numFmtId="0" fontId="10" fillId="17" borderId="22" xfId="0" applyFont="1" applyFill="1" applyBorder="1" applyAlignment="1">
      <alignment horizontal="center"/>
    </xf>
    <xf numFmtId="0" fontId="10" fillId="17" borderId="30" xfId="0" applyFont="1" applyFill="1" applyBorder="1" applyAlignment="1">
      <alignment horizontal="center"/>
    </xf>
    <xf numFmtId="0" fontId="10" fillId="17" borderId="0" xfId="0" applyFont="1" applyFill="1" applyAlignment="1">
      <alignment horizontal="center"/>
    </xf>
    <xf numFmtId="0" fontId="10" fillId="17" borderId="10" xfId="0" applyFont="1" applyFill="1" applyBorder="1" applyAlignment="1">
      <alignment horizont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9" fontId="4" fillId="0" borderId="49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171" fontId="4" fillId="0" borderId="54" xfId="0" applyNumberFormat="1" applyFont="1" applyBorder="1" applyAlignment="1">
      <alignment horizontal="right"/>
    </xf>
    <xf numFmtId="171" fontId="4" fillId="0" borderId="5" xfId="0" applyNumberFormat="1" applyFont="1" applyBorder="1" applyAlignment="1">
      <alignment horizontal="right"/>
    </xf>
    <xf numFmtId="171" fontId="4" fillId="0" borderId="16" xfId="0" applyNumberFormat="1" applyFont="1" applyBorder="1" applyAlignment="1">
      <alignment horizontal="right"/>
    </xf>
    <xf numFmtId="171" fontId="16" fillId="0" borderId="54" xfId="0" applyNumberFormat="1" applyFont="1" applyBorder="1" applyAlignment="1">
      <alignment horizontal="right"/>
    </xf>
    <xf numFmtId="171" fontId="16" fillId="0" borderId="5" xfId="0" applyNumberFormat="1" applyFont="1" applyBorder="1" applyAlignment="1">
      <alignment horizontal="right"/>
    </xf>
    <xf numFmtId="171" fontId="16" fillId="0" borderId="16" xfId="0" applyNumberFormat="1" applyFont="1" applyBorder="1" applyAlignment="1">
      <alignment horizontal="right"/>
    </xf>
    <xf numFmtId="171" fontId="16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1" fontId="4" fillId="0" borderId="14" xfId="0" applyNumberFormat="1" applyFont="1" applyBorder="1" applyAlignment="1">
      <alignment horizontal="right"/>
    </xf>
    <xf numFmtId="171" fontId="4" fillId="0" borderId="1" xfId="0" applyNumberFormat="1" applyFont="1" applyBorder="1" applyAlignment="1">
      <alignment horizontal="right"/>
    </xf>
    <xf numFmtId="171" fontId="4" fillId="0" borderId="2" xfId="0" applyNumberFormat="1" applyFont="1" applyBorder="1" applyAlignment="1">
      <alignment horizontal="right"/>
    </xf>
    <xf numFmtId="171" fontId="16" fillId="0" borderId="14" xfId="0" applyNumberFormat="1" applyFont="1" applyBorder="1" applyAlignment="1">
      <alignment horizontal="right"/>
    </xf>
    <xf numFmtId="171" fontId="16" fillId="0" borderId="1" xfId="0" applyNumberFormat="1" applyFont="1" applyBorder="1" applyAlignment="1">
      <alignment horizontal="right"/>
    </xf>
    <xf numFmtId="171" fontId="16" fillId="0" borderId="2" xfId="0" applyNumberFormat="1" applyFont="1" applyBorder="1" applyAlignment="1">
      <alignment horizontal="right"/>
    </xf>
    <xf numFmtId="171" fontId="16" fillId="0" borderId="59" xfId="0" applyNumberFormat="1" applyFont="1" applyBorder="1" applyAlignment="1">
      <alignment horizontal="right"/>
    </xf>
    <xf numFmtId="0" fontId="17" fillId="0" borderId="7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5" borderId="50" xfId="0" applyFont="1" applyFill="1" applyBorder="1" applyAlignment="1">
      <alignment horizontal="left"/>
    </xf>
    <xf numFmtId="0" fontId="17" fillId="5" borderId="51" xfId="0" applyFont="1" applyFill="1" applyBorder="1" applyAlignment="1">
      <alignment horizontal="left"/>
    </xf>
    <xf numFmtId="9" fontId="4" fillId="5" borderId="51" xfId="0" applyNumberFormat="1" applyFont="1" applyFill="1" applyBorder="1" applyAlignment="1">
      <alignment horizontal="center"/>
    </xf>
    <xf numFmtId="0" fontId="4" fillId="5" borderId="51" xfId="0" applyFont="1" applyFill="1" applyBorder="1" applyAlignment="1">
      <alignment horizontal="center"/>
    </xf>
    <xf numFmtId="171" fontId="17" fillId="5" borderId="55" xfId="0" applyNumberFormat="1" applyFont="1" applyFill="1" applyBorder="1" applyAlignment="1">
      <alignment horizontal="right"/>
    </xf>
    <xf numFmtId="171" fontId="17" fillId="5" borderId="56" xfId="0" applyNumberFormat="1" applyFont="1" applyFill="1" applyBorder="1" applyAlignment="1">
      <alignment horizontal="right"/>
    </xf>
    <xf numFmtId="171" fontId="17" fillId="5" borderId="58" xfId="0" applyNumberFormat="1" applyFont="1" applyFill="1" applyBorder="1" applyAlignment="1">
      <alignment horizontal="right"/>
    </xf>
    <xf numFmtId="171" fontId="3" fillId="5" borderId="55" xfId="0" applyNumberFormat="1" applyFont="1" applyFill="1" applyBorder="1" applyAlignment="1">
      <alignment horizontal="right"/>
    </xf>
    <xf numFmtId="171" fontId="3" fillId="5" borderId="56" xfId="0" applyNumberFormat="1" applyFont="1" applyFill="1" applyBorder="1" applyAlignment="1">
      <alignment horizontal="right"/>
    </xf>
    <xf numFmtId="171" fontId="3" fillId="5" borderId="58" xfId="0" applyNumberFormat="1" applyFont="1" applyFill="1" applyBorder="1" applyAlignment="1">
      <alignment horizontal="right"/>
    </xf>
    <xf numFmtId="171" fontId="3" fillId="5" borderId="60" xfId="0" applyNumberFormat="1" applyFont="1" applyFill="1" applyBorder="1" applyAlignment="1">
      <alignment horizontal="right"/>
    </xf>
    <xf numFmtId="0" fontId="17" fillId="0" borderId="52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9" fontId="4" fillId="0" borderId="53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71" fontId="4" fillId="0" borderId="46" xfId="0" applyNumberFormat="1" applyFont="1" applyBorder="1" applyAlignment="1">
      <alignment horizontal="right"/>
    </xf>
    <xf numFmtId="171" fontId="4" fillId="0" borderId="15" xfId="0" applyNumberFormat="1" applyFont="1" applyBorder="1" applyAlignment="1">
      <alignment horizontal="right"/>
    </xf>
    <xf numFmtId="171" fontId="4" fillId="0" borderId="17" xfId="0" applyNumberFormat="1" applyFont="1" applyBorder="1" applyAlignment="1">
      <alignment horizontal="right"/>
    </xf>
    <xf numFmtId="171" fontId="16" fillId="0" borderId="46" xfId="0" applyNumberFormat="1" applyFont="1" applyBorder="1" applyAlignment="1">
      <alignment horizontal="right"/>
    </xf>
    <xf numFmtId="171" fontId="16" fillId="0" borderId="15" xfId="0" applyNumberFormat="1" applyFont="1" applyBorder="1" applyAlignment="1">
      <alignment horizontal="right"/>
    </xf>
    <xf numFmtId="171" fontId="16" fillId="0" borderId="17" xfId="0" applyNumberFormat="1" applyFont="1" applyBorder="1" applyAlignment="1">
      <alignment horizontal="right"/>
    </xf>
    <xf numFmtId="171" fontId="16" fillId="0" borderId="61" xfId="0" applyNumberFormat="1" applyFont="1" applyBorder="1" applyAlignment="1">
      <alignment horizontal="right"/>
    </xf>
    <xf numFmtId="171" fontId="17" fillId="0" borderId="14" xfId="0" applyNumberFormat="1" applyFont="1" applyBorder="1" applyAlignment="1">
      <alignment horizontal="right"/>
    </xf>
    <xf numFmtId="171" fontId="17" fillId="0" borderId="1" xfId="0" applyNumberFormat="1" applyFont="1" applyBorder="1" applyAlignment="1">
      <alignment horizontal="right"/>
    </xf>
    <xf numFmtId="171" fontId="17" fillId="0" borderId="2" xfId="0" applyNumberFormat="1" applyFont="1" applyBorder="1" applyAlignment="1">
      <alignment horizontal="right"/>
    </xf>
    <xf numFmtId="171" fontId="3" fillId="0" borderId="14" xfId="0" applyNumberFormat="1" applyFont="1" applyBorder="1" applyAlignment="1">
      <alignment horizontal="right"/>
    </xf>
    <xf numFmtId="171" fontId="3" fillId="0" borderId="1" xfId="0" applyNumberFormat="1" applyFont="1" applyBorder="1" applyAlignment="1">
      <alignment horizontal="right"/>
    </xf>
    <xf numFmtId="171" fontId="3" fillId="0" borderId="2" xfId="0" applyNumberFormat="1" applyFont="1" applyBorder="1" applyAlignment="1">
      <alignment horizontal="right"/>
    </xf>
    <xf numFmtId="171" fontId="3" fillId="0" borderId="59" xfId="0" applyNumberFormat="1" applyFont="1" applyBorder="1" applyAlignment="1">
      <alignment horizontal="right"/>
    </xf>
    <xf numFmtId="0" fontId="17" fillId="2" borderId="9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164" fontId="17" fillId="2" borderId="44" xfId="0" applyNumberFormat="1" applyFont="1" applyFill="1" applyBorder="1" applyAlignment="1">
      <alignment horizontal="right"/>
    </xf>
    <xf numFmtId="164" fontId="17" fillId="2" borderId="0" xfId="0" applyNumberFormat="1" applyFont="1" applyFill="1" applyAlignment="1">
      <alignment horizontal="right"/>
    </xf>
    <xf numFmtId="164" fontId="17" fillId="2" borderId="10" xfId="0" applyNumberFormat="1" applyFont="1" applyFill="1" applyBorder="1" applyAlignment="1">
      <alignment horizontal="right"/>
    </xf>
    <xf numFmtId="0" fontId="17" fillId="2" borderId="11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164" fontId="17" fillId="2" borderId="57" xfId="0" applyNumberFormat="1" applyFont="1" applyFill="1" applyBorder="1" applyAlignment="1">
      <alignment horizontal="right"/>
    </xf>
    <xf numFmtId="164" fontId="17" fillId="2" borderId="12" xfId="0" applyNumberFormat="1" applyFont="1" applyFill="1" applyBorder="1" applyAlignment="1">
      <alignment horizontal="right"/>
    </xf>
    <xf numFmtId="164" fontId="17" fillId="2" borderId="13" xfId="0" applyNumberFormat="1" applyFont="1" applyFill="1" applyBorder="1" applyAlignment="1">
      <alignment horizontal="right"/>
    </xf>
    <xf numFmtId="165" fontId="4" fillId="0" borderId="5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9" fontId="4" fillId="0" borderId="51" xfId="0" applyNumberFormat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9" fontId="4" fillId="0" borderId="55" xfId="0" applyNumberFormat="1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9" fontId="4" fillId="0" borderId="60" xfId="0" applyNumberFormat="1" applyFont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9" fontId="4" fillId="0" borderId="8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/>
    </xf>
    <xf numFmtId="9" fontId="17" fillId="2" borderId="12" xfId="0" applyNumberFormat="1" applyFont="1" applyFill="1" applyBorder="1" applyAlignment="1">
      <alignment horizontal="center"/>
    </xf>
    <xf numFmtId="9" fontId="17" fillId="2" borderId="13" xfId="0" applyNumberFormat="1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59" xfId="0" applyNumberFormat="1" applyFont="1" applyBorder="1" applyAlignment="1">
      <alignment horizontal="center" vertical="center"/>
    </xf>
    <xf numFmtId="0" fontId="10" fillId="17" borderId="15" xfId="0" applyFont="1" applyFill="1" applyBorder="1" applyAlignment="1">
      <alignment horizontal="center"/>
    </xf>
    <xf numFmtId="164" fontId="4" fillId="0" borderId="14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5" fontId="4" fillId="2" borderId="14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17" borderId="0" xfId="0" applyFont="1" applyFill="1" applyAlignment="1">
      <alignment horizontal="left"/>
    </xf>
    <xf numFmtId="164" fontId="17" fillId="17" borderId="1" xfId="0" applyNumberFormat="1" applyFont="1" applyFill="1" applyBorder="1" applyAlignment="1">
      <alignment horizontal="right"/>
    </xf>
    <xf numFmtId="9" fontId="17" fillId="17" borderId="1" xfId="0" applyNumberFormat="1" applyFont="1" applyFill="1" applyBorder="1" applyAlignment="1">
      <alignment horizontal="right"/>
    </xf>
    <xf numFmtId="9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5" xfId="0" applyFont="1" applyBorder="1" applyAlignment="1">
      <alignment horizontal="center"/>
    </xf>
    <xf numFmtId="0" fontId="17" fillId="2" borderId="3" xfId="0" applyFont="1" applyFill="1" applyBorder="1" applyAlignment="1">
      <alignment horizontal="left"/>
    </xf>
    <xf numFmtId="164" fontId="17" fillId="2" borderId="14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9" fontId="5" fillId="5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0" fillId="17" borderId="14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5" borderId="14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5" borderId="14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5" fillId="0" borderId="14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5" borderId="14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164" fontId="42" fillId="5" borderId="14" xfId="0" applyNumberFormat="1" applyFont="1" applyFill="1" applyBorder="1" applyAlignment="1">
      <alignment horizontal="center"/>
    </xf>
    <xf numFmtId="164" fontId="42" fillId="5" borderId="1" xfId="0" applyNumberFormat="1" applyFont="1" applyFill="1" applyBorder="1" applyAlignment="1">
      <alignment horizontal="center"/>
    </xf>
    <xf numFmtId="164" fontId="42" fillId="5" borderId="2" xfId="0" applyNumberFormat="1" applyFont="1" applyFill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17" fillId="2" borderId="1" xfId="0" applyNumberFormat="1" applyFont="1" applyFill="1" applyBorder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9" fontId="4" fillId="0" borderId="14" xfId="0" applyNumberFormat="1" applyFont="1" applyBorder="1" applyAlignment="1">
      <alignment horizontal="center"/>
    </xf>
    <xf numFmtId="164" fontId="17" fillId="17" borderId="2" xfId="0" applyNumberFormat="1" applyFont="1" applyFill="1" applyBorder="1" applyAlignment="1">
      <alignment horizontal="right"/>
    </xf>
    <xf numFmtId="0" fontId="10" fillId="17" borderId="15" xfId="0" applyFont="1" applyFill="1" applyBorder="1" applyAlignment="1">
      <alignment horizontal="center" vertical="center"/>
    </xf>
    <xf numFmtId="0" fontId="10" fillId="17" borderId="17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4" fillId="5" borderId="4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169" fontId="5" fillId="3" borderId="3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9" fontId="5" fillId="4" borderId="3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169" fontId="4" fillId="3" borderId="3" xfId="0" applyNumberFormat="1" applyFont="1" applyFill="1" applyBorder="1" applyAlignment="1">
      <alignment horizontal="center"/>
    </xf>
    <xf numFmtId="0" fontId="10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left" vertical="center"/>
    </xf>
    <xf numFmtId="0" fontId="10" fillId="14" borderId="0" xfId="0" applyFont="1" applyFill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45" xfId="0" applyFont="1" applyFill="1" applyBorder="1" applyAlignment="1">
      <alignment horizontal="left" vertical="center"/>
    </xf>
    <xf numFmtId="0" fontId="17" fillId="16" borderId="0" xfId="0" applyFont="1" applyFill="1" applyAlignment="1">
      <alignment horizontal="center" vertical="center"/>
    </xf>
    <xf numFmtId="0" fontId="4" fillId="4" borderId="18" xfId="0" applyFont="1" applyFill="1" applyBorder="1" applyAlignment="1">
      <alignment horizontal="center" vertical="center" textRotation="90"/>
    </xf>
    <xf numFmtId="0" fontId="4" fillId="4" borderId="44" xfId="0" applyFont="1" applyFill="1" applyBorder="1" applyAlignment="1">
      <alignment horizontal="center" vertical="center" textRotation="90"/>
    </xf>
    <xf numFmtId="0" fontId="4" fillId="4" borderId="46" xfId="0" applyFont="1" applyFill="1" applyBorder="1" applyAlignment="1">
      <alignment horizontal="center" vertical="center" textRotation="90"/>
    </xf>
    <xf numFmtId="0" fontId="4" fillId="3" borderId="18" xfId="0" applyFont="1" applyFill="1" applyBorder="1" applyAlignment="1">
      <alignment horizontal="center" vertical="center" textRotation="90" wrapText="1"/>
    </xf>
    <xf numFmtId="0" fontId="4" fillId="3" borderId="44" xfId="0" applyFont="1" applyFill="1" applyBorder="1" applyAlignment="1">
      <alignment horizontal="center" vertical="center" textRotation="90" wrapText="1"/>
    </xf>
    <xf numFmtId="0" fontId="4" fillId="4" borderId="18" xfId="0" applyFont="1" applyFill="1" applyBorder="1" applyAlignment="1">
      <alignment horizontal="center" vertical="center" textRotation="90" wrapText="1"/>
    </xf>
    <xf numFmtId="0" fontId="4" fillId="4" borderId="44" xfId="0" applyFont="1" applyFill="1" applyBorder="1" applyAlignment="1">
      <alignment horizontal="center" vertical="center" textRotation="90" wrapText="1"/>
    </xf>
    <xf numFmtId="0" fontId="4" fillId="4" borderId="46" xfId="0" applyFont="1" applyFill="1" applyBorder="1" applyAlignment="1">
      <alignment horizontal="center" vertical="center" textRotation="90" wrapText="1"/>
    </xf>
    <xf numFmtId="0" fontId="37" fillId="17" borderId="0" xfId="0" applyFont="1" applyFill="1" applyAlignment="1">
      <alignment horizontal="center" vertical="center"/>
    </xf>
    <xf numFmtId="2" fontId="21" fillId="2" borderId="19" xfId="0" applyNumberFormat="1" applyFont="1" applyFill="1" applyBorder="1" applyAlignment="1">
      <alignment horizontal="center" vertical="center" wrapText="1"/>
    </xf>
    <xf numFmtId="0" fontId="10" fillId="17" borderId="0" xfId="0" applyFont="1" applyFill="1" applyAlignment="1">
      <alignment horizontal="right"/>
    </xf>
    <xf numFmtId="0" fontId="35" fillId="12" borderId="42" xfId="0" applyFont="1" applyFill="1" applyBorder="1" applyAlignment="1">
      <alignment horizontal="center" vertical="center"/>
    </xf>
    <xf numFmtId="44" fontId="4" fillId="2" borderId="14" xfId="0" applyNumberFormat="1" applyFont="1" applyFill="1" applyBorder="1" applyAlignment="1">
      <alignment horizontal="center"/>
    </xf>
    <xf numFmtId="44" fontId="4" fillId="2" borderId="1" xfId="0" applyNumberFormat="1" applyFont="1" applyFill="1" applyBorder="1" applyAlignment="1">
      <alignment horizontal="center"/>
    </xf>
    <xf numFmtId="44" fontId="17" fillId="2" borderId="1" xfId="0" applyNumberFormat="1" applyFont="1" applyFill="1" applyBorder="1" applyAlignment="1">
      <alignment horizontal="center"/>
    </xf>
    <xf numFmtId="44" fontId="4" fillId="0" borderId="14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right"/>
    </xf>
    <xf numFmtId="0" fontId="28" fillId="7" borderId="34" xfId="4" applyFont="1" applyFill="1" applyBorder="1" applyAlignment="1">
      <alignment horizontal="center" vertical="center" wrapText="1"/>
    </xf>
    <xf numFmtId="0" fontId="28" fillId="7" borderId="37" xfId="4" applyFont="1" applyFill="1" applyBorder="1" applyAlignment="1">
      <alignment horizontal="center" vertical="center" wrapText="1"/>
    </xf>
    <xf numFmtId="0" fontId="28" fillId="7" borderId="35" xfId="4" applyFont="1" applyFill="1" applyBorder="1" applyAlignment="1">
      <alignment horizontal="center" vertical="center" wrapText="1"/>
    </xf>
    <xf numFmtId="0" fontId="28" fillId="7" borderId="0" xfId="4" applyFont="1" applyFill="1" applyAlignment="1">
      <alignment horizontal="center" vertical="center" wrapText="1"/>
    </xf>
    <xf numFmtId="0" fontId="28" fillId="7" borderId="36" xfId="4" applyFont="1" applyFill="1" applyBorder="1" applyAlignment="1">
      <alignment horizontal="center" vertical="center" wrapText="1"/>
    </xf>
    <xf numFmtId="0" fontId="28" fillId="7" borderId="41" xfId="4" applyFont="1" applyFill="1" applyBorder="1" applyAlignment="1">
      <alignment horizontal="center" vertical="center" wrapText="1"/>
    </xf>
    <xf numFmtId="0" fontId="28" fillId="7" borderId="39" xfId="4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38" xfId="0" applyFont="1" applyFill="1" applyBorder="1" applyAlignment="1">
      <alignment horizontal="center" vertical="center" wrapText="1"/>
    </xf>
    <xf numFmtId="0" fontId="28" fillId="7" borderId="40" xfId="4" applyFont="1" applyFill="1" applyBorder="1" applyAlignment="1">
      <alignment horizontal="center" vertical="center" wrapText="1"/>
    </xf>
    <xf numFmtId="0" fontId="28" fillId="7" borderId="38" xfId="4" applyFont="1" applyFill="1" applyBorder="1" applyAlignment="1">
      <alignment horizontal="center" vertical="center" wrapText="1"/>
    </xf>
    <xf numFmtId="0" fontId="2" fillId="14" borderId="84" xfId="0" applyFont="1" applyFill="1" applyBorder="1" applyAlignment="1">
      <alignment horizontal="center" vertical="center"/>
    </xf>
    <xf numFmtId="0" fontId="2" fillId="14" borderId="85" xfId="0" applyFont="1" applyFill="1" applyBorder="1" applyAlignment="1">
      <alignment horizontal="center" vertical="center"/>
    </xf>
    <xf numFmtId="0" fontId="2" fillId="14" borderId="86" xfId="0" applyFont="1" applyFill="1" applyBorder="1" applyAlignment="1">
      <alignment horizontal="center" vertical="center"/>
    </xf>
    <xf numFmtId="0" fontId="28" fillId="7" borderId="27" xfId="4" applyFont="1" applyFill="1" applyBorder="1" applyAlignment="1">
      <alignment horizontal="center" vertical="center" wrapText="1"/>
    </xf>
    <xf numFmtId="2" fontId="23" fillId="2" borderId="72" xfId="0" applyNumberFormat="1" applyFont="1" applyFill="1" applyBorder="1" applyAlignment="1">
      <alignment horizontal="center" vertical="center" wrapText="1"/>
    </xf>
    <xf numFmtId="2" fontId="23" fillId="2" borderId="0" xfId="0" applyNumberFormat="1" applyFont="1" applyFill="1" applyBorder="1" applyAlignment="1">
      <alignment horizontal="center" vertical="center" wrapText="1"/>
    </xf>
    <xf numFmtId="0" fontId="2" fillId="10" borderId="27" xfId="4" applyFont="1" applyFill="1" applyBorder="1" applyAlignment="1">
      <alignment horizontal="center" vertical="center" wrapText="1"/>
    </xf>
    <xf numFmtId="0" fontId="2" fillId="18" borderId="87" xfId="4" applyFont="1" applyFill="1" applyBorder="1" applyAlignment="1">
      <alignment horizontal="center" vertical="center" wrapText="1"/>
    </xf>
    <xf numFmtId="0" fontId="2" fillId="18" borderId="92" xfId="4" applyFont="1" applyFill="1" applyBorder="1" applyAlignment="1">
      <alignment horizontal="center" vertical="center" wrapText="1"/>
    </xf>
    <xf numFmtId="0" fontId="28" fillId="7" borderId="26" xfId="4" applyFont="1" applyFill="1" applyBorder="1" applyAlignment="1">
      <alignment horizontal="center" vertical="center" wrapText="1"/>
    </xf>
    <xf numFmtId="0" fontId="28" fillId="7" borderId="23" xfId="4" applyFont="1" applyFill="1" applyBorder="1" applyAlignment="1">
      <alignment horizontal="center" vertical="center" wrapText="1"/>
    </xf>
    <xf numFmtId="0" fontId="2" fillId="18" borderId="62" xfId="4" applyFont="1" applyFill="1" applyBorder="1" applyAlignment="1">
      <alignment horizontal="center" vertical="center" wrapText="1"/>
    </xf>
    <xf numFmtId="2" fontId="10" fillId="2" borderId="72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0" fontId="28" fillId="8" borderId="27" xfId="4" applyFont="1" applyFill="1" applyBorder="1" applyAlignment="1">
      <alignment horizontal="center" vertical="center" wrapText="1"/>
    </xf>
    <xf numFmtId="0" fontId="23" fillId="7" borderId="26" xfId="4" applyFont="1" applyFill="1" applyBorder="1" applyAlignment="1">
      <alignment horizontal="center" vertical="center" wrapText="1"/>
    </xf>
    <xf numFmtId="0" fontId="23" fillId="7" borderId="23" xfId="4" applyFont="1" applyFill="1" applyBorder="1" applyAlignment="1">
      <alignment horizontal="center" vertical="center" wrapText="1"/>
    </xf>
    <xf numFmtId="0" fontId="23" fillId="7" borderId="28" xfId="4" applyFont="1" applyFill="1" applyBorder="1" applyAlignment="1">
      <alignment horizontal="center" vertical="center" wrapText="1"/>
    </xf>
    <xf numFmtId="0" fontId="23" fillId="7" borderId="33" xfId="4" applyFont="1" applyFill="1" applyBorder="1" applyAlignment="1">
      <alignment horizontal="center" vertical="center" wrapText="1"/>
    </xf>
    <xf numFmtId="0" fontId="23" fillId="7" borderId="31" xfId="4" applyFont="1" applyFill="1" applyBorder="1" applyAlignment="1">
      <alignment horizontal="center" vertical="center" wrapText="1"/>
    </xf>
    <xf numFmtId="0" fontId="23" fillId="7" borderId="32" xfId="4" applyFont="1" applyFill="1" applyBorder="1" applyAlignment="1">
      <alignment horizontal="center" vertical="center" wrapText="1"/>
    </xf>
    <xf numFmtId="0" fontId="23" fillId="7" borderId="77" xfId="4" applyFont="1" applyFill="1" applyBorder="1" applyAlignment="1">
      <alignment horizontal="center" vertical="center" wrapText="1"/>
    </xf>
    <xf numFmtId="0" fontId="23" fillId="7" borderId="88" xfId="4" applyFont="1" applyFill="1" applyBorder="1" applyAlignment="1">
      <alignment horizontal="center" vertical="center" wrapText="1"/>
    </xf>
    <xf numFmtId="0" fontId="2" fillId="10" borderId="82" xfId="4" applyFont="1" applyFill="1" applyBorder="1" applyAlignment="1">
      <alignment horizontal="center" vertical="center" wrapText="1"/>
    </xf>
    <xf numFmtId="0" fontId="10" fillId="18" borderId="27" xfId="4" applyFont="1" applyFill="1" applyBorder="1" applyAlignment="1">
      <alignment horizontal="center" vertical="center" wrapText="1"/>
    </xf>
    <xf numFmtId="0" fontId="10" fillId="18" borderId="82" xfId="4" applyFont="1" applyFill="1" applyBorder="1" applyAlignment="1">
      <alignment horizontal="center" vertical="center" wrapText="1"/>
    </xf>
    <xf numFmtId="0" fontId="23" fillId="9" borderId="27" xfId="4" applyFont="1" applyFill="1" applyBorder="1" applyAlignment="1">
      <alignment horizontal="center" vertical="center" wrapText="1"/>
    </xf>
    <xf numFmtId="0" fontId="10" fillId="10" borderId="27" xfId="4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 vertical="center"/>
    </xf>
    <xf numFmtId="0" fontId="2" fillId="17" borderId="75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8" fillId="7" borderId="29" xfId="4" applyFont="1" applyFill="1" applyBorder="1" applyAlignment="1">
      <alignment horizontal="center" vertical="center" wrapText="1"/>
    </xf>
    <xf numFmtId="0" fontId="28" fillId="7" borderId="0" xfId="4" applyFont="1" applyFill="1" applyBorder="1" applyAlignment="1">
      <alignment horizontal="center" vertical="center" wrapText="1"/>
    </xf>
    <xf numFmtId="0" fontId="23" fillId="9" borderId="24" xfId="4" applyFont="1" applyFill="1" applyBorder="1" applyAlignment="1">
      <alignment horizontal="center" vertical="center" wrapText="1"/>
    </xf>
    <xf numFmtId="0" fontId="23" fillId="9" borderId="25" xfId="4" applyFont="1" applyFill="1" applyBorder="1" applyAlignment="1">
      <alignment horizontal="center" vertical="center" wrapText="1"/>
    </xf>
    <xf numFmtId="0" fontId="23" fillId="8" borderId="24" xfId="4" applyFont="1" applyFill="1" applyBorder="1" applyAlignment="1">
      <alignment horizontal="center" vertical="center" wrapText="1"/>
    </xf>
    <xf numFmtId="0" fontId="23" fillId="8" borderId="25" xfId="4" applyFont="1" applyFill="1" applyBorder="1" applyAlignment="1">
      <alignment horizontal="center" vertical="center" wrapText="1"/>
    </xf>
    <xf numFmtId="0" fontId="2" fillId="10" borderId="73" xfId="4" applyFont="1" applyFill="1" applyBorder="1" applyAlignment="1">
      <alignment horizontal="center" vertical="center" wrapText="1"/>
    </xf>
    <xf numFmtId="0" fontId="2" fillId="10" borderId="83" xfId="4" applyFont="1" applyFill="1" applyBorder="1" applyAlignment="1">
      <alignment horizontal="center" vertical="center" wrapText="1"/>
    </xf>
    <xf numFmtId="0" fontId="23" fillId="8" borderId="78" xfId="4" applyFont="1" applyFill="1" applyBorder="1" applyAlignment="1">
      <alignment horizontal="center" vertical="center" wrapText="1"/>
    </xf>
    <xf numFmtId="0" fontId="23" fillId="8" borderId="79" xfId="4" applyFont="1" applyFill="1" applyBorder="1" applyAlignment="1">
      <alignment horizontal="center" vertical="center" wrapText="1"/>
    </xf>
    <xf numFmtId="0" fontId="23" fillId="8" borderId="24" xfId="4" applyFont="1" applyFill="1" applyBorder="1" applyAlignment="1">
      <alignment vertical="center" wrapText="1"/>
    </xf>
    <xf numFmtId="0" fontId="23" fillId="8" borderId="25" xfId="4" applyFont="1" applyFill="1" applyBorder="1" applyAlignment="1">
      <alignment vertical="center" wrapText="1"/>
    </xf>
    <xf numFmtId="2" fontId="23" fillId="2" borderId="9" xfId="0" applyNumberFormat="1" applyFont="1" applyFill="1" applyBorder="1" applyAlignment="1">
      <alignment horizontal="left" vertical="center" wrapText="1"/>
    </xf>
    <xf numFmtId="2" fontId="23" fillId="2" borderId="0" xfId="0" applyNumberFormat="1" applyFont="1" applyFill="1" applyAlignment="1">
      <alignment horizontal="left" vertical="center" wrapText="1"/>
    </xf>
    <xf numFmtId="0" fontId="1" fillId="17" borderId="4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wrapText="1"/>
    </xf>
    <xf numFmtId="0" fontId="1" fillId="17" borderId="16" xfId="0" applyFont="1" applyFill="1" applyBorder="1" applyAlignment="1">
      <alignment horizontal="center" vertical="center"/>
    </xf>
    <xf numFmtId="0" fontId="10" fillId="17" borderId="15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51" fillId="17" borderId="3" xfId="0" applyFont="1" applyFill="1" applyBorder="1" applyAlignment="1">
      <alignment horizontal="center" vertical="center" textRotation="90" wrapText="1"/>
    </xf>
  </cellXfs>
  <cellStyles count="10">
    <cellStyle name="Euro" xfId="7"/>
    <cellStyle name="Euro 2" xfId="8"/>
    <cellStyle name="Millares" xfId="2" builtinId="3"/>
    <cellStyle name="Moneda" xfId="1" builtinId="4"/>
    <cellStyle name="Normal" xfId="0" builtinId="0"/>
    <cellStyle name="Normal 2" xfId="6"/>
    <cellStyle name="Normal_2.1-VEHÍCULOS" xfId="5"/>
    <cellStyle name="Normal_Hoja1 (2)" xfId="9"/>
    <cellStyle name="Normal_Hoja1_1" xfId="4"/>
    <cellStyle name="Porcentaje" xfId="3" builtinId="5"/>
  </cellStyles>
  <dxfs count="44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06918546098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0691854609822"/>
      </font>
    </dxf>
    <dxf>
      <font>
        <color theme="0" tint="-0.149906918546098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1499679555650502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06918546098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DDDDDD"/>
      <rgbColor rgb="00FFFFCC"/>
      <rgbColor rgb="00FFFFDD"/>
      <rgbColor rgb="00E1E1D9"/>
      <rgbColor rgb="00FFE5AB"/>
      <rgbColor rgb="00FFF2D1"/>
      <rgbColor rgb="00FFEAD5"/>
      <rgbColor rgb="00000080"/>
      <rgbColor rgb="00FFCC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1</xdr:row>
      <xdr:rowOff>38100</xdr:rowOff>
    </xdr:from>
    <xdr:to>
      <xdr:col>6</xdr:col>
      <xdr:colOff>682626</xdr:colOff>
      <xdr:row>53</xdr:row>
      <xdr:rowOff>31750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000" y="200025"/>
          <a:ext cx="4956175" cy="8413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APLICATIVO PARA LA ELABORACIÓN DEL ESTUDIO ECONÓMICO EN LA CONTRATACIÓN DE SERVICIOS DE CONSERVACIÓN Y MANTENIMIENTO DE LA INFRAESTRUCTURA VERDE.</a:t>
          </a:r>
        </a:p>
        <a:p>
          <a:endParaRPr lang="es-ES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aplicativo se ha generado para facilitar la elaboración del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estudio económico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la  contratación de servicios de Conservación y Mantenimiento de la Infraestrucutra Verde, siguiendo las líneas generales trazadas en la Guía de Recomendaciones para la  Contratación de Servicios de Conservación y Mantenimiento de la Infraestructura Verde.</a:t>
          </a:r>
        </a:p>
        <a:p>
          <a:endParaRPr lang="es-ES">
            <a:effectLst/>
          </a:endParaRPr>
        </a:p>
        <a:p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han generado diferentes pestañas que facilitan su uso e interpretación. Además se  ha maquetado el Excel de tal forma que si se crea un pdf con las pestañas seleccionadas, éste se genera directamente en modo impresión. </a:t>
          </a:r>
        </a:p>
        <a:p>
          <a:endParaRPr lang="es-ES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pestañas se han coloreado por temáticas de cálculo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facilitar su manejo y comprensión. Cada pestaña se acompaña de un recuadro explicativo que no aparece en el pdf o la impresión final.</a:t>
          </a:r>
        </a:p>
        <a:p>
          <a:endParaRPr lang="es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organización será:</a:t>
          </a: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RESUMEN CÁLCULOS PRESUPUESTO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A. COSTES DE PERSONAL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B. COSTES DE VEHÍCULOS Y MAQUINARIA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C. COSTES VESTUARIO, EQUIPAMIENTOS, ÚTILES Y HERRAMIENTAS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D. COSTES LOCALES E INSTALACIONES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E. COSTES MATERIALES DE CONSERVACIÓN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F. TOTAL OTROS COSTES</a:t>
          </a:r>
          <a:r>
            <a:rPr lang="es-ES"/>
            <a:t> </a:t>
          </a:r>
          <a:endParaRPr lang="es-ES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19048</xdr:colOff>
      <xdr:row>2</xdr:row>
      <xdr:rowOff>9525</xdr:rowOff>
    </xdr:from>
    <xdr:to>
      <xdr:col>25</xdr:col>
      <xdr:colOff>19049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225790" y="247650"/>
          <a:ext cx="578294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 </a:t>
          </a:r>
          <a:r>
            <a:rPr lang="es-ES" sz="1100" b="1"/>
            <a:t>TABLA RESUMEN COSTES DE VEHÍCULOS Y MAQUINARIA</a:t>
          </a:r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14</xdr:col>
      <xdr:colOff>209551</xdr:colOff>
      <xdr:row>15</xdr:row>
      <xdr:rowOff>81643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295900" y="914400"/>
          <a:ext cx="5777865" cy="19862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0. </a:t>
          </a:r>
          <a:r>
            <a:rPr lang="es-ES" sz="1100" b="1"/>
            <a:t>TABLA Consumibles Vehiculos y Maquinaria</a:t>
          </a:r>
        </a:p>
        <a:p>
          <a:endParaRPr lang="es-ES" sz="1100" b="1"/>
        </a:p>
        <a:p>
          <a:r>
            <a:rPr lang="es-ES" sz="1100" b="0"/>
            <a:t>*Se</a:t>
          </a:r>
          <a:r>
            <a:rPr lang="es-ES" sz="1100" b="0" baseline="0"/>
            <a:t> muestra gran cantidad de maquinaria que puede ser necesaria, aunque no toda.</a:t>
          </a:r>
        </a:p>
        <a:p>
          <a:r>
            <a:rPr lang="es-ES" sz="1100" b="0" baseline="0"/>
            <a:t>* Si se pone 0 en las unidaes se pone gris claro en variables utilizadas en el cálculo, para que no conste. </a:t>
          </a:r>
          <a:endParaRPr lang="es-ES" sz="1100" b="0"/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</a:p>
        <a:p>
          <a:r>
            <a:rPr lang="es-ES" sz="1100" b="0" baseline="0"/>
            <a:t>* A medida que sea posible, se recomienda hacer los cálculos con costes de renting mensual en lugar de amortizaciones por compra de maquinaria. 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42</xdr:col>
      <xdr:colOff>438151</xdr:colOff>
      <xdr:row>9</xdr:row>
      <xdr:rowOff>462643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244165" y="1552575"/>
          <a:ext cx="5776595" cy="762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1. </a:t>
          </a:r>
          <a:r>
            <a:rPr lang="es-ES" sz="1100" b="1"/>
            <a:t>TABLA RESUMEN COSTES DE VEHÍCULOS </a:t>
          </a:r>
        </a:p>
        <a:p>
          <a:endParaRPr lang="es-ES" sz="1100" b="1"/>
        </a:p>
        <a:p>
          <a:r>
            <a:rPr lang="es-ES" sz="1100" b="0"/>
            <a:t>*Se</a:t>
          </a:r>
          <a:r>
            <a:rPr lang="es-ES" sz="1100" b="0" baseline="0"/>
            <a:t> muestra gran cantidad de vehículos que puede ser necesaria, aunque no toda.</a:t>
          </a:r>
        </a:p>
        <a:p>
          <a:r>
            <a:rPr lang="es-ES" sz="1100" b="0" baseline="0"/>
            <a:t>* Si se pone 0 en las unidaes se pone gris claro en variables utilizadas en el cálculo, para que no conste. </a:t>
          </a:r>
          <a:endParaRPr lang="es-ES" sz="1100" b="0"/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</a:p>
        <a:p>
          <a:r>
            <a:rPr lang="es-ES" sz="1100" b="0" baseline="0"/>
            <a:t>* A medida que sea posible, se recomienda hacer los cálculos con costes de renting mensual en lugar de amortizaciones por compra de vehículos. 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42</xdr:col>
      <xdr:colOff>438151</xdr:colOff>
      <xdr:row>10</xdr:row>
      <xdr:rowOff>272143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7709495" y="1857375"/>
          <a:ext cx="5776595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2. </a:t>
          </a:r>
          <a:r>
            <a:rPr lang="es-ES" sz="1100" b="1"/>
            <a:t>TABLA RESUMEN COSTES DE MAQUINARIA </a:t>
          </a:r>
        </a:p>
        <a:p>
          <a:endParaRPr lang="es-ES" sz="1100" b="1"/>
        </a:p>
        <a:p>
          <a:r>
            <a:rPr lang="es-ES" sz="1100" b="0"/>
            <a:t>*Se</a:t>
          </a:r>
          <a:r>
            <a:rPr lang="es-ES" sz="1100" b="0" baseline="0"/>
            <a:t> muestra gran cantidad de maquinaria que puede ser necesaria, aunque no toda.</a:t>
          </a:r>
        </a:p>
        <a:p>
          <a:r>
            <a:rPr lang="es-ES" sz="1100" b="0" baseline="0"/>
            <a:t>* Si se pone 0 en las unidaes se pone gris claro en variables utilizadas en el cálculo, para que no conste. </a:t>
          </a:r>
          <a:endParaRPr lang="es-ES" sz="1100" b="0"/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</a:p>
        <a:p>
          <a:r>
            <a:rPr lang="es-ES" sz="1100" b="0" baseline="0"/>
            <a:t>* A medida que sea posible, se recomienda hacer los cálculos con costes de renting mensual en lugar de amortizaciones por compra de maquinaria. 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8930005" y="247650"/>
          <a:ext cx="5782945" cy="1038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C.</a:t>
          </a:r>
          <a:r>
            <a:rPr lang="es-ES" sz="1100" b="1" baseline="0"/>
            <a:t> </a:t>
          </a:r>
          <a:r>
            <a:rPr lang="es-ES" sz="1100" b="1"/>
            <a:t>TABLA RESUMEN COSTES DE VESTUARIO, EQUIPAMIENTOS,</a:t>
          </a:r>
          <a:r>
            <a:rPr lang="es-ES" sz="1100" b="1" baseline="0"/>
            <a:t> UTILES Y HERRAMIENTAS</a:t>
          </a:r>
          <a:endParaRPr lang="es-ES" sz="1100" b="1"/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deben actualizar los gastos financieros si procede. </a:t>
          </a:r>
          <a:endParaRPr lang="es-ES" sz="1100" b="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15</xdr:col>
      <xdr:colOff>438151</xdr:colOff>
      <xdr:row>13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266555" y="1804035"/>
          <a:ext cx="5776595" cy="1181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C.</a:t>
          </a:r>
          <a:r>
            <a:rPr lang="es-ES" sz="1100" b="1" baseline="0"/>
            <a:t>1.1 TABLA CÁLCULO VESTUARIO</a:t>
          </a:r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calculan los costes de vestuario en función del personal operativo indicado en las tablas A1 y A2. </a:t>
          </a:r>
        </a:p>
        <a:p>
          <a:r>
            <a:rPr lang="es-ES" sz="1100" b="0"/>
            <a:t>* Se calcula</a:t>
          </a:r>
          <a:r>
            <a:rPr lang="es-ES" sz="1100" b="0" baseline="0"/>
            <a:t> coste de prenda de abrigo y calzado apropiado para el personal técnico. </a:t>
          </a:r>
        </a:p>
        <a:p>
          <a:r>
            <a:rPr lang="es-ES" sz="1100" b="0" baseline="0"/>
            <a:t>* Se deben estimar/actualizar los gastos financieros si procede</a:t>
          </a:r>
          <a:endParaRPr lang="es-ES" sz="1100" b="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18</xdr:col>
      <xdr:colOff>190500</xdr:colOff>
      <xdr:row>13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8161020" y="2009775"/>
          <a:ext cx="6291580" cy="15601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C.</a:t>
          </a:r>
          <a:r>
            <a:rPr lang="es-ES" sz="1100" b="1" baseline="0"/>
            <a:t>1.2 TABLA CÁLCULO COSTES DE EQUIPOS DE PROTECCIÓN INDIVIDUAL Y COLECTIVA</a:t>
          </a:r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*Se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estiman los cálculos en función de los EPIS necesarios por cada 10 personas del personal operativo calculados en las tablas A1 y A2 para un servicio de estas características.</a:t>
          </a:r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/>
            <a:t>* Para el personal administrativo y técnico adscrito al servicio,</a:t>
          </a:r>
          <a:r>
            <a:rPr lang="es-ES" sz="1100" b="0" baseline="0"/>
            <a:t> </a:t>
          </a:r>
          <a:r>
            <a:rPr lang="es-ES" sz="1100" b="0"/>
            <a:t>se</a:t>
          </a:r>
          <a:r>
            <a:rPr lang="es-ES" sz="1100" b="0" baseline="0"/>
            <a:t> incluyen los gastos de formación en Segu</a:t>
          </a:r>
        </a:p>
        <a:p>
          <a:r>
            <a:rPr lang="es-ES" sz="1100" b="0" baseline="0"/>
            <a:t>ridad y Salud y los reconocimientos médicos.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Se deben estimar/actualizar los gastos financieros si procede</a:t>
          </a:r>
          <a:endParaRPr lang="es-ES">
            <a:effectLst/>
          </a:endParaRPr>
        </a:p>
        <a:p>
          <a:endParaRPr lang="es-ES" sz="1100" b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18</xdr:col>
      <xdr:colOff>190500</xdr:colOff>
      <xdr:row>15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7578090" y="1914525"/>
          <a:ext cx="6057900" cy="1514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</a:t>
          </a:r>
          <a:r>
            <a:rPr lang="es-ES" sz="1100" b="1" baseline="0"/>
            <a:t>.2 TABLA CÁLCULO COSTES DE ÚTILES Y HERRAMIENTAS</a:t>
          </a:r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*Se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estiman los cálculos en función de los útiles y herramientas necesarios por cada 10 personas del personal operativo calculados en las tablas A1 y A2 para un servicio de estas características.</a:t>
          </a:r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8930005" y="247650"/>
          <a:ext cx="578294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D.</a:t>
          </a:r>
          <a:r>
            <a:rPr lang="es-ES" sz="1100" b="1" baseline="0"/>
            <a:t> </a:t>
          </a:r>
          <a:r>
            <a:rPr lang="es-ES" sz="1100" b="1"/>
            <a:t>TABLA RESUMEN COSTES DE LOCALES E INSTALACIONES</a:t>
          </a:r>
          <a:endParaRPr lang="es-E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76198</xdr:colOff>
      <xdr:row>1</xdr:row>
      <xdr:rowOff>276225</xdr:rowOff>
    </xdr:from>
    <xdr:to>
      <xdr:col>18</xdr:col>
      <xdr:colOff>409574</xdr:colOff>
      <xdr:row>9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8214360" y="466725"/>
          <a:ext cx="5782945" cy="1771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D.1. TABLA DE COSTES FIJOS</a:t>
          </a:r>
          <a:r>
            <a:rPr lang="es-ES" sz="1100" b="1" baseline="0"/>
            <a:t> </a:t>
          </a:r>
          <a:r>
            <a:rPr lang="es-ES" sz="1100" b="1"/>
            <a:t>DE LOCALES E INSTALACIONES</a:t>
          </a:r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 Se incluirá este coste si es necesario alquilar algún tipo de nave/s u</a:t>
          </a:r>
          <a:r>
            <a:rPr lang="es-ES" sz="1100" b="0" baseline="0"/>
            <a:t> oficina técnica de forma específica para el adecuado desarrollo del contrato. </a:t>
          </a:r>
        </a:p>
        <a:p>
          <a:r>
            <a:rPr lang="es-ES" sz="1100" b="0" baseline="0"/>
            <a:t>* El coste anual se realiza a partir de las superficies de instalaciones estimadas para poder albergar todos los vehículos y maquinaria disponibles. </a:t>
          </a:r>
        </a:p>
        <a:p>
          <a:r>
            <a:rPr lang="es-ES" sz="1100" b="0" baseline="0"/>
            <a:t>* El precio del m2 debe ajustarse a cada municipio, pues es un dato que puede variar ampliamente. </a:t>
          </a:r>
        </a:p>
      </xdr:txBody>
    </xdr:sp>
    <xdr:clientData/>
  </xdr:twoCellAnchor>
  <xdr:twoCellAnchor>
    <xdr:from>
      <xdr:col>8</xdr:col>
      <xdr:colOff>83344</xdr:colOff>
      <xdr:row>15</xdr:row>
      <xdr:rowOff>35719</xdr:rowOff>
    </xdr:from>
    <xdr:to>
      <xdr:col>18</xdr:col>
      <xdr:colOff>416720</xdr:colOff>
      <xdr:row>19</xdr:row>
      <xdr:rowOff>283369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8221980" y="3274060"/>
          <a:ext cx="5782945" cy="12979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D.2. TABLA DE COSTES VARIABLES</a:t>
          </a:r>
          <a:r>
            <a:rPr lang="es-ES" sz="1100" b="1" baseline="0"/>
            <a:t> </a:t>
          </a:r>
          <a:r>
            <a:rPr lang="es-ES" sz="1100" b="1"/>
            <a:t>DE LOCALES E INSTALACIONES</a:t>
          </a:r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 Si</a:t>
          </a:r>
          <a:r>
            <a:rPr lang="es-ES" sz="1100" b="0" baseline="0"/>
            <a:t> en el pliego se exige que las naves deben estar acondicionadas, se deberán estimar estos costes, bien sean en instalaciones cedidas por el Ayuntamiento o en las instalaciones alquiladas. </a:t>
          </a:r>
        </a:p>
        <a:p>
          <a:r>
            <a:rPr lang="es-ES" sz="1100" b="0" baseline="0"/>
            <a:t>* Se deberá calcular, además, el gasto de consumibles (luz, agua, gas, etc.). para que las instalaciones funcionen adecuadamente.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390525</xdr:colOff>
      <xdr:row>2</xdr:row>
      <xdr:rowOff>123825</xdr:rowOff>
    </xdr:from>
    <xdr:to>
      <xdr:col>38</xdr:col>
      <xdr:colOff>28575</xdr:colOff>
      <xdr:row>10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09635" y="361950"/>
          <a:ext cx="4976495" cy="1495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TABLA RESUMEN  - PRESUPUESTO BASE DE LICITACIÓN</a:t>
          </a:r>
        </a:p>
        <a:p>
          <a:endParaRPr lang="es-ES" sz="1100" b="1"/>
        </a:p>
        <a:p>
          <a:r>
            <a:rPr lang="es-ES" sz="1100"/>
            <a:t>* Todos los datos salen de vínculos</a:t>
          </a:r>
          <a:r>
            <a:rPr lang="es-ES" sz="1100" baseline="0"/>
            <a:t> con otras páginas. </a:t>
          </a:r>
        </a:p>
        <a:p>
          <a:r>
            <a:rPr lang="es-ES" sz="1100" baseline="0"/>
            <a:t>* Se deben ajustar los coeficientes de ajuste de los años 5 y 6 respectivamente (en </a:t>
          </a:r>
          <a:r>
            <a:rPr lang="es-ES" sz="1100" baseline="0">
              <a:solidFill>
                <a:schemeClr val="accent5">
                  <a:lumMod val="50000"/>
                </a:schemeClr>
              </a:solidFill>
            </a:rPr>
            <a:t>azul)</a:t>
          </a:r>
        </a:p>
        <a:p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8930005" y="247650"/>
          <a:ext cx="578294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E.</a:t>
          </a:r>
          <a:r>
            <a:rPr lang="es-ES" sz="1100" b="1" baseline="0"/>
            <a:t> </a:t>
          </a:r>
          <a:r>
            <a:rPr lang="es-ES" sz="1100" b="1"/>
            <a:t>TABLA RESUMEN COSTES MATERIALES DE CONSERVACIÓN</a:t>
          </a:r>
        </a:p>
        <a:p>
          <a:endParaRPr lang="es-E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19</xdr:col>
      <xdr:colOff>444501</xdr:colOff>
      <xdr:row>7</xdr:row>
      <xdr:rowOff>166687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16163290" y="876300"/>
          <a:ext cx="5578475" cy="9283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E.1.</a:t>
          </a:r>
          <a:r>
            <a:rPr lang="es-ES" sz="1100" b="1" baseline="0"/>
            <a:t> </a:t>
          </a:r>
          <a:r>
            <a:rPr lang="es-ES" sz="1100" b="1"/>
            <a:t>TABLA COSTES MATERIAS PRIMAS</a:t>
          </a:r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Se determinan los materiales que se sabe que se van utilizar en funcion de las características del contrato</a:t>
          </a:r>
        </a:p>
        <a:p>
          <a:endParaRPr lang="es-E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444501</xdr:colOff>
      <xdr:row>5</xdr:row>
      <xdr:rowOff>166687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348730" y="190500"/>
          <a:ext cx="5578475" cy="9283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E.2.</a:t>
          </a:r>
          <a:r>
            <a:rPr lang="es-ES" sz="1100" b="1" baseline="0"/>
            <a:t> </a:t>
          </a:r>
          <a:r>
            <a:rPr lang="es-ES" sz="1100" b="1"/>
            <a:t>TABLA COSTES PRODUCTOS</a:t>
          </a:r>
          <a:r>
            <a:rPr lang="es-ES" sz="1100" b="1" baseline="0"/>
            <a:t> FITOSANITARIOS</a:t>
          </a:r>
          <a:endParaRPr lang="es-ES" sz="1100" b="1"/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Se determinan los materiales que se sabe que se van utilizar en funcion de las características del contrato</a:t>
          </a:r>
        </a:p>
        <a:p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19048</xdr:colOff>
      <xdr:row>2</xdr:row>
      <xdr:rowOff>9525</xdr:rowOff>
    </xdr:from>
    <xdr:to>
      <xdr:col>25</xdr:col>
      <xdr:colOff>19049</xdr:colOff>
      <xdr:row>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8441055" y="247650"/>
          <a:ext cx="5782945" cy="847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 </a:t>
          </a:r>
          <a:r>
            <a:rPr lang="es-ES" sz="1100" b="1"/>
            <a:t>TABLA RESUMEN OTROS COSTES</a:t>
          </a:r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17</xdr:col>
      <xdr:colOff>438151</xdr:colOff>
      <xdr:row>15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11740515" y="2476500"/>
          <a:ext cx="5776595" cy="847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1. </a:t>
          </a:r>
          <a:r>
            <a:rPr lang="es-ES" sz="1100" b="1"/>
            <a:t>TABLA COSTES EQUIPOS TECNOLÓGICOS Y DE SOFTWARE</a:t>
          </a:r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 relativo a este capítulo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438151</xdr:colOff>
      <xdr:row>7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8688705" y="952500"/>
          <a:ext cx="5776595" cy="847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2. </a:t>
          </a:r>
          <a:r>
            <a:rPr lang="es-ES" sz="1100" b="1"/>
            <a:t>TABLA COSTES REVISIÓN</a:t>
          </a:r>
          <a:r>
            <a:rPr lang="es-ES" sz="1100" b="1" baseline="0"/>
            <a:t> Y ACTUALIZACIÓN DE INVENTARIO</a:t>
          </a:r>
          <a:endParaRPr lang="es-ES" sz="1100" b="1"/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 relativo a este capítulo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</xdr:rowOff>
    </xdr:from>
    <xdr:to>
      <xdr:col>14</xdr:col>
      <xdr:colOff>438151</xdr:colOff>
      <xdr:row>17</xdr:row>
      <xdr:rowOff>42333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7844155" y="952500"/>
          <a:ext cx="5776595" cy="270891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3. </a:t>
          </a:r>
          <a:r>
            <a:rPr lang="es-ES" sz="1100" b="1"/>
            <a:t>TABLA COSTES DE</a:t>
          </a:r>
          <a:r>
            <a:rPr lang="es-ES" sz="1100" b="1" baseline="0"/>
            <a:t> SERVICIOS PROFESIONALES</a:t>
          </a:r>
          <a:endParaRPr lang="es-ES" sz="1100" b="1"/>
        </a:p>
        <a:p>
          <a:endParaRPr lang="es-ES" sz="1100" b="1"/>
        </a:p>
        <a:p>
          <a:r>
            <a:rPr lang="es-ES" sz="1100" b="0"/>
            <a:t>* En función</a:t>
          </a:r>
          <a:r>
            <a:rPr lang="es-ES" sz="1100" b="0" baseline="0"/>
            <a:t> de las necesidades detectadas en el Estudio Técnico y del alcance de lo que se incorpore al Pliego de Prescripciones Técnicas, se calcularán los siguientes apartados. </a:t>
          </a:r>
        </a:p>
        <a:p>
          <a:endParaRPr lang="es-ES" sz="1100" b="0" baseline="0"/>
        </a:p>
        <a:p>
          <a:r>
            <a:rPr lang="es-ES" sz="1100" b="0" baseline="0"/>
            <a:t>* Son conceptos muy amplios y variables, y bajo el mismo título el </a:t>
          </a:r>
          <a:r>
            <a:rPr lang="es-ES" sz="1100" b="1" baseline="0"/>
            <a:t>alcance</a:t>
          </a:r>
          <a:r>
            <a:rPr lang="es-ES" sz="1100" b="0" baseline="0"/>
            <a:t> puede variar enormemente,  y en la mayor parte de las situaciones es necesario realizar estudios económicos diferenciados o solicitarlos a empresas especializadas para tener una referencia. </a:t>
          </a:r>
        </a:p>
        <a:p>
          <a:endParaRPr lang="es-ES" sz="1100" b="0" baseline="0"/>
        </a:p>
        <a:p>
          <a:r>
            <a:rPr lang="es-ES" sz="1100" b="0" baseline="0"/>
            <a:t>* Este tipo de costes pueden incorporarse al estudio económico por Canon o por Medición/Suministro, según se considere. </a:t>
          </a:r>
        </a:p>
        <a:p>
          <a:endParaRPr lang="es-ES" sz="1100" b="0" baseline="0"/>
        </a:p>
        <a:p>
          <a:r>
            <a:rPr lang="es-ES" sz="1100" b="0" baseline="0"/>
            <a:t>* Puede ser recomendable que estudios o acciones puntuales se saquen por medición y acciones que se realicen de forma sistemática a lo largo de todos los años del servicio se saque por canon. 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16</xdr:col>
      <xdr:colOff>438151</xdr:colOff>
      <xdr:row>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10377170" y="762000"/>
          <a:ext cx="5776595" cy="1143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3. </a:t>
          </a:r>
          <a:r>
            <a:rPr lang="es-ES" sz="1100" b="1"/>
            <a:t>TABLA OTROS COSTES </a:t>
          </a:r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 relativo a este capítulo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219074</xdr:colOff>
      <xdr:row>3</xdr:row>
      <xdr:rowOff>0</xdr:rowOff>
    </xdr:from>
    <xdr:to>
      <xdr:col>37</xdr:col>
      <xdr:colOff>142875</xdr:colOff>
      <xdr:row>10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693150" y="428625"/>
          <a:ext cx="6247765" cy="1495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TABLA CANON ANUAL</a:t>
          </a:r>
        </a:p>
        <a:p>
          <a:endParaRPr lang="es-E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sz="1100" b="1"/>
            <a:t>*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verde los datos que se pueden ajustar según las necesidades del servicio</a:t>
          </a:r>
          <a:endParaRPr lang="es-ES" sz="1100" b="1"/>
        </a:p>
        <a:p>
          <a:r>
            <a:rPr lang="es-ES" sz="1100"/>
            <a:t>* Los</a:t>
          </a:r>
          <a:r>
            <a:rPr lang="es-ES" sz="1100" baseline="0"/>
            <a:t> costes de ejecución material se obtienen de vínculos con otras pestañas ( A, B, C, D, E y F)</a:t>
          </a:r>
        </a:p>
        <a:p>
          <a:r>
            <a:rPr lang="es-ES" sz="1100" baseline="0"/>
            <a:t>* Se pueden cambiar los porcentajes:</a:t>
          </a:r>
        </a:p>
        <a:p>
          <a:r>
            <a:rPr lang="es-ES" sz="1100" baseline="0"/>
            <a:t>         * Gastos generales y beneficio industrial (pueden variar entre </a:t>
          </a:r>
          <a:r>
            <a:rPr lang="es-ES" sz="1100" baseline="0">
              <a:solidFill>
                <a:srgbClr val="C00000"/>
              </a:solidFill>
            </a:rPr>
            <a:t>X</a:t>
          </a:r>
          <a:r>
            <a:rPr lang="es-ES" sz="1100" baseline="0"/>
            <a:t> y </a:t>
          </a:r>
          <a:r>
            <a:rPr lang="es-ES" sz="1100" baseline="0">
              <a:solidFill>
                <a:srgbClr val="C00000"/>
              </a:solidFill>
            </a:rPr>
            <a:t>Z</a:t>
          </a:r>
          <a:r>
            <a:rPr lang="es-ES" sz="1100" baseline="0"/>
            <a:t>)</a:t>
          </a:r>
        </a:p>
        <a:p>
          <a:r>
            <a:rPr lang="es-ES" sz="1100" baseline="0"/>
            <a:t>         * Canon anual de conservación y limpieza (al modificar el porcentaje del canon de conservación se 	calcula automaticamente el canon de limpieza.</a:t>
          </a:r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476250</xdr:colOff>
      <xdr:row>3</xdr:row>
      <xdr:rowOff>47625</xdr:rowOff>
    </xdr:from>
    <xdr:to>
      <xdr:col>36</xdr:col>
      <xdr:colOff>114300</xdr:colOff>
      <xdr:row>16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55050" y="666750"/>
          <a:ext cx="4976495" cy="2257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TABLA TRABAJOS</a:t>
          </a:r>
          <a:r>
            <a:rPr lang="es-ES" sz="1100" b="1" baseline="0"/>
            <a:t> POR MEDICIÓN / SUMINISTRO</a:t>
          </a:r>
        </a:p>
        <a:p>
          <a:endParaRPr lang="es-ES" sz="1100" b="1" baseline="0"/>
        </a:p>
        <a:p>
          <a:r>
            <a:rPr lang="es-ES" sz="1100" b="0" baseline="0"/>
            <a:t>* Se han determinado aquellas mediciones estimadas para los distintos ámbitos del servicio.</a:t>
          </a:r>
        </a:p>
        <a:p>
          <a:r>
            <a:rPr lang="es-ES" sz="1100" b="0" baseline="0"/>
            <a:t>* Deben adecuarse al alcance del contrato</a:t>
          </a:r>
        </a:p>
        <a:p>
          <a:r>
            <a:rPr lang="es-ES" sz="1100" b="0" baseline="0"/>
            <a:t>* Pueden ajustarse los conceptos de gastos generales y beneficio industrial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15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248140" y="247650"/>
          <a:ext cx="578294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</a:t>
          </a:r>
          <a:r>
            <a:rPr lang="es-ES" sz="1100" b="1" baseline="0"/>
            <a:t> </a:t>
          </a:r>
          <a:r>
            <a:rPr lang="es-ES" sz="1100" b="1"/>
            <a:t>TABLA RESUMEN COSTES DE PERSONAL</a:t>
          </a:r>
        </a:p>
        <a:p>
          <a:endParaRPr lang="es-ES" sz="1100"/>
        </a:p>
        <a:p>
          <a:r>
            <a:rPr lang="es-ES" sz="1100"/>
            <a:t>*</a:t>
          </a:r>
          <a:r>
            <a:rPr lang="es-ES" sz="1100" baseline="0"/>
            <a:t> En </a:t>
          </a:r>
          <a:r>
            <a:rPr lang="es-ES" sz="1100" baseline="0">
              <a:solidFill>
                <a:schemeClr val="accent5">
                  <a:lumMod val="50000"/>
                </a:schemeClr>
              </a:solidFill>
            </a:rPr>
            <a:t>azul</a:t>
          </a:r>
          <a:r>
            <a:rPr lang="es-ES" sz="1100" baseline="0"/>
            <a:t> los datos que se pueden ajustar según las necesidades del servicio</a:t>
          </a:r>
          <a:endParaRPr lang="es-ES" sz="1100"/>
        </a:p>
        <a:p>
          <a:r>
            <a:rPr lang="es-ES" sz="1100"/>
            <a:t>*</a:t>
          </a:r>
          <a:r>
            <a:rPr lang="es-ES" sz="1100" baseline="0"/>
            <a:t> Los </a:t>
          </a:r>
          <a:r>
            <a:rPr lang="es-ES" sz="1100" b="1" baseline="0"/>
            <a:t>costes personales </a:t>
          </a:r>
          <a:r>
            <a:rPr lang="es-ES" sz="1100" baseline="0"/>
            <a:t>se obtienen de las tablas de </a:t>
          </a:r>
          <a:r>
            <a:rPr lang="es-ES" sz="1100" u="sng" baseline="0"/>
            <a:t>Costes A.1 y A.2</a:t>
          </a:r>
        </a:p>
        <a:p>
          <a:r>
            <a:rPr lang="es-ES" sz="1100" baseline="0"/>
            <a:t>* Los </a:t>
          </a:r>
          <a:r>
            <a:rPr lang="es-ES" sz="1100" b="1" baseline="0"/>
            <a:t>porcentajes de sustitución y absentismo </a:t>
          </a:r>
          <a:r>
            <a:rPr lang="es-ES" sz="1100" baseline="0"/>
            <a:t>se pueden ajustar, pero se recomienda que estén entre los siguientes porcentajes:</a:t>
          </a:r>
        </a:p>
        <a:p>
          <a:r>
            <a:rPr lang="es-ES" sz="1100" baseline="0"/>
            <a:t>         * Sustitución por vacaciones: </a:t>
          </a:r>
          <a:r>
            <a:rPr lang="es-ES" sz="1100" baseline="0">
              <a:solidFill>
                <a:srgbClr val="FF0000"/>
              </a:solidFill>
            </a:rPr>
            <a:t>8-9 %</a:t>
          </a:r>
        </a:p>
        <a:p>
          <a:r>
            <a:rPr lang="es-ES" sz="1100" baseline="0"/>
            <a:t>         * Sustitución por horas de formación: </a:t>
          </a:r>
          <a:r>
            <a:rPr lang="es-E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2-5 %</a:t>
          </a:r>
          <a:endParaRPr lang="es-ES" sz="1100" baseline="0">
            <a:solidFill>
              <a:srgbClr val="FF0000"/>
            </a:solidFill>
          </a:endParaRPr>
        </a:p>
        <a:p>
          <a:r>
            <a:rPr lang="es-ES" sz="1100" baseline="0"/>
            <a:t>         * Absentismo y bajas: </a:t>
          </a:r>
          <a:r>
            <a:rPr lang="es-E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6-10 %</a:t>
          </a:r>
        </a:p>
        <a:p>
          <a:r>
            <a:rPr lang="es-ES" sz="1100">
              <a:solidFill>
                <a:sysClr val="windowText" lastClr="000000"/>
              </a:solidFill>
            </a:rPr>
            <a:t>	</a:t>
          </a:r>
          <a:r>
            <a:rPr lang="es-ES" sz="11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endParaRPr lang="es-ES" sz="11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100" baseline="0">
              <a:solidFill>
                <a:sysClr val="windowText" lastClr="000000"/>
              </a:solidFill>
            </a:rPr>
            <a:t>* Los </a:t>
          </a:r>
          <a:r>
            <a:rPr lang="es-ES" sz="1100" b="1" baseline="0">
              <a:solidFill>
                <a:sysClr val="windowText" lastClr="000000"/>
              </a:solidFill>
            </a:rPr>
            <a:t>costes de peligrosidad </a:t>
          </a:r>
          <a:r>
            <a:rPr lang="es-ES" sz="1100" baseline="0">
              <a:solidFill>
                <a:sysClr val="windowText" lastClr="000000"/>
              </a:solidFill>
            </a:rPr>
            <a:t>deben calcularse en función de la organización del servicio. 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         * Con caracter general las gratificaciones por permanencia según convenio ya están calculadas en los costes de personal, este campo corresponde a gratificaciones extra.</a:t>
          </a: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28576</xdr:colOff>
      <xdr:row>17</xdr:row>
      <xdr:rowOff>66675</xdr:rowOff>
    </xdr:from>
    <xdr:to>
      <xdr:col>27</xdr:col>
      <xdr:colOff>28576</xdr:colOff>
      <xdr:row>19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258300" y="3476625"/>
          <a:ext cx="5782945" cy="4476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Es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imprescindible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actulizar los años de inicio y final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contrato para poder calcular adecuadamente la antigüedad del personal del servicio</a:t>
          </a:r>
          <a:endParaRPr lang="es-ES">
            <a:effectLst/>
          </a:endParaRPr>
        </a:p>
        <a:p>
          <a:endParaRPr lang="es-E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26</xdr:col>
      <xdr:colOff>438151</xdr:colOff>
      <xdr:row>49</xdr:row>
      <xdr:rowOff>145596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6374745" y="6172200"/>
          <a:ext cx="5776595" cy="29552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A.0</a:t>
          </a:r>
          <a:r>
            <a:rPr lang="es-ES" sz="1100" b="1" baseline="0"/>
            <a:t> TABLAS SALARIALES SEGÚN CONVENIO</a:t>
          </a:r>
          <a:endParaRPr lang="es-ES" sz="1100" b="1"/>
        </a:p>
        <a:p>
          <a:endParaRPr lang="es-ES" sz="1100"/>
        </a:p>
        <a:p>
          <a:r>
            <a:rPr lang="es-ES" sz="1100"/>
            <a:t>*</a:t>
          </a:r>
          <a:r>
            <a:rPr lang="es-ES" sz="1100" baseline="0"/>
            <a:t> En esta pestaña se recogen los datos publicados en las tablas salariables según la última actualización del </a:t>
          </a:r>
          <a:r>
            <a:rPr lang="es-ES" sz="1100" b="1" baseline="0"/>
            <a:t>Convenio Colectivo estatal de Jardinería 2021-2024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A partir del año 2025 se debe actualizar estimando un incremento de subida en forma de porcentaje. En verde, se puede modificar. 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Todos los cálculos de costes de personal se realizan a partir de las tablas salariales medias, para facilitar los cálculos anuales. 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debe revisar la fórmula en tablas slalariales medias para que corresponda con los años de duración del servicio. </a:t>
          </a: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7</xdr:row>
      <xdr:rowOff>0</xdr:rowOff>
    </xdr:from>
    <xdr:to>
      <xdr:col>34</xdr:col>
      <xdr:colOff>723901</xdr:colOff>
      <xdr:row>22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630140" y="23145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285750</xdr:colOff>
      <xdr:row>25</xdr:row>
      <xdr:rowOff>0</xdr:rowOff>
    </xdr:from>
    <xdr:to>
      <xdr:col>34</xdr:col>
      <xdr:colOff>723901</xdr:colOff>
      <xdr:row>40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7630140" y="57435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285750</xdr:colOff>
      <xdr:row>43</xdr:row>
      <xdr:rowOff>0</xdr:rowOff>
    </xdr:from>
    <xdr:to>
      <xdr:col>34</xdr:col>
      <xdr:colOff>723901</xdr:colOff>
      <xdr:row>58</xdr:row>
      <xdr:rowOff>104775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630140" y="91725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285750</xdr:colOff>
      <xdr:row>61</xdr:row>
      <xdr:rowOff>0</xdr:rowOff>
    </xdr:from>
    <xdr:to>
      <xdr:col>34</xdr:col>
      <xdr:colOff>723901</xdr:colOff>
      <xdr:row>64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7630140" y="12601575"/>
          <a:ext cx="5776595" cy="571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</xdr:row>
      <xdr:rowOff>0</xdr:rowOff>
    </xdr:from>
    <xdr:to>
      <xdr:col>30</xdr:col>
      <xdr:colOff>438151</xdr:colOff>
      <xdr:row>23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7564735" y="25050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30</xdr:col>
      <xdr:colOff>438151</xdr:colOff>
      <xdr:row>41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7564735" y="59340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0</xdr:colOff>
      <xdr:row>44</xdr:row>
      <xdr:rowOff>0</xdr:rowOff>
    </xdr:from>
    <xdr:to>
      <xdr:col>30</xdr:col>
      <xdr:colOff>438151</xdr:colOff>
      <xdr:row>59</xdr:row>
      <xdr:rowOff>104775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7564735" y="93630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0</xdr:colOff>
      <xdr:row>63</xdr:row>
      <xdr:rowOff>0</xdr:rowOff>
    </xdr:from>
    <xdr:to>
      <xdr:col>30</xdr:col>
      <xdr:colOff>438151</xdr:colOff>
      <xdr:row>64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564735" y="12982575"/>
          <a:ext cx="5776595" cy="190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4</xdr:row>
      <xdr:rowOff>0</xdr:rowOff>
    </xdr:from>
    <xdr:to>
      <xdr:col>34</xdr:col>
      <xdr:colOff>438151</xdr:colOff>
      <xdr:row>24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6513810" y="1743075"/>
          <a:ext cx="5776595" cy="3914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A.2</a:t>
          </a:r>
          <a:r>
            <a:rPr lang="es-ES" sz="1100" b="1" baseline="0"/>
            <a:t> TABLA COSTES NUEVA CONTRATACIÓN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Se debe actulizar a 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situación de cada servicio, según las tablas de subrogación</a:t>
          </a:r>
          <a:endParaRPr lang="es-ES">
            <a:effectLst/>
          </a:endParaRP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Se recomineda insertarfilas por categorías para facilitar cálculos y minimizar errores. TOdas las filas que se añadan en esta pestaña deben añadirse en la tabla A.2.0 Tabla Antigüedad_Sub</a:t>
          </a:r>
          <a:endParaRPr lang="es-ES">
            <a:effectLst/>
          </a:endParaRP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ursos/SERVICIOS/2008/A%20CONCURSO/01%20CAM%20Pq%20POLVORANCA/ESTUDIO%20INICIAL/ESTUDIO%20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ursos/SERVICIOS/2008/EN%20ESTUDIO/01%20Ayto%20MADRID%20Recogida%20Casa%20de%20Campo/ESTUDIO%20INICIAL/Varios/ESTUDIO%20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"/>
      <sheetName val="TABLAS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"/>
      <sheetName val="TABLAS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>
      <selection activeCell="I18" sqref="I18"/>
    </sheetView>
  </sheetViews>
  <sheetFormatPr baseColWidth="10" defaultColWidth="11" defaultRowHeight="13.2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V33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W2" sqref="W1:W1048576"/>
    </sheetView>
  </sheetViews>
  <sheetFormatPr baseColWidth="10" defaultColWidth="11.44140625" defaultRowHeight="14.4"/>
  <cols>
    <col min="1" max="1" width="4" style="50" customWidth="1"/>
    <col min="2" max="2" width="22.5546875" style="50" customWidth="1"/>
    <col min="3" max="3" width="4.6640625" style="50" customWidth="1"/>
    <col min="4" max="4" width="5.109375" style="50" customWidth="1"/>
    <col min="5" max="5" width="11.44140625" style="50" customWidth="1"/>
    <col min="6" max="6" width="14.88671875" style="50" customWidth="1"/>
    <col min="7" max="7" width="8.88671875" style="51" customWidth="1"/>
    <col min="8" max="8" width="9.44140625" style="51" customWidth="1"/>
    <col min="9" max="10" width="11.44140625" style="51"/>
    <col min="11" max="11" width="11.88671875" style="51" customWidth="1"/>
    <col min="12" max="13" width="11.44140625" style="51"/>
    <col min="14" max="14" width="11.88671875" style="51" customWidth="1"/>
    <col min="15" max="16384" width="11.44140625" style="51"/>
  </cols>
  <sheetData>
    <row r="1" spans="1:22" ht="24" customHeight="1">
      <c r="A1" s="670" t="s">
        <v>251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</row>
    <row r="2" spans="1:22" s="53" customFormat="1" ht="3.75" customHeight="1">
      <c r="A2" s="52"/>
      <c r="B2" s="176"/>
      <c r="C2" s="176"/>
      <c r="D2" s="176"/>
      <c r="E2" s="176"/>
      <c r="F2" s="176"/>
    </row>
    <row r="3" spans="1:22" ht="90" customHeight="1">
      <c r="A3" s="288"/>
      <c r="B3" s="289" t="s">
        <v>152</v>
      </c>
      <c r="C3" s="293" t="s">
        <v>216</v>
      </c>
      <c r="D3" s="293" t="s">
        <v>217</v>
      </c>
      <c r="E3" s="289" t="s">
        <v>218</v>
      </c>
      <c r="F3" s="294" t="s">
        <v>261</v>
      </c>
      <c r="G3" s="294" t="s">
        <v>253</v>
      </c>
      <c r="H3" s="294" t="s">
        <v>254</v>
      </c>
      <c r="I3" s="294" t="s">
        <v>255</v>
      </c>
      <c r="J3" s="294" t="s">
        <v>256</v>
      </c>
      <c r="K3" s="294" t="s">
        <v>257</v>
      </c>
      <c r="L3" s="183" t="s">
        <v>182</v>
      </c>
      <c r="M3" s="183" t="s">
        <v>184</v>
      </c>
      <c r="N3" s="183" t="s">
        <v>185</v>
      </c>
      <c r="O3" s="183" t="s">
        <v>186</v>
      </c>
      <c r="P3" s="183" t="s">
        <v>187</v>
      </c>
      <c r="Q3" s="183" t="s">
        <v>188</v>
      </c>
      <c r="R3" s="183" t="s">
        <v>189</v>
      </c>
      <c r="S3" s="183" t="s">
        <v>190</v>
      </c>
      <c r="T3" s="183" t="s">
        <v>191</v>
      </c>
      <c r="U3" s="183" t="s">
        <v>192</v>
      </c>
      <c r="V3" s="449" t="s">
        <v>965</v>
      </c>
    </row>
    <row r="4" spans="1:22" ht="19.5" customHeight="1">
      <c r="A4" s="177"/>
      <c r="B4" s="98"/>
      <c r="C4" s="671" t="s">
        <v>238</v>
      </c>
      <c r="D4" s="671"/>
      <c r="E4" s="671"/>
      <c r="F4" s="98"/>
      <c r="G4" s="178">
        <f>'A. Resumen Costes Personal'!D19</f>
        <v>2023</v>
      </c>
      <c r="H4" s="101"/>
      <c r="I4" s="178">
        <f>'A. Resumen Costes Personal'!D20</f>
        <v>2027</v>
      </c>
      <c r="J4" s="101"/>
      <c r="K4" s="101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2">
      <c r="A5" s="50">
        <f>'A.2_Tabla Costes Nueva Contr'!A5</f>
        <v>1</v>
      </c>
      <c r="B5" s="54" t="str">
        <f>'A.2_Tabla Costes Nueva Contr'!B5</f>
        <v xml:space="preserve"> PEÓN  </v>
      </c>
      <c r="C5" s="54"/>
      <c r="D5" s="54"/>
      <c r="E5" s="179">
        <v>45200</v>
      </c>
      <c r="F5" s="180">
        <f>YEAR(E5)</f>
        <v>2023</v>
      </c>
      <c r="G5" s="181">
        <f>G$4</f>
        <v>2023</v>
      </c>
      <c r="H5" s="181">
        <f>G5-F5</f>
        <v>0</v>
      </c>
      <c r="I5" s="181">
        <f>I$4</f>
        <v>2027</v>
      </c>
      <c r="J5" s="181">
        <f>I5-F5</f>
        <v>4</v>
      </c>
      <c r="K5" s="181">
        <f t="shared" ref="K5:K26" si="0">(H5+J5)/2</f>
        <v>2</v>
      </c>
      <c r="L5" s="185">
        <f>IF(AND(K5&gt;0,K5&lt;3),L$31,0)</f>
        <v>25.32</v>
      </c>
      <c r="M5" s="185">
        <f>IF(AND(K5&gt;2,K5&lt;7),M$31,0)</f>
        <v>0</v>
      </c>
      <c r="N5" s="185">
        <f>IF(AND(K5&gt;6,K5&lt;11),N$31,0)</f>
        <v>0</v>
      </c>
      <c r="O5" s="185">
        <f>IF(AND(K5&gt;10,K5&lt;15),O$31,0)</f>
        <v>0</v>
      </c>
      <c r="P5" s="185">
        <f>IF(AND(K5&gt;14,K5&lt;19),P$31,0)</f>
        <v>0</v>
      </c>
      <c r="Q5" s="185">
        <f>IF(AND(K5&gt;18,K5&lt;21),Q$31,0)</f>
        <v>0</v>
      </c>
      <c r="R5" s="185">
        <f>IF(AND(K5&gt;20,K5&lt;23),R$31,0)</f>
        <v>0</v>
      </c>
      <c r="S5" s="185">
        <f>IF(AND(K5&gt;22,K5&lt;25),S$31,0)</f>
        <v>0</v>
      </c>
      <c r="T5" s="185">
        <f>IF(AND(K5&gt;24,K5&lt;27),T$31,0)</f>
        <v>0</v>
      </c>
      <c r="U5" s="185">
        <f>IF(K5&gt;26,U$31,0)</f>
        <v>0</v>
      </c>
      <c r="V5" s="185">
        <f>IF(A5&gt;0,SUM(L5:U5),0)</f>
        <v>25.32</v>
      </c>
    </row>
    <row r="6" spans="1:22">
      <c r="A6" s="50">
        <f>'A.2_Tabla Costes Nueva Contr'!A6</f>
        <v>1</v>
      </c>
      <c r="B6" s="54" t="str">
        <f>'A.2_Tabla Costes Nueva Contr'!B6</f>
        <v xml:space="preserve"> PEÓN  </v>
      </c>
      <c r="C6" s="54"/>
      <c r="D6" s="54"/>
      <c r="E6" s="179">
        <v>45200</v>
      </c>
      <c r="F6" s="180">
        <f>YEAR(E6)</f>
        <v>2023</v>
      </c>
      <c r="G6" s="181">
        <f>G$4</f>
        <v>2023</v>
      </c>
      <c r="H6" s="181">
        <f>G6-F6</f>
        <v>0</v>
      </c>
      <c r="I6" s="181">
        <f>I$4</f>
        <v>2027</v>
      </c>
      <c r="J6" s="181">
        <f>I6-F6</f>
        <v>4</v>
      </c>
      <c r="K6" s="181">
        <f t="shared" ref="K6" si="1">(H6+J6)/2</f>
        <v>2</v>
      </c>
      <c r="L6" s="185">
        <f>IF(AND(K6&gt;0,K6&lt;3),L$31,0)</f>
        <v>25.32</v>
      </c>
      <c r="M6" s="185">
        <f>IF(AND(K6&gt;2,K6&lt;7),M$31,0)</f>
        <v>0</v>
      </c>
      <c r="N6" s="185">
        <f>IF(AND(K6&gt;6,K6&lt;11),N$31,0)</f>
        <v>0</v>
      </c>
      <c r="O6" s="185">
        <f>IF(AND(K6&gt;10,K6&lt;15),O$31,0)</f>
        <v>0</v>
      </c>
      <c r="P6" s="185">
        <f>IF(AND(K6&gt;14,K6&lt;19),P$31,0)</f>
        <v>0</v>
      </c>
      <c r="Q6" s="185">
        <f>IF(AND(K6&gt;18,K6&lt;21),Q$31,0)</f>
        <v>0</v>
      </c>
      <c r="R6" s="185">
        <f>IF(AND(K6&gt;20,K6&lt;23),R$31,0)</f>
        <v>0</v>
      </c>
      <c r="S6" s="185">
        <f>IF(AND(K6&gt;22,K6&lt;25),S$31,0)</f>
        <v>0</v>
      </c>
      <c r="T6" s="185">
        <f>IF(AND(K6&gt;24,K6&lt;27),T$31,0)</f>
        <v>0</v>
      </c>
      <c r="U6" s="185">
        <f>IF(K6&gt;26,U$31,0)</f>
        <v>0</v>
      </c>
      <c r="V6" s="185">
        <f>IF(A6&gt;0,SUM(L6:U6),0)</f>
        <v>25.32</v>
      </c>
    </row>
    <row r="7" spans="1:22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</row>
    <row r="8" spans="1:22">
      <c r="A8" s="50">
        <f>'A.2_Tabla Costes Nueva Contr'!A8</f>
        <v>1</v>
      </c>
      <c r="B8" s="54" t="str">
        <f>'A.2_Tabla Costes Nueva Contr'!B8</f>
        <v xml:space="preserve"> AUXILIAR JARD.  </v>
      </c>
      <c r="C8" s="54"/>
      <c r="D8" s="54"/>
      <c r="E8" s="179">
        <v>45200</v>
      </c>
      <c r="F8" s="180">
        <f t="shared" ref="F8:F26" si="2">YEAR(E8)</f>
        <v>2023</v>
      </c>
      <c r="G8" s="181">
        <f t="shared" ref="G8:I26" si="3">G$4</f>
        <v>2023</v>
      </c>
      <c r="H8" s="181">
        <f t="shared" ref="H8:H26" si="4">G8-F8</f>
        <v>0</v>
      </c>
      <c r="I8" s="181">
        <f t="shared" si="3"/>
        <v>2027</v>
      </c>
      <c r="J8" s="181">
        <f t="shared" ref="J8:J26" si="5">I8-F8</f>
        <v>4</v>
      </c>
      <c r="K8" s="181">
        <f t="shared" si="0"/>
        <v>2</v>
      </c>
      <c r="L8" s="185">
        <f>IF(AND(K8&gt;0,K8&lt;3),L$31,0)</f>
        <v>25.32</v>
      </c>
      <c r="M8" s="185">
        <f>IF(AND(K8&gt;2,K8&lt;7),M$31,0)</f>
        <v>0</v>
      </c>
      <c r="N8" s="185">
        <f>IF(AND(K8&gt;6,K8&lt;11),N$31,0)</f>
        <v>0</v>
      </c>
      <c r="O8" s="185">
        <f>IF(AND(K8&gt;10,K8&lt;15),O$31,0)</f>
        <v>0</v>
      </c>
      <c r="P8" s="185">
        <f>IF(AND(K8&gt;14,K8&lt;19),P$31,0)</f>
        <v>0</v>
      </c>
      <c r="Q8" s="185">
        <f>IF(AND(K8&gt;18,K8&lt;21),Q$31,0)</f>
        <v>0</v>
      </c>
      <c r="R8" s="185">
        <f>IF(AND(K8&gt;20,K8&lt;23),R$31,0)</f>
        <v>0</v>
      </c>
      <c r="S8" s="185">
        <f>IF(AND(K8&gt;22,K8&lt;25),S$31,0)</f>
        <v>0</v>
      </c>
      <c r="T8" s="185">
        <f>IF(AND(K8&gt;24,K8&lt;27),T$31,0)</f>
        <v>0</v>
      </c>
      <c r="U8" s="185">
        <f>IF(K8&gt;26,U$31,0)</f>
        <v>0</v>
      </c>
      <c r="V8" s="185">
        <f t="shared" ref="V8:V11" si="6">IF(A8&gt;0,SUM(L8:U8),0)</f>
        <v>25.32</v>
      </c>
    </row>
    <row r="9" spans="1:22">
      <c r="A9" s="50">
        <f>'A.2_Tabla Costes Nueva Contr'!A9</f>
        <v>1</v>
      </c>
      <c r="B9" s="54" t="str">
        <f>'A.2_Tabla Costes Nueva Contr'!B9</f>
        <v xml:space="preserve"> AUXILIAR JARD.  </v>
      </c>
      <c r="C9" s="54"/>
      <c r="D9" s="54"/>
      <c r="E9" s="179">
        <v>45200</v>
      </c>
      <c r="F9" s="180">
        <f t="shared" si="2"/>
        <v>2023</v>
      </c>
      <c r="G9" s="181">
        <f t="shared" si="3"/>
        <v>2023</v>
      </c>
      <c r="H9" s="181">
        <f t="shared" si="4"/>
        <v>0</v>
      </c>
      <c r="I9" s="181">
        <f t="shared" si="3"/>
        <v>2027</v>
      </c>
      <c r="J9" s="181">
        <f t="shared" si="5"/>
        <v>4</v>
      </c>
      <c r="K9" s="181">
        <f t="shared" si="0"/>
        <v>2</v>
      </c>
      <c r="L9" s="185">
        <f>IF(AND(K9&gt;0,K9&lt;3),L$31,0)</f>
        <v>25.32</v>
      </c>
      <c r="M9" s="185">
        <f>IF(AND(K9&gt;2,K9&lt;7),M$31,0)</f>
        <v>0</v>
      </c>
      <c r="N9" s="185">
        <f>IF(AND(K9&gt;6,K9&lt;11),N$31,0)</f>
        <v>0</v>
      </c>
      <c r="O9" s="185">
        <f>IF(AND(K9&gt;10,K9&lt;15),O$31,0)</f>
        <v>0</v>
      </c>
      <c r="P9" s="185">
        <f>IF(AND(K9&gt;14,K9&lt;19),P$31,0)</f>
        <v>0</v>
      </c>
      <c r="Q9" s="185">
        <f>IF(AND(K9&gt;18,K9&lt;21),Q$31,0)</f>
        <v>0</v>
      </c>
      <c r="R9" s="185">
        <f>IF(AND(K9&gt;20,K9&lt;23),R$31,0)</f>
        <v>0</v>
      </c>
      <c r="S9" s="185">
        <f>IF(AND(K9&gt;22,K9&lt;25),S$31,0)</f>
        <v>0</v>
      </c>
      <c r="T9" s="185">
        <f>IF(AND(K9&gt;24,K9&lt;27),T$31,0)</f>
        <v>0</v>
      </c>
      <c r="U9" s="185">
        <f>IF(K9&gt;26,U$31,0)</f>
        <v>0</v>
      </c>
      <c r="V9" s="185">
        <f t="shared" si="6"/>
        <v>25.32</v>
      </c>
    </row>
    <row r="10" spans="1:22">
      <c r="A10" s="50">
        <f>'A.2_Tabla Costes Nueva Contr'!A10</f>
        <v>0</v>
      </c>
      <c r="B10" s="54" t="str">
        <f>'A.2_Tabla Costes Nueva Contr'!B10</f>
        <v xml:space="preserve"> AUXILIAR JARD.  </v>
      </c>
      <c r="C10" s="54"/>
      <c r="D10" s="54"/>
      <c r="E10" s="179">
        <v>45200</v>
      </c>
      <c r="F10" s="180">
        <f t="shared" ref="F10:F11" si="7">YEAR(E10)</f>
        <v>2023</v>
      </c>
      <c r="G10" s="181">
        <f t="shared" si="3"/>
        <v>2023</v>
      </c>
      <c r="H10" s="181">
        <f t="shared" ref="H10:H11" si="8">G10-F10</f>
        <v>0</v>
      </c>
      <c r="I10" s="181">
        <f t="shared" si="3"/>
        <v>2027</v>
      </c>
      <c r="J10" s="181">
        <f t="shared" ref="J10:J11" si="9">I10-F10</f>
        <v>4</v>
      </c>
      <c r="K10" s="181">
        <f t="shared" ref="K10:K11" si="10">(H10+J10)/2</f>
        <v>2</v>
      </c>
      <c r="L10" s="185">
        <f>IF(AND(K10&gt;0,K10&lt;3),L$31,0)</f>
        <v>25.32</v>
      </c>
      <c r="M10" s="185">
        <f>IF(AND(K10&gt;2,K10&lt;7),M$31,0)</f>
        <v>0</v>
      </c>
      <c r="N10" s="185">
        <f>IF(AND(K10&gt;6,K10&lt;11),N$31,0)</f>
        <v>0</v>
      </c>
      <c r="O10" s="185">
        <f>IF(AND(K10&gt;10,K10&lt;15),O$31,0)</f>
        <v>0</v>
      </c>
      <c r="P10" s="185">
        <f>IF(AND(K10&gt;14,K10&lt;19),P$31,0)</f>
        <v>0</v>
      </c>
      <c r="Q10" s="185">
        <f>IF(AND(K10&gt;18,K10&lt;21),Q$31,0)</f>
        <v>0</v>
      </c>
      <c r="R10" s="185">
        <f>IF(AND(K10&gt;20,K10&lt;23),R$31,0)</f>
        <v>0</v>
      </c>
      <c r="S10" s="185">
        <f>IF(AND(K10&gt;22,K10&lt;25),S$31,0)</f>
        <v>0</v>
      </c>
      <c r="T10" s="185">
        <f>IF(AND(K10&gt;24,K10&lt;27),T$31,0)</f>
        <v>0</v>
      </c>
      <c r="U10" s="185">
        <f>IF(K10&gt;26,U$31,0)</f>
        <v>0</v>
      </c>
      <c r="V10" s="185">
        <f t="shared" si="6"/>
        <v>0</v>
      </c>
    </row>
    <row r="11" spans="1:22">
      <c r="A11" s="50">
        <f>'A.2_Tabla Costes Nueva Contr'!A11</f>
        <v>0</v>
      </c>
      <c r="B11" s="54" t="str">
        <f>'A.2_Tabla Costes Nueva Contr'!B11</f>
        <v xml:space="preserve"> AUXILIAR JARD.  </v>
      </c>
      <c r="C11" s="54"/>
      <c r="D11" s="54"/>
      <c r="E11" s="179">
        <v>45200</v>
      </c>
      <c r="F11" s="180">
        <f t="shared" si="7"/>
        <v>2023</v>
      </c>
      <c r="G11" s="181">
        <f t="shared" si="3"/>
        <v>2023</v>
      </c>
      <c r="H11" s="181">
        <f t="shared" si="8"/>
        <v>0</v>
      </c>
      <c r="I11" s="181">
        <f t="shared" si="3"/>
        <v>2027</v>
      </c>
      <c r="J11" s="181">
        <f t="shared" si="9"/>
        <v>4</v>
      </c>
      <c r="K11" s="181">
        <f t="shared" si="10"/>
        <v>2</v>
      </c>
      <c r="L11" s="185">
        <f>IF(AND(K11&gt;0,K11&lt;3),L$31,0)</f>
        <v>25.32</v>
      </c>
      <c r="M11" s="185">
        <f>IF(AND(K11&gt;2,K11&lt;7),M$31,0)</f>
        <v>0</v>
      </c>
      <c r="N11" s="185">
        <f>IF(AND(K11&gt;6,K11&lt;11),N$31,0)</f>
        <v>0</v>
      </c>
      <c r="O11" s="185">
        <f>IF(AND(K11&gt;10,K11&lt;15),O$31,0)</f>
        <v>0</v>
      </c>
      <c r="P11" s="185">
        <f>IF(AND(K11&gt;14,K11&lt;19),P$31,0)</f>
        <v>0</v>
      </c>
      <c r="Q11" s="185">
        <f>IF(AND(K11&gt;18,K11&lt;21),Q$31,0)</f>
        <v>0</v>
      </c>
      <c r="R11" s="185">
        <f>IF(AND(K11&gt;20,K11&lt;23),R$31,0)</f>
        <v>0</v>
      </c>
      <c r="S11" s="185">
        <f>IF(AND(K11&gt;22,K11&lt;25),S$31,0)</f>
        <v>0</v>
      </c>
      <c r="T11" s="185">
        <f>IF(AND(K11&gt;24,K11&lt;27),T$31,0)</f>
        <v>0</v>
      </c>
      <c r="U11" s="185">
        <f>IF(K11&gt;26,U$31,0)</f>
        <v>0</v>
      </c>
      <c r="V11" s="185">
        <f t="shared" si="6"/>
        <v>0</v>
      </c>
    </row>
    <row r="12" spans="1:22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</row>
    <row r="13" spans="1:22">
      <c r="A13" s="50">
        <f>'A.2_Tabla Costes Nueva Contr'!A13</f>
        <v>0</v>
      </c>
      <c r="B13" s="54" t="str">
        <f>'A.2_Tabla Costes Nueva Contr'!B13</f>
        <v xml:space="preserve"> JARDINERO/A</v>
      </c>
      <c r="C13" s="54"/>
      <c r="D13" s="54"/>
      <c r="E13" s="179">
        <v>45200</v>
      </c>
      <c r="F13" s="180">
        <f t="shared" si="2"/>
        <v>2023</v>
      </c>
      <c r="G13" s="181">
        <f t="shared" si="3"/>
        <v>2023</v>
      </c>
      <c r="H13" s="181">
        <f t="shared" si="4"/>
        <v>0</v>
      </c>
      <c r="I13" s="181">
        <f t="shared" si="3"/>
        <v>2027</v>
      </c>
      <c r="J13" s="181">
        <f t="shared" si="5"/>
        <v>4</v>
      </c>
      <c r="K13" s="181">
        <f t="shared" si="0"/>
        <v>2</v>
      </c>
      <c r="L13" s="185">
        <f>IF(AND(K13&gt;0,K13&lt;3),L$31,0)</f>
        <v>25.32</v>
      </c>
      <c r="M13" s="185">
        <f>IF(AND(K13&gt;2,K13&lt;7),M$31,0)</f>
        <v>0</v>
      </c>
      <c r="N13" s="185">
        <f>IF(AND(K13&gt;6,K13&lt;11),N$31,0)</f>
        <v>0</v>
      </c>
      <c r="O13" s="185">
        <f>IF(AND(K13&gt;10,K13&lt;15),O$31,0)</f>
        <v>0</v>
      </c>
      <c r="P13" s="185">
        <f>IF(AND(K13&gt;14,K13&lt;19),P$31,0)</f>
        <v>0</v>
      </c>
      <c r="Q13" s="185">
        <f>IF(AND(K13&gt;18,K13&lt;21),Q$31,0)</f>
        <v>0</v>
      </c>
      <c r="R13" s="185">
        <f>IF(AND(K13&gt;20,K13&lt;23),R$31,0)</f>
        <v>0</v>
      </c>
      <c r="S13" s="185">
        <f>IF(AND(K13&gt;22,K13&lt;25),S$31,0)</f>
        <v>0</v>
      </c>
      <c r="T13" s="185">
        <f>IF(AND(K13&gt;24,K13&lt;27),T$31,0)</f>
        <v>0</v>
      </c>
      <c r="U13" s="185">
        <f>IF(K13&gt;26,U$31,0)</f>
        <v>0</v>
      </c>
      <c r="V13" s="185">
        <f t="shared" ref="V13:V14" si="11">IF(A13&gt;0,SUM(L13:U13),0)</f>
        <v>0</v>
      </c>
    </row>
    <row r="14" spans="1:22">
      <c r="A14" s="50">
        <f>'A.2_Tabla Costes Nueva Contr'!A14</f>
        <v>0</v>
      </c>
      <c r="B14" s="54" t="str">
        <f>'A.2_Tabla Costes Nueva Contr'!B14</f>
        <v xml:space="preserve"> JARDINERO/A</v>
      </c>
      <c r="C14" s="54"/>
      <c r="D14" s="54"/>
      <c r="E14" s="179">
        <v>45200</v>
      </c>
      <c r="F14" s="180">
        <f t="shared" si="2"/>
        <v>2023</v>
      </c>
      <c r="G14" s="181">
        <f t="shared" si="3"/>
        <v>2023</v>
      </c>
      <c r="H14" s="181">
        <f t="shared" si="4"/>
        <v>0</v>
      </c>
      <c r="I14" s="181">
        <f t="shared" si="3"/>
        <v>2027</v>
      </c>
      <c r="J14" s="181">
        <f t="shared" si="5"/>
        <v>4</v>
      </c>
      <c r="K14" s="181">
        <f t="shared" si="0"/>
        <v>2</v>
      </c>
      <c r="L14" s="185">
        <f>IF(AND(K14&gt;0,K14&lt;3),L$31,0)</f>
        <v>25.32</v>
      </c>
      <c r="M14" s="185">
        <f>IF(AND(K14&gt;2,K14&lt;7),M$31,0)</f>
        <v>0</v>
      </c>
      <c r="N14" s="185">
        <f>IF(AND(K14&gt;6,K14&lt;11),N$31,0)</f>
        <v>0</v>
      </c>
      <c r="O14" s="185">
        <f>IF(AND(K14&gt;10,K14&lt;15),O$31,0)</f>
        <v>0</v>
      </c>
      <c r="P14" s="185">
        <f>IF(AND(K14&gt;14,K14&lt;19),P$31,0)</f>
        <v>0</v>
      </c>
      <c r="Q14" s="185">
        <f>IF(AND(K14&gt;18,K14&lt;21),Q$31,0)</f>
        <v>0</v>
      </c>
      <c r="R14" s="185">
        <f>IF(AND(K14&gt;20,K14&lt;23),R$31,0)</f>
        <v>0</v>
      </c>
      <c r="S14" s="185">
        <f>IF(AND(K14&gt;22,K14&lt;25),S$31,0)</f>
        <v>0</v>
      </c>
      <c r="T14" s="185">
        <f>IF(AND(K14&gt;24,K14&lt;27),T$31,0)</f>
        <v>0</v>
      </c>
      <c r="U14" s="185">
        <f>IF(K14&gt;26,U$31,0)</f>
        <v>0</v>
      </c>
      <c r="V14" s="185">
        <f t="shared" si="11"/>
        <v>0</v>
      </c>
    </row>
    <row r="15" spans="1:22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</row>
    <row r="16" spans="1:22">
      <c r="A16" s="50">
        <f>'A.2_Tabla Costes Nueva Contr'!A16</f>
        <v>1</v>
      </c>
      <c r="B16" s="54" t="str">
        <f>'A.2_Tabla Costes Nueva Contr'!B16</f>
        <v xml:space="preserve"> OFICIAL JARD.  </v>
      </c>
      <c r="C16" s="54"/>
      <c r="D16" s="54"/>
      <c r="E16" s="179">
        <v>45200</v>
      </c>
      <c r="F16" s="180">
        <f t="shared" si="2"/>
        <v>2023</v>
      </c>
      <c r="G16" s="181">
        <f t="shared" si="3"/>
        <v>2023</v>
      </c>
      <c r="H16" s="181">
        <f t="shared" si="4"/>
        <v>0</v>
      </c>
      <c r="I16" s="181">
        <f t="shared" si="3"/>
        <v>2027</v>
      </c>
      <c r="J16" s="181">
        <f t="shared" si="5"/>
        <v>4</v>
      </c>
      <c r="K16" s="181">
        <f t="shared" si="0"/>
        <v>2</v>
      </c>
      <c r="L16" s="185">
        <f>IF(AND(K16&gt;0,K16&lt;3),L$31,0)</f>
        <v>25.32</v>
      </c>
      <c r="M16" s="185">
        <f>IF(AND(K16&gt;2,K16&lt;7),M$31,0)</f>
        <v>0</v>
      </c>
      <c r="N16" s="185">
        <f>IF(AND(K16&gt;6,K16&lt;11),N$31,0)</f>
        <v>0</v>
      </c>
      <c r="O16" s="185">
        <f>IF(AND(K16&gt;10,K16&lt;15),O$31,0)</f>
        <v>0</v>
      </c>
      <c r="P16" s="185">
        <f>IF(AND(K16&gt;14,K16&lt;19),P$31,0)</f>
        <v>0</v>
      </c>
      <c r="Q16" s="185">
        <f>IF(AND(K16&gt;18,K16&lt;21),Q$31,0)</f>
        <v>0</v>
      </c>
      <c r="R16" s="185">
        <f>IF(AND(K16&gt;20,K16&lt;23),R$31,0)</f>
        <v>0</v>
      </c>
      <c r="S16" s="185">
        <f>IF(AND(K16&gt;22,K16&lt;25),S$31,0)</f>
        <v>0</v>
      </c>
      <c r="T16" s="185">
        <f>IF(AND(K16&gt;24,K16&lt;27),T$31,0)</f>
        <v>0</v>
      </c>
      <c r="U16" s="185">
        <f>IF(K16&gt;26,U$31,0)</f>
        <v>0</v>
      </c>
      <c r="V16" s="185">
        <f t="shared" ref="V16:V20" si="12">IF(A16&gt;0,SUM(L16:U16),0)</f>
        <v>25.32</v>
      </c>
    </row>
    <row r="17" spans="1:22">
      <c r="A17" s="50">
        <f>'A.2_Tabla Costes Nueva Contr'!A17</f>
        <v>0</v>
      </c>
      <c r="B17" s="54" t="str">
        <f>'A.2_Tabla Costes Nueva Contr'!B17</f>
        <v xml:space="preserve"> OFICIAL COND.  </v>
      </c>
      <c r="C17" s="54"/>
      <c r="D17" s="54"/>
      <c r="E17" s="179">
        <v>45200</v>
      </c>
      <c r="F17" s="180">
        <f t="shared" si="2"/>
        <v>2023</v>
      </c>
      <c r="G17" s="181">
        <f t="shared" si="3"/>
        <v>2023</v>
      </c>
      <c r="H17" s="181">
        <f t="shared" si="4"/>
        <v>0</v>
      </c>
      <c r="I17" s="181">
        <f t="shared" si="3"/>
        <v>2027</v>
      </c>
      <c r="J17" s="181">
        <f t="shared" si="5"/>
        <v>4</v>
      </c>
      <c r="K17" s="181">
        <f t="shared" si="0"/>
        <v>2</v>
      </c>
      <c r="L17" s="185">
        <f>IF(AND(K17&gt;0,K17&lt;3),L$31,0)</f>
        <v>25.32</v>
      </c>
      <c r="M17" s="185">
        <f>IF(AND(K17&gt;2,K17&lt;7),M$31,0)</f>
        <v>0</v>
      </c>
      <c r="N17" s="185">
        <f>IF(AND(K17&gt;6,K17&lt;11),N$31,0)</f>
        <v>0</v>
      </c>
      <c r="O17" s="185">
        <f>IF(AND(K17&gt;10,K17&lt;15),O$31,0)</f>
        <v>0</v>
      </c>
      <c r="P17" s="185">
        <f>IF(AND(K17&gt;14,K17&lt;19),P$31,0)</f>
        <v>0</v>
      </c>
      <c r="Q17" s="185">
        <f>IF(AND(K17&gt;18,K17&lt;21),Q$31,0)</f>
        <v>0</v>
      </c>
      <c r="R17" s="185">
        <f>IF(AND(K17&gt;20,K17&lt;23),R$31,0)</f>
        <v>0</v>
      </c>
      <c r="S17" s="185">
        <f>IF(AND(K17&gt;22,K17&lt;25),S$31,0)</f>
        <v>0</v>
      </c>
      <c r="T17" s="185">
        <f>IF(AND(K17&gt;24,K17&lt;27),T$31,0)</f>
        <v>0</v>
      </c>
      <c r="U17" s="185">
        <f>IF(K17&gt;26,U$31,0)</f>
        <v>0</v>
      </c>
      <c r="V17" s="185">
        <f t="shared" si="12"/>
        <v>0</v>
      </c>
    </row>
    <row r="18" spans="1:22">
      <c r="A18" s="50">
        <f>'A.2_Tabla Costes Nueva Contr'!A18</f>
        <v>0</v>
      </c>
      <c r="B18" s="54" t="str">
        <f>'A.2_Tabla Costes Nueva Contr'!B18</f>
        <v xml:space="preserve"> OFICIAL JARD.  </v>
      </c>
      <c r="C18" s="54"/>
      <c r="D18" s="54"/>
      <c r="E18" s="179">
        <v>45200</v>
      </c>
      <c r="F18" s="180">
        <f t="shared" si="2"/>
        <v>2023</v>
      </c>
      <c r="G18" s="181">
        <f t="shared" si="3"/>
        <v>2023</v>
      </c>
      <c r="H18" s="181">
        <f t="shared" si="4"/>
        <v>0</v>
      </c>
      <c r="I18" s="181">
        <f t="shared" si="3"/>
        <v>2027</v>
      </c>
      <c r="J18" s="181">
        <f t="shared" si="5"/>
        <v>4</v>
      </c>
      <c r="K18" s="181">
        <f t="shared" si="0"/>
        <v>2</v>
      </c>
      <c r="L18" s="185">
        <f>IF(AND(K18&gt;0,K18&lt;3),L$31,0)</f>
        <v>25.32</v>
      </c>
      <c r="M18" s="185">
        <f>IF(AND(K18&gt;2,K18&lt;7),M$31,0)</f>
        <v>0</v>
      </c>
      <c r="N18" s="185">
        <f>IF(AND(K18&gt;6,K18&lt;11),N$31,0)</f>
        <v>0</v>
      </c>
      <c r="O18" s="185">
        <f>IF(AND(K18&gt;10,K18&lt;15),O$31,0)</f>
        <v>0</v>
      </c>
      <c r="P18" s="185">
        <f>IF(AND(K18&gt;14,K18&lt;19),P$31,0)</f>
        <v>0</v>
      </c>
      <c r="Q18" s="185">
        <f>IF(AND(K18&gt;18,K18&lt;21),Q$31,0)</f>
        <v>0</v>
      </c>
      <c r="R18" s="185">
        <f>IF(AND(K18&gt;20,K18&lt;23),R$31,0)</f>
        <v>0</v>
      </c>
      <c r="S18" s="185">
        <f>IF(AND(K18&gt;22,K18&lt;25),S$31,0)</f>
        <v>0</v>
      </c>
      <c r="T18" s="185">
        <f>IF(AND(K18&gt;24,K18&lt;27),T$31,0)</f>
        <v>0</v>
      </c>
      <c r="U18" s="185">
        <f>IF(K18&gt;26,U$31,0)</f>
        <v>0</v>
      </c>
      <c r="V18" s="185">
        <f t="shared" si="12"/>
        <v>0</v>
      </c>
    </row>
    <row r="19" spans="1:22">
      <c r="A19" s="50">
        <f>'A.2_Tabla Costes Nueva Contr'!A19</f>
        <v>0</v>
      </c>
      <c r="B19" s="54" t="str">
        <f>'A.2_Tabla Costes Nueva Contr'!B19</f>
        <v xml:space="preserve"> OFICIAL COND.  </v>
      </c>
      <c r="C19" s="54"/>
      <c r="D19" s="54"/>
      <c r="E19" s="179">
        <v>45200</v>
      </c>
      <c r="F19" s="180">
        <f t="shared" ref="F19:F20" si="13">YEAR(E19)</f>
        <v>2023</v>
      </c>
      <c r="G19" s="181">
        <f t="shared" si="3"/>
        <v>2023</v>
      </c>
      <c r="H19" s="181">
        <f t="shared" ref="H19:H20" si="14">G19-F19</f>
        <v>0</v>
      </c>
      <c r="I19" s="181">
        <f t="shared" si="3"/>
        <v>2027</v>
      </c>
      <c r="J19" s="181">
        <f t="shared" ref="J19:J20" si="15">I19-F19</f>
        <v>4</v>
      </c>
      <c r="K19" s="181">
        <f t="shared" ref="K19:K20" si="16">(H19+J19)/2</f>
        <v>2</v>
      </c>
      <c r="L19" s="185">
        <f>IF(AND(K19&gt;0,K19&lt;3),L$31,0)</f>
        <v>25.32</v>
      </c>
      <c r="M19" s="185">
        <f>IF(AND(K19&gt;2,K19&lt;7),M$31,0)</f>
        <v>0</v>
      </c>
      <c r="N19" s="185">
        <f>IF(AND(K19&gt;6,K19&lt;11),N$31,0)</f>
        <v>0</v>
      </c>
      <c r="O19" s="185">
        <f>IF(AND(K19&gt;10,K19&lt;15),O$31,0)</f>
        <v>0</v>
      </c>
      <c r="P19" s="185">
        <f>IF(AND(K19&gt;14,K19&lt;19),P$31,0)</f>
        <v>0</v>
      </c>
      <c r="Q19" s="185">
        <f>IF(AND(K19&gt;18,K19&lt;21),Q$31,0)</f>
        <v>0</v>
      </c>
      <c r="R19" s="185">
        <f>IF(AND(K19&gt;20,K19&lt;23),R$31,0)</f>
        <v>0</v>
      </c>
      <c r="S19" s="185">
        <f>IF(AND(K19&gt;22,K19&lt;25),S$31,0)</f>
        <v>0</v>
      </c>
      <c r="T19" s="185">
        <f>IF(AND(K19&gt;24,K19&lt;27),T$31,0)</f>
        <v>0</v>
      </c>
      <c r="U19" s="185">
        <f>IF(K19&gt;26,U$31,0)</f>
        <v>0</v>
      </c>
      <c r="V19" s="185">
        <f t="shared" si="12"/>
        <v>0</v>
      </c>
    </row>
    <row r="20" spans="1:22">
      <c r="A20" s="50">
        <f>'A.2_Tabla Costes Nueva Contr'!A20</f>
        <v>0</v>
      </c>
      <c r="B20" s="54" t="str">
        <f>'A.2_Tabla Costes Nueva Contr'!B20</f>
        <v xml:space="preserve"> OFICIAL JARD.  </v>
      </c>
      <c r="C20" s="54"/>
      <c r="D20" s="54"/>
      <c r="E20" s="179">
        <v>45200</v>
      </c>
      <c r="F20" s="180">
        <f t="shared" si="13"/>
        <v>2023</v>
      </c>
      <c r="G20" s="181">
        <f t="shared" si="3"/>
        <v>2023</v>
      </c>
      <c r="H20" s="181">
        <f t="shared" si="14"/>
        <v>0</v>
      </c>
      <c r="I20" s="181">
        <f t="shared" si="3"/>
        <v>2027</v>
      </c>
      <c r="J20" s="181">
        <f t="shared" si="15"/>
        <v>4</v>
      </c>
      <c r="K20" s="181">
        <f t="shared" si="16"/>
        <v>2</v>
      </c>
      <c r="L20" s="185">
        <f>IF(AND(K20&gt;0,K20&lt;3),L$31,0)</f>
        <v>25.32</v>
      </c>
      <c r="M20" s="185">
        <f>IF(AND(K20&gt;2,K20&lt;7),M$31,0)</f>
        <v>0</v>
      </c>
      <c r="N20" s="185">
        <f>IF(AND(K20&gt;6,K20&lt;11),N$31,0)</f>
        <v>0</v>
      </c>
      <c r="O20" s="185">
        <f>IF(AND(K20&gt;10,K20&lt;15),O$31,0)</f>
        <v>0</v>
      </c>
      <c r="P20" s="185">
        <f>IF(AND(K20&gt;14,K20&lt;19),P$31,0)</f>
        <v>0</v>
      </c>
      <c r="Q20" s="185">
        <f>IF(AND(K20&gt;18,K20&lt;21),Q$31,0)</f>
        <v>0</v>
      </c>
      <c r="R20" s="185">
        <f>IF(AND(K20&gt;20,K20&lt;23),R$31,0)</f>
        <v>0</v>
      </c>
      <c r="S20" s="185">
        <f>IF(AND(K20&gt;22,K20&lt;25),S$31,0)</f>
        <v>0</v>
      </c>
      <c r="T20" s="185">
        <f>IF(AND(K20&gt;24,K20&lt;27),T$31,0)</f>
        <v>0</v>
      </c>
      <c r="U20" s="185">
        <f>IF(K20&gt;26,U$31,0)</f>
        <v>0</v>
      </c>
      <c r="V20" s="185">
        <f t="shared" si="12"/>
        <v>0</v>
      </c>
    </row>
    <row r="21" spans="1:2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2">
      <c r="A22" s="50">
        <f>'A.2_Tabla Costes Nueva Contr'!A22</f>
        <v>0</v>
      </c>
      <c r="B22" s="54" t="str">
        <f>'A.2_Tabla Costes Nueva Contr'!B22</f>
        <v xml:space="preserve"> ENCARGADO/A</v>
      </c>
      <c r="C22" s="54"/>
      <c r="D22" s="54"/>
      <c r="E22" s="179">
        <v>45200</v>
      </c>
      <c r="F22" s="180">
        <f t="shared" si="2"/>
        <v>2023</v>
      </c>
      <c r="G22" s="181">
        <f t="shared" si="3"/>
        <v>2023</v>
      </c>
      <c r="H22" s="181">
        <f t="shared" si="4"/>
        <v>0</v>
      </c>
      <c r="I22" s="181">
        <f t="shared" si="3"/>
        <v>2027</v>
      </c>
      <c r="J22" s="181">
        <f t="shared" si="5"/>
        <v>4</v>
      </c>
      <c r="K22" s="181">
        <f t="shared" si="0"/>
        <v>2</v>
      </c>
      <c r="L22" s="185">
        <f>IF(AND(K22&gt;0,K22&lt;3),L$31,0)</f>
        <v>25.32</v>
      </c>
      <c r="M22" s="185">
        <f>IF(AND(K22&gt;2,K22&lt;7),M$31,0)</f>
        <v>0</v>
      </c>
      <c r="N22" s="185">
        <f>IF(AND(K22&gt;6,K22&lt;11),N$31,0)</f>
        <v>0</v>
      </c>
      <c r="O22" s="185">
        <f>IF(AND(K22&gt;10,K22&lt;15),O$31,0)</f>
        <v>0</v>
      </c>
      <c r="P22" s="185">
        <f>IF(AND(K22&gt;14,K22&lt;19),P$31,0)</f>
        <v>0</v>
      </c>
      <c r="Q22" s="185">
        <f>IF(AND(K22&gt;18,K22&lt;21),Q$31,0)</f>
        <v>0</v>
      </c>
      <c r="R22" s="185">
        <f>IF(AND(K22&gt;20,K22&lt;23),R$31,0)</f>
        <v>0</v>
      </c>
      <c r="S22" s="185">
        <f>IF(AND(K22&gt;22,K22&lt;25),S$31,0)</f>
        <v>0</v>
      </c>
      <c r="T22" s="185">
        <f>IF(AND(K22&gt;24,K22&lt;27),T$31,0)</f>
        <v>0</v>
      </c>
      <c r="U22" s="185">
        <f>IF(K22&gt;26,U$31,0)</f>
        <v>0</v>
      </c>
      <c r="V22" s="185">
        <f>IF(A22&gt;0,SUM(L22:U22),0)</f>
        <v>0</v>
      </c>
    </row>
    <row r="23" spans="1:22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</row>
    <row r="24" spans="1:22">
      <c r="A24" s="50">
        <f>'A.2_Tabla Costes Nueva Contr'!A24</f>
        <v>0</v>
      </c>
      <c r="B24" s="54" t="str">
        <f>'A.2_Tabla Costes Nueva Contr'!B24</f>
        <v xml:space="preserve"> TÉCNICO/A DIPLOMADO/A  </v>
      </c>
      <c r="C24" s="54"/>
      <c r="D24" s="54"/>
      <c r="E24" s="179">
        <v>45200</v>
      </c>
      <c r="F24" s="180">
        <f t="shared" si="2"/>
        <v>2023</v>
      </c>
      <c r="G24" s="181">
        <f t="shared" si="3"/>
        <v>2023</v>
      </c>
      <c r="H24" s="181">
        <f t="shared" si="4"/>
        <v>0</v>
      </c>
      <c r="I24" s="181">
        <f t="shared" si="3"/>
        <v>2027</v>
      </c>
      <c r="J24" s="181">
        <f t="shared" si="5"/>
        <v>4</v>
      </c>
      <c r="K24" s="181">
        <f t="shared" si="0"/>
        <v>2</v>
      </c>
      <c r="L24" s="185">
        <f>IF(AND(K24&gt;0,K24&lt;3),L$33,0)</f>
        <v>34.950000000000003</v>
      </c>
      <c r="M24" s="185">
        <f>IF(AND(K24&gt;2,K24&lt;7),M$33,0)</f>
        <v>0</v>
      </c>
      <c r="N24" s="185">
        <f>IF(AND(K24&gt;6,K24&lt;11),N$33,0)</f>
        <v>0</v>
      </c>
      <c r="O24" s="185">
        <f>IF(AND(K24&gt;10,K24&lt;15),O$33,0)</f>
        <v>0</v>
      </c>
      <c r="P24" s="185">
        <f>IF(AND(K24&gt;14,K24&lt;19),P$33,0)</f>
        <v>0</v>
      </c>
      <c r="Q24" s="185">
        <f>IF(AND(K24&gt;18,K24&lt;21),Q$33,0)</f>
        <v>0</v>
      </c>
      <c r="R24" s="185">
        <f>IF(AND(K24&gt;20,K24&lt;23),R$33,0)</f>
        <v>0</v>
      </c>
      <c r="S24" s="185">
        <f>IF(AND(K24&gt;22,K24&lt;25),S$33,0)</f>
        <v>0</v>
      </c>
      <c r="T24" s="185">
        <f>IF(AND(K24&gt;24,K24&lt;27),T$33,0)</f>
        <v>0</v>
      </c>
      <c r="U24" s="185">
        <f>IF(K24&gt;26,U$33,0)</f>
        <v>0</v>
      </c>
      <c r="V24" s="185">
        <f>IF(A24&gt;0,SUM(L24:U24),0)</f>
        <v>0</v>
      </c>
    </row>
    <row r="25" spans="1:22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</row>
    <row r="26" spans="1:22">
      <c r="A26" s="50">
        <f>'A.2_Tabla Costes Nueva Contr'!A26</f>
        <v>0</v>
      </c>
      <c r="B26" s="54" t="str">
        <f>'A.2_Tabla Costes Nueva Contr'!B26</f>
        <v xml:space="preserve"> ADMINISTRATIVO/A  </v>
      </c>
      <c r="C26" s="54"/>
      <c r="D26" s="54"/>
      <c r="E26" s="179">
        <v>45200</v>
      </c>
      <c r="F26" s="180">
        <f t="shared" si="2"/>
        <v>2023</v>
      </c>
      <c r="G26" s="181">
        <f t="shared" si="3"/>
        <v>2023</v>
      </c>
      <c r="H26" s="181">
        <f t="shared" si="4"/>
        <v>0</v>
      </c>
      <c r="I26" s="181">
        <f t="shared" si="3"/>
        <v>2027</v>
      </c>
      <c r="J26" s="181">
        <f t="shared" si="5"/>
        <v>4</v>
      </c>
      <c r="K26" s="181">
        <f t="shared" si="0"/>
        <v>2</v>
      </c>
      <c r="L26" s="185">
        <f>IF(AND(K26&gt;0,K26&lt;3),L$32,0)</f>
        <v>27.42</v>
      </c>
      <c r="M26" s="185">
        <f>IF(AND(K26&gt;2,K26&lt;7),M$32,0)</f>
        <v>0</v>
      </c>
      <c r="N26" s="185">
        <f>IF(AND(K26&gt;6,K26&lt;11),N$32,0)</f>
        <v>0</v>
      </c>
      <c r="O26" s="185">
        <f>IF(AND(K26&gt;10,K26&lt;15),O$32,0)</f>
        <v>0</v>
      </c>
      <c r="P26" s="185">
        <f>IF(AND(K26&gt;14,K26&lt;19),P$32,0)</f>
        <v>0</v>
      </c>
      <c r="Q26" s="185">
        <f>IF(AND(K26&gt;18,K26&lt;21),Q$32,0)</f>
        <v>0</v>
      </c>
      <c r="R26" s="185">
        <f>IF(AND(K26&gt;20,K26&lt;23),R$32,0)</f>
        <v>0</v>
      </c>
      <c r="S26" s="185">
        <f>IF(AND(K26&gt;22,K26&lt;25),S$32,0)</f>
        <v>0</v>
      </c>
      <c r="T26" s="185">
        <f>IF(AND(K26&gt;24,K26&lt;27),T$32,0)</f>
        <v>0</v>
      </c>
      <c r="U26" s="185">
        <f>IF(K26&gt;26,U$32,0)</f>
        <v>0</v>
      </c>
      <c r="V26" s="185">
        <f>IF(A26&gt;0,SUM(L26:U26),0)</f>
        <v>0</v>
      </c>
    </row>
    <row r="27" spans="1:22" ht="6" customHeight="1">
      <c r="B27" s="52"/>
      <c r="C27" s="52"/>
      <c r="D27" s="52"/>
      <c r="E27" s="52"/>
      <c r="F27" s="52"/>
    </row>
    <row r="28" spans="1:22">
      <c r="A28" s="288"/>
      <c r="B28" s="672"/>
      <c r="C28" s="672"/>
      <c r="D28" s="672"/>
      <c r="E28" s="672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339"/>
    </row>
    <row r="29" spans="1:22">
      <c r="B29" s="50" t="s">
        <v>250</v>
      </c>
      <c r="E29" s="50" t="s">
        <v>250</v>
      </c>
    </row>
    <row r="30" spans="1:22">
      <c r="L30" s="183" t="s">
        <v>182</v>
      </c>
      <c r="M30" s="183" t="s">
        <v>184</v>
      </c>
      <c r="N30" s="183" t="s">
        <v>185</v>
      </c>
      <c r="O30" s="183" t="s">
        <v>186</v>
      </c>
      <c r="P30" s="183" t="s">
        <v>187</v>
      </c>
      <c r="Q30" s="183" t="s">
        <v>188</v>
      </c>
      <c r="R30" s="183" t="s">
        <v>189</v>
      </c>
      <c r="S30" s="183" t="s">
        <v>190</v>
      </c>
      <c r="T30" s="183" t="s">
        <v>191</v>
      </c>
      <c r="U30" s="183" t="s">
        <v>192</v>
      </c>
      <c r="V30" s="448"/>
    </row>
    <row r="31" spans="1:22">
      <c r="K31" s="51" t="s">
        <v>258</v>
      </c>
      <c r="L31" s="186">
        <f>'A.0_Tablas salariales SC'!D32</f>
        <v>25.32</v>
      </c>
      <c r="M31" s="186">
        <f>'A.0_Tablas salariales SC'!D33</f>
        <v>70.180000000000007</v>
      </c>
      <c r="N31" s="186">
        <f>'A.0_Tablas salariales SC'!D34</f>
        <v>122.83</v>
      </c>
      <c r="O31" s="186">
        <f>'A.0_Tablas salariales SC'!D35</f>
        <v>175.53</v>
      </c>
      <c r="P31" s="186">
        <f>'A.0_Tablas salariales SC'!D36</f>
        <v>219.94</v>
      </c>
      <c r="Q31" s="186">
        <f>'A.0_Tablas salariales SC'!D37</f>
        <v>264.41000000000003</v>
      </c>
      <c r="R31" s="186">
        <f>'A.0_Tablas salariales SC'!D38</f>
        <v>280.79000000000002</v>
      </c>
      <c r="S31" s="186">
        <f>'A.0_Tablas salariales SC'!D39</f>
        <v>343.31</v>
      </c>
      <c r="T31" s="186">
        <f>'A.0_Tablas salariales SC'!D40</f>
        <v>385.86</v>
      </c>
      <c r="U31" s="186">
        <f>'A.0_Tablas salariales SC'!D41</f>
        <v>421.15</v>
      </c>
      <c r="V31" s="186"/>
    </row>
    <row r="32" spans="1:22">
      <c r="K32" s="51" t="s">
        <v>259</v>
      </c>
      <c r="L32" s="186">
        <f>'A.0_Tablas salariales SC'!E32</f>
        <v>27.42</v>
      </c>
      <c r="M32" s="186">
        <f>'A.0_Tablas salariales SC'!E33</f>
        <v>75.790000000000006</v>
      </c>
      <c r="N32" s="186">
        <f>'A.0_Tablas salariales SC'!E34</f>
        <v>132.56</v>
      </c>
      <c r="O32" s="186">
        <f>'A.0_Tablas salariales SC'!E35</f>
        <v>189.36</v>
      </c>
      <c r="P32" s="186">
        <f>'A.0_Tablas salariales SC'!E36</f>
        <v>238.04</v>
      </c>
      <c r="Q32" s="186">
        <f>'A.0_Tablas salariales SC'!E37</f>
        <v>294.08999999999997</v>
      </c>
      <c r="R32" s="186">
        <f>'A.0_Tablas salariales SC'!E38</f>
        <v>302.98</v>
      </c>
      <c r="S32" s="186">
        <f>'A.0_Tablas salariales SC'!E39</f>
        <v>370.24</v>
      </c>
      <c r="T32" s="186">
        <f>'A.0_Tablas salariales SC'!E40</f>
        <v>416.19</v>
      </c>
      <c r="U32" s="186">
        <f>'A.0_Tablas salariales SC'!E41</f>
        <v>454.5</v>
      </c>
      <c r="V32" s="186"/>
    </row>
    <row r="33" spans="11:22">
      <c r="K33" s="51" t="s">
        <v>260</v>
      </c>
      <c r="L33" s="186">
        <f>'A.0_Tablas salariales SC'!F32</f>
        <v>34.950000000000003</v>
      </c>
      <c r="M33" s="186">
        <f>'A.0_Tablas salariales SC'!F33</f>
        <v>96.14</v>
      </c>
      <c r="N33" s="186">
        <f>'A.0_Tablas salariales SC'!F34</f>
        <v>168.24</v>
      </c>
      <c r="O33" s="186">
        <f>'A.0_Tablas salariales SC'!F35</f>
        <v>240.33</v>
      </c>
      <c r="P33" s="186">
        <f>'A.0_Tablas salariales SC'!F36</f>
        <v>302.73</v>
      </c>
      <c r="Q33" s="186">
        <f>'A.0_Tablas salariales SC'!F37</f>
        <v>364.3</v>
      </c>
      <c r="R33" s="186">
        <f>'A.0_Tablas salariales SC'!F38</f>
        <v>384.49</v>
      </c>
      <c r="S33" s="186">
        <f>'A.0_Tablas salariales SC'!F39</f>
        <v>442.03</v>
      </c>
      <c r="T33" s="186">
        <f>'A.0_Tablas salariales SC'!F40</f>
        <v>532.79999999999995</v>
      </c>
      <c r="U33" s="186">
        <f>'A.0_Tablas salariales SC'!F41</f>
        <v>576.83000000000004</v>
      </c>
      <c r="V33" s="186"/>
    </row>
  </sheetData>
  <mergeCells count="3">
    <mergeCell ref="A1:V1"/>
    <mergeCell ref="C4:E4"/>
    <mergeCell ref="B28:E28"/>
  </mergeCells>
  <conditionalFormatting sqref="L5:V26">
    <cfRule type="cellIs" dxfId="41" priority="1" operator="equal">
      <formula>0</formula>
    </cfRule>
  </conditionalFormatting>
  <pageMargins left="0.75" right="0.75" top="1" bottom="1" header="0" footer="0"/>
  <pageSetup paperSize="9" scale="5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A1:AI53"/>
  <sheetViews>
    <sheetView zoomScale="73" zoomScaleNormal="73" workbookViewId="0">
      <selection activeCell="N3" sqref="N3"/>
    </sheetView>
  </sheetViews>
  <sheetFormatPr baseColWidth="10" defaultColWidth="11" defaultRowHeight="13.2"/>
  <cols>
    <col min="2" max="2" width="18" customWidth="1"/>
    <col min="3" max="3" width="15" customWidth="1"/>
    <col min="4" max="4" width="23.5546875" customWidth="1"/>
    <col min="5" max="5" width="24" customWidth="1"/>
    <col min="6" max="6" width="13.33203125" customWidth="1"/>
    <col min="7" max="7" width="50.6640625" customWidth="1"/>
    <col min="8" max="8" width="21.33203125" customWidth="1"/>
    <col min="9" max="10" width="16.44140625" customWidth="1"/>
    <col min="11" max="11" width="13.109375" style="160" customWidth="1"/>
    <col min="12" max="12" width="15.33203125" style="160" customWidth="1"/>
    <col min="13" max="13" width="11.109375" style="2" customWidth="1"/>
    <col min="14" max="14" width="13.44140625" style="2" customWidth="1"/>
    <col min="15" max="16" width="13.44140625" style="160" customWidth="1"/>
    <col min="17" max="17" width="11.5546875" style="2" customWidth="1"/>
    <col min="18" max="18" width="12" style="2" customWidth="1"/>
    <col min="19" max="20" width="13.44140625" style="160" customWidth="1"/>
    <col min="21" max="21" width="12.44140625" style="2" customWidth="1"/>
    <col min="22" max="22" width="12" style="2" customWidth="1"/>
    <col min="23" max="23" width="13.33203125" style="160" customWidth="1"/>
    <col min="24" max="24" width="14.6640625" style="160" customWidth="1"/>
    <col min="25" max="25" width="11.33203125" style="2" customWidth="1"/>
    <col min="26" max="26" width="12" style="2" customWidth="1"/>
    <col min="27" max="27" width="14.88671875" style="160" customWidth="1"/>
    <col min="28" max="28" width="14.109375" style="160" customWidth="1"/>
    <col min="29" max="29" width="12.33203125" style="2" customWidth="1"/>
    <col min="30" max="32" width="14.33203125" style="2" customWidth="1"/>
    <col min="33" max="33" width="13.6640625" style="2" customWidth="1"/>
    <col min="34" max="34" width="27" style="2" customWidth="1"/>
    <col min="35" max="35" width="45" customWidth="1"/>
  </cols>
  <sheetData>
    <row r="1" spans="1:35" ht="30" customHeight="1">
      <c r="M1" s="167"/>
      <c r="N1" s="167">
        <v>45291</v>
      </c>
      <c r="Q1" s="167"/>
      <c r="R1" s="167">
        <v>45657</v>
      </c>
      <c r="U1" s="167"/>
      <c r="V1" s="167">
        <v>46022</v>
      </c>
      <c r="Y1" s="167"/>
      <c r="Z1" s="167">
        <v>46387</v>
      </c>
      <c r="AC1" s="167"/>
    </row>
    <row r="2" spans="1:35" ht="30" customHeight="1">
      <c r="A2" s="161" t="s">
        <v>262</v>
      </c>
      <c r="B2" s="161" t="s">
        <v>263</v>
      </c>
      <c r="C2" s="161" t="s">
        <v>264</v>
      </c>
      <c r="D2" s="161" t="s">
        <v>265</v>
      </c>
      <c r="E2" s="161" t="s">
        <v>266</v>
      </c>
      <c r="F2" s="161" t="s">
        <v>267</v>
      </c>
      <c r="G2" s="161" t="s">
        <v>268</v>
      </c>
      <c r="H2" s="161" t="s">
        <v>269</v>
      </c>
      <c r="I2" s="161" t="s">
        <v>270</v>
      </c>
      <c r="J2" s="161" t="s">
        <v>271</v>
      </c>
      <c r="K2" s="168" t="s">
        <v>272</v>
      </c>
      <c r="L2" s="168" t="s">
        <v>273</v>
      </c>
      <c r="M2" s="169" t="s">
        <v>274</v>
      </c>
      <c r="N2" s="161" t="s">
        <v>275</v>
      </c>
      <c r="O2" s="168" t="s">
        <v>272</v>
      </c>
      <c r="P2" s="168" t="s">
        <v>273</v>
      </c>
      <c r="Q2" s="169" t="s">
        <v>274</v>
      </c>
      <c r="R2" s="161" t="s">
        <v>276</v>
      </c>
      <c r="S2" s="168" t="s">
        <v>272</v>
      </c>
      <c r="T2" s="168" t="s">
        <v>273</v>
      </c>
      <c r="U2" s="169" t="s">
        <v>274</v>
      </c>
      <c r="V2" s="161" t="s">
        <v>277</v>
      </c>
      <c r="W2" s="168" t="s">
        <v>272</v>
      </c>
      <c r="X2" s="168" t="s">
        <v>273</v>
      </c>
      <c r="Y2" s="169" t="s">
        <v>274</v>
      </c>
      <c r="Z2" s="161" t="s">
        <v>278</v>
      </c>
      <c r="AA2" s="168" t="s">
        <v>272</v>
      </c>
      <c r="AB2" s="168" t="s">
        <v>273</v>
      </c>
      <c r="AC2" s="169" t="s">
        <v>274</v>
      </c>
      <c r="AD2" s="161" t="s">
        <v>279</v>
      </c>
      <c r="AE2" s="161" t="s">
        <v>280</v>
      </c>
      <c r="AF2" s="161" t="s">
        <v>281</v>
      </c>
      <c r="AG2" s="161" t="s">
        <v>282</v>
      </c>
      <c r="AH2" s="161" t="s">
        <v>283</v>
      </c>
      <c r="AI2" s="161" t="s">
        <v>284</v>
      </c>
    </row>
    <row r="3" spans="1:35" ht="30" customHeight="1">
      <c r="A3" s="162">
        <v>1</v>
      </c>
      <c r="B3" s="162" t="s">
        <v>285</v>
      </c>
      <c r="C3" s="163">
        <v>40110</v>
      </c>
      <c r="D3" s="164" t="s">
        <v>286</v>
      </c>
      <c r="E3" s="162" t="s">
        <v>287</v>
      </c>
      <c r="F3" s="162">
        <v>100</v>
      </c>
      <c r="G3" s="165" t="s">
        <v>288</v>
      </c>
      <c r="H3" s="166">
        <f>+'A.1_Tabla Costes Subrogación'!V5</f>
        <v>20456.832765689</v>
      </c>
      <c r="I3" s="166">
        <v>39897.42</v>
      </c>
      <c r="J3" s="166">
        <f>+I3/H3</f>
        <v>1.9503224402810542</v>
      </c>
      <c r="K3" s="170">
        <f>7.39*12</f>
        <v>88.679999999999993</v>
      </c>
      <c r="L3" s="170">
        <f>2.89*11</f>
        <v>31.790000000000003</v>
      </c>
      <c r="M3" s="171">
        <v>375</v>
      </c>
      <c r="N3" s="171">
        <f>(+N$1-C3)/365</f>
        <v>14.194520547945206</v>
      </c>
      <c r="O3" s="170">
        <f>K3*0.019+K3</f>
        <v>90.364919999999998</v>
      </c>
      <c r="P3" s="170">
        <f>2.95*11</f>
        <v>32.450000000000003</v>
      </c>
      <c r="Q3" s="171">
        <v>750</v>
      </c>
      <c r="R3" s="171">
        <f t="shared" ref="R3:R38" si="0">(+R$1-C3)/365</f>
        <v>15.197260273972603</v>
      </c>
      <c r="S3" s="170">
        <f>O3*0.019+O3</f>
        <v>92.081853479999992</v>
      </c>
      <c r="T3" s="170">
        <f>P3*0.022+P3</f>
        <v>33.163900000000005</v>
      </c>
      <c r="U3" s="171">
        <v>1125</v>
      </c>
      <c r="V3" s="171">
        <f t="shared" ref="V3:V38" si="1">(+V$1-C3)/365</f>
        <v>16.197260273972603</v>
      </c>
      <c r="W3" s="170">
        <f>S3*0.019+S3</f>
        <v>93.831408696119993</v>
      </c>
      <c r="X3" s="170">
        <f>T3*0.022+T3</f>
        <v>33.893505800000007</v>
      </c>
      <c r="Y3" s="171">
        <v>1425</v>
      </c>
      <c r="Z3" s="172">
        <f t="shared" ref="Z3:Z38" si="2">(+Z$1-C3)/365</f>
        <v>17.197260273972603</v>
      </c>
      <c r="AA3" s="173">
        <f>W3*0.019+W3</f>
        <v>95.614205461346273</v>
      </c>
      <c r="AB3" s="173">
        <f>X3*0.022+X3</f>
        <v>34.639162927600005</v>
      </c>
      <c r="AC3" s="171">
        <f>Y3*0.019+Y3</f>
        <v>1452.075</v>
      </c>
      <c r="AD3" s="166">
        <f t="shared" ref="AD3:AD34" si="3">H3+K3+L3+M3</f>
        <v>20952.302765689001</v>
      </c>
      <c r="AE3" s="166">
        <f t="shared" ref="AE3:AE34" si="4">H3+O3+P3+Q3</f>
        <v>21329.647685689</v>
      </c>
      <c r="AF3" s="166">
        <f t="shared" ref="AF3:AF34" si="5">H3+S3+T3+U3</f>
        <v>21707.078519168997</v>
      </c>
      <c r="AG3" s="166">
        <f t="shared" ref="AG3:AG34" si="6">H3+W3+X3+Y3</f>
        <v>22009.55768018512</v>
      </c>
      <c r="AH3" s="166">
        <f t="shared" ref="AH3:AH34" si="7">(+SUM(AD3:AG3)/4)*J3</f>
        <v>41931.243344344388</v>
      </c>
      <c r="AI3" s="174"/>
    </row>
    <row r="4" spans="1:35" ht="30" customHeight="1">
      <c r="A4" s="162">
        <v>2</v>
      </c>
      <c r="B4" s="162" t="s">
        <v>285</v>
      </c>
      <c r="C4" s="163">
        <v>38932</v>
      </c>
      <c r="D4" s="164" t="s">
        <v>289</v>
      </c>
      <c r="E4" s="162" t="s">
        <v>287</v>
      </c>
      <c r="F4" s="162">
        <v>100</v>
      </c>
      <c r="G4" s="165" t="s">
        <v>288</v>
      </c>
      <c r="H4" s="166">
        <f>+'A.1_Tabla Costes Subrogación'!V9</f>
        <v>24361.26707183199</v>
      </c>
      <c r="I4" s="166">
        <v>39897.42</v>
      </c>
      <c r="J4" s="166">
        <f>+I4/H4</f>
        <v>1.637739937022072</v>
      </c>
      <c r="K4" s="170">
        <f>7.39*12</f>
        <v>88.679999999999993</v>
      </c>
      <c r="L4" s="170">
        <f>2.89*11</f>
        <v>31.790000000000003</v>
      </c>
      <c r="M4" s="171">
        <v>375</v>
      </c>
      <c r="N4" s="171">
        <f t="shared" ref="N4:N40" si="8">(+N$1-C4)/365</f>
        <v>17.421917808219177</v>
      </c>
      <c r="O4" s="170">
        <f>K4*0.019+K4</f>
        <v>90.364919999999998</v>
      </c>
      <c r="P4" s="170">
        <f>2.95*11</f>
        <v>32.450000000000003</v>
      </c>
      <c r="Q4" s="171">
        <v>750</v>
      </c>
      <c r="R4" s="171">
        <f t="shared" si="0"/>
        <v>18.424657534246574</v>
      </c>
      <c r="S4" s="170">
        <f>O4*0.019+O4</f>
        <v>92.081853479999992</v>
      </c>
      <c r="T4" s="170">
        <f>P4*0.022+P4</f>
        <v>33.163900000000005</v>
      </c>
      <c r="U4" s="171">
        <v>1125</v>
      </c>
      <c r="V4" s="171">
        <f t="shared" si="1"/>
        <v>19.424657534246574</v>
      </c>
      <c r="W4" s="170">
        <f>S4*0.019+S4</f>
        <v>93.831408696119993</v>
      </c>
      <c r="X4" s="170">
        <f>T4*0.022+T4</f>
        <v>33.893505800000007</v>
      </c>
      <c r="Y4" s="171">
        <v>1425</v>
      </c>
      <c r="Z4" s="172">
        <f t="shared" si="2"/>
        <v>20.424657534246574</v>
      </c>
      <c r="AA4" s="173">
        <f>W4*0.019+W4</f>
        <v>95.614205461346273</v>
      </c>
      <c r="AB4" s="173">
        <f>X4*0.022+X4</f>
        <v>34.639162927600005</v>
      </c>
      <c r="AC4" s="171">
        <f>Y4*0.019+Y4</f>
        <v>1452.075</v>
      </c>
      <c r="AD4" s="166">
        <f t="shared" si="3"/>
        <v>24856.737071831991</v>
      </c>
      <c r="AE4" s="166">
        <f t="shared" si="4"/>
        <v>25234.08199183199</v>
      </c>
      <c r="AF4" s="166">
        <f t="shared" si="5"/>
        <v>25611.512825311987</v>
      </c>
      <c r="AG4" s="166">
        <f t="shared" si="6"/>
        <v>25913.99198632811</v>
      </c>
      <c r="AH4" s="166">
        <f t="shared" si="7"/>
        <v>41605.277965988746</v>
      </c>
      <c r="AI4" s="174"/>
    </row>
    <row r="5" spans="1:35" ht="30" customHeight="1">
      <c r="A5" s="162">
        <v>3</v>
      </c>
      <c r="B5" s="162" t="s">
        <v>285</v>
      </c>
      <c r="C5" s="163">
        <v>38749</v>
      </c>
      <c r="D5" s="164" t="s">
        <v>289</v>
      </c>
      <c r="E5" s="162" t="s">
        <v>287</v>
      </c>
      <c r="F5" s="162">
        <v>100</v>
      </c>
      <c r="G5" s="165" t="s">
        <v>288</v>
      </c>
      <c r="H5" s="166">
        <f>+'A.1_Tabla Costes Subrogación'!V10</f>
        <v>28008.714486198391</v>
      </c>
      <c r="I5" s="166">
        <v>29196.86</v>
      </c>
      <c r="J5" s="166">
        <f t="shared" ref="J5:J52" si="9">+I5/H5</f>
        <v>1.0424205657273946</v>
      </c>
      <c r="K5" s="170">
        <f>7.39*12</f>
        <v>88.679999999999993</v>
      </c>
      <c r="L5" s="170">
        <f t="shared" ref="L5:L52" si="10">2.89*11</f>
        <v>31.790000000000003</v>
      </c>
      <c r="M5" s="171">
        <v>375</v>
      </c>
      <c r="N5" s="171">
        <f t="shared" si="8"/>
        <v>17.923287671232877</v>
      </c>
      <c r="O5" s="170">
        <f t="shared" ref="O5:O40" si="11">K5*0.019+K5</f>
        <v>90.364919999999998</v>
      </c>
      <c r="P5" s="170">
        <f t="shared" ref="P5:P52" si="12">2.95*11</f>
        <v>32.450000000000003</v>
      </c>
      <c r="Q5" s="171">
        <v>750</v>
      </c>
      <c r="R5" s="171">
        <f t="shared" si="0"/>
        <v>18.926027397260274</v>
      </c>
      <c r="S5" s="170">
        <f t="shared" ref="S5:S49" si="13">O5*0.019+O5</f>
        <v>92.081853479999992</v>
      </c>
      <c r="T5" s="170">
        <f t="shared" ref="T5:T52" si="14">P5*0.022+P5</f>
        <v>33.163900000000005</v>
      </c>
      <c r="U5" s="171">
        <v>1125</v>
      </c>
      <c r="V5" s="171">
        <f t="shared" si="1"/>
        <v>19.926027397260274</v>
      </c>
      <c r="W5" s="170">
        <f t="shared" ref="W5:W52" si="15">S5*0.019+S5</f>
        <v>93.831408696119993</v>
      </c>
      <c r="X5" s="170">
        <f t="shared" ref="X5:X52" si="16">T5*0.022+T5</f>
        <v>33.893505800000007</v>
      </c>
      <c r="Y5" s="171">
        <v>1425</v>
      </c>
      <c r="Z5" s="172">
        <f t="shared" si="2"/>
        <v>20.926027397260274</v>
      </c>
      <c r="AA5" s="173">
        <f t="shared" ref="AA5:AA52" si="17">W5*0.019+W5</f>
        <v>95.614205461346273</v>
      </c>
      <c r="AB5" s="173">
        <f t="shared" ref="AB5:AB52" si="18">X5*0.022+X5</f>
        <v>34.639162927600005</v>
      </c>
      <c r="AC5" s="171">
        <f t="shared" ref="AC5:AC52" si="19">Y5*0.019+Y5</f>
        <v>1452.075</v>
      </c>
      <c r="AD5" s="166">
        <f t="shared" si="3"/>
        <v>28504.184486198392</v>
      </c>
      <c r="AE5" s="166">
        <f t="shared" si="4"/>
        <v>28881.529406198391</v>
      </c>
      <c r="AF5" s="166">
        <f t="shared" si="5"/>
        <v>29258.960239678388</v>
      </c>
      <c r="AG5" s="166">
        <f t="shared" si="6"/>
        <v>29561.439400694511</v>
      </c>
      <c r="AH5" s="166">
        <f t="shared" si="7"/>
        <v>30283.910652452905</v>
      </c>
      <c r="AI5" s="174"/>
    </row>
    <row r="6" spans="1:35" ht="30" customHeight="1">
      <c r="A6" s="162">
        <v>4</v>
      </c>
      <c r="B6" s="162" t="s">
        <v>285</v>
      </c>
      <c r="C6" s="163">
        <v>38749</v>
      </c>
      <c r="D6" s="164" t="s">
        <v>289</v>
      </c>
      <c r="E6" s="162" t="s">
        <v>287</v>
      </c>
      <c r="F6" s="162">
        <v>100</v>
      </c>
      <c r="G6" s="165" t="s">
        <v>288</v>
      </c>
      <c r="H6" s="166">
        <f>+'A.1_Tabla Costes Subrogación'!V11</f>
        <v>24361.26707183199</v>
      </c>
      <c r="I6" s="166">
        <v>30437.01</v>
      </c>
      <c r="J6" s="166">
        <f t="shared" si="9"/>
        <v>1.2494017618317219</v>
      </c>
      <c r="K6" s="170">
        <f>7.39*12</f>
        <v>88.679999999999993</v>
      </c>
      <c r="L6" s="170">
        <f t="shared" si="10"/>
        <v>31.790000000000003</v>
      </c>
      <c r="M6" s="171">
        <v>375</v>
      </c>
      <c r="N6" s="171">
        <f t="shared" si="8"/>
        <v>17.923287671232877</v>
      </c>
      <c r="O6" s="170">
        <f t="shared" si="11"/>
        <v>90.364919999999998</v>
      </c>
      <c r="P6" s="170">
        <f t="shared" si="12"/>
        <v>32.450000000000003</v>
      </c>
      <c r="Q6" s="171">
        <v>750</v>
      </c>
      <c r="R6" s="171">
        <f t="shared" si="0"/>
        <v>18.926027397260274</v>
      </c>
      <c r="S6" s="170">
        <f t="shared" si="13"/>
        <v>92.081853479999992</v>
      </c>
      <c r="T6" s="170">
        <f t="shared" si="14"/>
        <v>33.163900000000005</v>
      </c>
      <c r="U6" s="171">
        <v>1125</v>
      </c>
      <c r="V6" s="171">
        <f t="shared" si="1"/>
        <v>19.926027397260274</v>
      </c>
      <c r="W6" s="170">
        <f t="shared" si="15"/>
        <v>93.831408696119993</v>
      </c>
      <c r="X6" s="170">
        <f t="shared" si="16"/>
        <v>33.893505800000007</v>
      </c>
      <c r="Y6" s="171">
        <v>1425</v>
      </c>
      <c r="Z6" s="172">
        <f t="shared" si="2"/>
        <v>20.926027397260274</v>
      </c>
      <c r="AA6" s="173">
        <f t="shared" si="17"/>
        <v>95.614205461346273</v>
      </c>
      <c r="AB6" s="173">
        <f t="shared" si="18"/>
        <v>34.639162927600005</v>
      </c>
      <c r="AC6" s="171">
        <f t="shared" si="19"/>
        <v>1452.075</v>
      </c>
      <c r="AD6" s="166">
        <f t="shared" si="3"/>
        <v>24856.737071831991</v>
      </c>
      <c r="AE6" s="166">
        <f t="shared" si="4"/>
        <v>25234.08199183199</v>
      </c>
      <c r="AF6" s="166">
        <f t="shared" si="5"/>
        <v>25611.512825311987</v>
      </c>
      <c r="AG6" s="166">
        <f t="shared" si="6"/>
        <v>25913.99198632811</v>
      </c>
      <c r="AH6" s="166">
        <f t="shared" si="7"/>
        <v>31739.903520166947</v>
      </c>
      <c r="AI6" s="174"/>
    </row>
    <row r="7" spans="1:35" ht="30" customHeight="1">
      <c r="A7" s="162">
        <v>5</v>
      </c>
      <c r="B7" s="162" t="s">
        <v>285</v>
      </c>
      <c r="C7" s="163">
        <v>38932</v>
      </c>
      <c r="D7" s="164" t="s">
        <v>289</v>
      </c>
      <c r="E7" s="162" t="s">
        <v>287</v>
      </c>
      <c r="F7" s="162">
        <v>100</v>
      </c>
      <c r="G7" s="165" t="s">
        <v>288</v>
      </c>
      <c r="H7" s="166">
        <f>+'A.1_Tabla Costes Subrogación'!V12</f>
        <v>24361.26707183199</v>
      </c>
      <c r="I7" s="166">
        <v>29196.86</v>
      </c>
      <c r="J7" s="166">
        <f t="shared" si="9"/>
        <v>1.1984951322076027</v>
      </c>
      <c r="K7" s="170">
        <f>7.39*12</f>
        <v>88.679999999999993</v>
      </c>
      <c r="L7" s="170">
        <f t="shared" si="10"/>
        <v>31.790000000000003</v>
      </c>
      <c r="M7" s="171">
        <v>375</v>
      </c>
      <c r="N7" s="171">
        <f t="shared" si="8"/>
        <v>17.421917808219177</v>
      </c>
      <c r="O7" s="170">
        <f t="shared" si="11"/>
        <v>90.364919999999998</v>
      </c>
      <c r="P7" s="170">
        <f t="shared" si="12"/>
        <v>32.450000000000003</v>
      </c>
      <c r="Q7" s="171">
        <v>750</v>
      </c>
      <c r="R7" s="171">
        <f t="shared" si="0"/>
        <v>18.424657534246574</v>
      </c>
      <c r="S7" s="170">
        <f t="shared" si="13"/>
        <v>92.081853479999992</v>
      </c>
      <c r="T7" s="170">
        <f t="shared" si="14"/>
        <v>33.163900000000005</v>
      </c>
      <c r="U7" s="171">
        <v>1125</v>
      </c>
      <c r="V7" s="171">
        <f t="shared" si="1"/>
        <v>19.424657534246574</v>
      </c>
      <c r="W7" s="170">
        <f t="shared" si="15"/>
        <v>93.831408696119993</v>
      </c>
      <c r="X7" s="170">
        <f t="shared" si="16"/>
        <v>33.893505800000007</v>
      </c>
      <c r="Y7" s="171">
        <v>1425</v>
      </c>
      <c r="Z7" s="172">
        <f t="shared" si="2"/>
        <v>20.424657534246574</v>
      </c>
      <c r="AA7" s="173">
        <f t="shared" si="17"/>
        <v>95.614205461346273</v>
      </c>
      <c r="AB7" s="173">
        <f t="shared" si="18"/>
        <v>34.639162927600005</v>
      </c>
      <c r="AC7" s="171">
        <f t="shared" si="19"/>
        <v>1452.075</v>
      </c>
      <c r="AD7" s="166">
        <f t="shared" si="3"/>
        <v>24856.737071831991</v>
      </c>
      <c r="AE7" s="166">
        <f t="shared" si="4"/>
        <v>25234.08199183199</v>
      </c>
      <c r="AF7" s="166">
        <f t="shared" si="5"/>
        <v>25611.512825311987</v>
      </c>
      <c r="AG7" s="166">
        <f t="shared" si="6"/>
        <v>25913.99198632811</v>
      </c>
      <c r="AH7" s="166">
        <f t="shared" si="7"/>
        <v>30446.667379345785</v>
      </c>
      <c r="AI7" s="162" t="s">
        <v>290</v>
      </c>
    </row>
    <row r="8" spans="1:35" ht="30" customHeight="1">
      <c r="A8" s="162">
        <v>6</v>
      </c>
      <c r="B8" s="162" t="s">
        <v>285</v>
      </c>
      <c r="C8" s="163">
        <v>38749</v>
      </c>
      <c r="D8" s="164" t="s">
        <v>289</v>
      </c>
      <c r="E8" s="162" t="s">
        <v>287</v>
      </c>
      <c r="F8" s="162">
        <v>100</v>
      </c>
      <c r="G8" s="165" t="s">
        <v>288</v>
      </c>
      <c r="H8" s="166">
        <f>+'A.1_Tabla Costes Subrogación'!V13</f>
        <v>22237.567071831993</v>
      </c>
      <c r="I8" s="166">
        <v>27374.19</v>
      </c>
      <c r="J8" s="166">
        <f t="shared" si="9"/>
        <v>1.2309885299761274</v>
      </c>
      <c r="K8" s="170">
        <f>7*12</f>
        <v>84</v>
      </c>
      <c r="L8" s="170">
        <f t="shared" si="10"/>
        <v>31.790000000000003</v>
      </c>
      <c r="M8" s="171">
        <v>375</v>
      </c>
      <c r="N8" s="171">
        <f t="shared" si="8"/>
        <v>17.923287671232877</v>
      </c>
      <c r="O8" s="170">
        <f t="shared" si="11"/>
        <v>85.596000000000004</v>
      </c>
      <c r="P8" s="170">
        <f t="shared" si="12"/>
        <v>32.450000000000003</v>
      </c>
      <c r="Q8" s="171">
        <v>750</v>
      </c>
      <c r="R8" s="171">
        <f t="shared" si="0"/>
        <v>18.926027397260274</v>
      </c>
      <c r="S8" s="170">
        <f t="shared" si="13"/>
        <v>87.222324</v>
      </c>
      <c r="T8" s="170">
        <f t="shared" si="14"/>
        <v>33.163900000000005</v>
      </c>
      <c r="U8" s="171">
        <v>1125</v>
      </c>
      <c r="V8" s="171">
        <f t="shared" si="1"/>
        <v>19.926027397260274</v>
      </c>
      <c r="W8" s="170">
        <f t="shared" si="15"/>
        <v>88.879548155999998</v>
      </c>
      <c r="X8" s="170">
        <f t="shared" si="16"/>
        <v>33.893505800000007</v>
      </c>
      <c r="Y8" s="171">
        <v>1425</v>
      </c>
      <c r="Z8" s="172">
        <f t="shared" si="2"/>
        <v>20.926027397260274</v>
      </c>
      <c r="AA8" s="173">
        <f t="shared" si="17"/>
        <v>90.568259570964003</v>
      </c>
      <c r="AB8" s="173">
        <f t="shared" si="18"/>
        <v>34.639162927600005</v>
      </c>
      <c r="AC8" s="171">
        <f t="shared" si="19"/>
        <v>1452.075</v>
      </c>
      <c r="AD8" s="166">
        <f t="shared" si="3"/>
        <v>22728.357071831993</v>
      </c>
      <c r="AE8" s="166">
        <f t="shared" si="4"/>
        <v>23105.613071831995</v>
      </c>
      <c r="AF8" s="166">
        <f t="shared" si="5"/>
        <v>23482.953295831991</v>
      </c>
      <c r="AG8" s="166">
        <f t="shared" si="6"/>
        <v>23785.340125787992</v>
      </c>
      <c r="AH8" s="166">
        <f t="shared" si="7"/>
        <v>28651.954640919717</v>
      </c>
      <c r="AI8" s="174"/>
    </row>
    <row r="9" spans="1:35" ht="30" customHeight="1">
      <c r="A9" s="162">
        <v>7</v>
      </c>
      <c r="B9" s="162" t="s">
        <v>285</v>
      </c>
      <c r="C9" s="163">
        <v>38749</v>
      </c>
      <c r="D9" s="164" t="s">
        <v>289</v>
      </c>
      <c r="E9" s="162" t="s">
        <v>287</v>
      </c>
      <c r="F9" s="162">
        <v>100</v>
      </c>
      <c r="G9" s="165" t="s">
        <v>288</v>
      </c>
      <c r="H9" s="166">
        <f>+'A.1_Tabla Costes Subrogación'!V14</f>
        <v>24361.26707183199</v>
      </c>
      <c r="I9" s="166">
        <v>35588.75</v>
      </c>
      <c r="J9" s="166">
        <f t="shared" si="9"/>
        <v>1.4608743418420105</v>
      </c>
      <c r="K9" s="170">
        <f>5.82*12</f>
        <v>69.84</v>
      </c>
      <c r="L9" s="170">
        <f t="shared" si="10"/>
        <v>31.790000000000003</v>
      </c>
      <c r="M9" s="171">
        <v>375</v>
      </c>
      <c r="N9" s="171">
        <f t="shared" si="8"/>
        <v>17.923287671232877</v>
      </c>
      <c r="O9" s="170">
        <f t="shared" si="11"/>
        <v>71.166960000000003</v>
      </c>
      <c r="P9" s="170">
        <f t="shared" si="12"/>
        <v>32.450000000000003</v>
      </c>
      <c r="Q9" s="171">
        <v>750</v>
      </c>
      <c r="R9" s="171">
        <f t="shared" si="0"/>
        <v>18.926027397260274</v>
      </c>
      <c r="S9" s="170">
        <f t="shared" si="13"/>
        <v>72.519132240000005</v>
      </c>
      <c r="T9" s="170">
        <f t="shared" si="14"/>
        <v>33.163900000000005</v>
      </c>
      <c r="U9" s="171">
        <v>1125</v>
      </c>
      <c r="V9" s="171">
        <f t="shared" si="1"/>
        <v>19.926027397260274</v>
      </c>
      <c r="W9" s="170">
        <f t="shared" si="15"/>
        <v>73.896995752560002</v>
      </c>
      <c r="X9" s="170">
        <f t="shared" si="16"/>
        <v>33.893505800000007</v>
      </c>
      <c r="Y9" s="171">
        <v>1425</v>
      </c>
      <c r="Z9" s="172">
        <f t="shared" si="2"/>
        <v>20.926027397260274</v>
      </c>
      <c r="AA9" s="173">
        <f t="shared" si="17"/>
        <v>75.301038671858649</v>
      </c>
      <c r="AB9" s="173">
        <f t="shared" si="18"/>
        <v>34.639162927600005</v>
      </c>
      <c r="AC9" s="171">
        <f t="shared" si="19"/>
        <v>1452.075</v>
      </c>
      <c r="AD9" s="166">
        <f t="shared" si="3"/>
        <v>24837.897071831991</v>
      </c>
      <c r="AE9" s="166">
        <f t="shared" si="4"/>
        <v>25214.884031831989</v>
      </c>
      <c r="AF9" s="166">
        <f t="shared" si="5"/>
        <v>25591.950104071988</v>
      </c>
      <c r="AG9" s="166">
        <f t="shared" si="6"/>
        <v>25894.057573384547</v>
      </c>
      <c r="AH9" s="166">
        <f t="shared" si="7"/>
        <v>37083.852808013587</v>
      </c>
      <c r="AI9" s="174"/>
    </row>
    <row r="10" spans="1:35" ht="30" customHeight="1">
      <c r="A10" s="162">
        <v>8</v>
      </c>
      <c r="B10" s="162" t="s">
        <v>285</v>
      </c>
      <c r="C10" s="163">
        <v>38789</v>
      </c>
      <c r="D10" s="164" t="s">
        <v>289</v>
      </c>
      <c r="E10" s="162" t="s">
        <v>287</v>
      </c>
      <c r="F10" s="162">
        <v>100</v>
      </c>
      <c r="G10" s="165" t="s">
        <v>288</v>
      </c>
      <c r="H10" s="166">
        <f>+'A.1_Tabla Costes Subrogación'!V15</f>
        <v>23694.217071831994</v>
      </c>
      <c r="I10" s="166">
        <v>29387.1</v>
      </c>
      <c r="J10" s="166">
        <f t="shared" si="9"/>
        <v>1.2402646565999338</v>
      </c>
      <c r="K10" s="170">
        <f>5.82*12</f>
        <v>69.84</v>
      </c>
      <c r="L10" s="170">
        <f t="shared" si="10"/>
        <v>31.790000000000003</v>
      </c>
      <c r="M10" s="171">
        <v>375</v>
      </c>
      <c r="N10" s="171">
        <f t="shared" si="8"/>
        <v>17.813698630136987</v>
      </c>
      <c r="O10" s="170">
        <f t="shared" si="11"/>
        <v>71.166960000000003</v>
      </c>
      <c r="P10" s="170">
        <f t="shared" si="12"/>
        <v>32.450000000000003</v>
      </c>
      <c r="Q10" s="171">
        <v>750</v>
      </c>
      <c r="R10" s="171">
        <f t="shared" si="0"/>
        <v>18.816438356164383</v>
      </c>
      <c r="S10" s="170">
        <f t="shared" si="13"/>
        <v>72.519132240000005</v>
      </c>
      <c r="T10" s="170">
        <f t="shared" si="14"/>
        <v>33.163900000000005</v>
      </c>
      <c r="U10" s="171">
        <v>1125</v>
      </c>
      <c r="V10" s="171">
        <f t="shared" si="1"/>
        <v>19.816438356164383</v>
      </c>
      <c r="W10" s="170">
        <f t="shared" si="15"/>
        <v>73.896995752560002</v>
      </c>
      <c r="X10" s="170">
        <f t="shared" si="16"/>
        <v>33.893505800000007</v>
      </c>
      <c r="Y10" s="171">
        <v>1425</v>
      </c>
      <c r="Z10" s="172">
        <f t="shared" si="2"/>
        <v>20.816438356164383</v>
      </c>
      <c r="AA10" s="173">
        <f t="shared" si="17"/>
        <v>75.301038671858649</v>
      </c>
      <c r="AB10" s="173">
        <f t="shared" si="18"/>
        <v>34.639162927600005</v>
      </c>
      <c r="AC10" s="171">
        <f t="shared" si="19"/>
        <v>1452.075</v>
      </c>
      <c r="AD10" s="166">
        <f t="shared" si="3"/>
        <v>24170.847071831995</v>
      </c>
      <c r="AE10" s="166">
        <f t="shared" si="4"/>
        <v>24547.834031831993</v>
      </c>
      <c r="AF10" s="166">
        <f t="shared" si="5"/>
        <v>24924.900104071992</v>
      </c>
      <c r="AG10" s="166">
        <f t="shared" si="6"/>
        <v>25227.007573384552</v>
      </c>
      <c r="AH10" s="166">
        <f t="shared" si="7"/>
        <v>30656.424210612426</v>
      </c>
      <c r="AI10" s="174"/>
    </row>
    <row r="11" spans="1:35" ht="30" customHeight="1">
      <c r="A11" s="162">
        <v>9</v>
      </c>
      <c r="B11" s="162" t="s">
        <v>285</v>
      </c>
      <c r="C11" s="163">
        <v>39038</v>
      </c>
      <c r="D11" s="164" t="s">
        <v>289</v>
      </c>
      <c r="E11" s="162" t="s">
        <v>287</v>
      </c>
      <c r="F11" s="162">
        <v>189</v>
      </c>
      <c r="G11" s="165" t="s">
        <v>288</v>
      </c>
      <c r="H11" s="166">
        <f>+'A.1_Tabla Costes Subrogación'!V16</f>
        <v>24361.26707183199</v>
      </c>
      <c r="I11" s="166">
        <v>27486.13</v>
      </c>
      <c r="J11" s="166">
        <f t="shared" si="9"/>
        <v>1.1282717733422483</v>
      </c>
      <c r="K11" s="170">
        <f>5.82*12</f>
        <v>69.84</v>
      </c>
      <c r="L11" s="170">
        <f t="shared" si="10"/>
        <v>31.790000000000003</v>
      </c>
      <c r="M11" s="171">
        <v>375</v>
      </c>
      <c r="N11" s="171">
        <f t="shared" si="8"/>
        <v>17.13150684931507</v>
      </c>
      <c r="O11" s="170">
        <f t="shared" si="11"/>
        <v>71.166960000000003</v>
      </c>
      <c r="P11" s="170">
        <f t="shared" si="12"/>
        <v>32.450000000000003</v>
      </c>
      <c r="Q11" s="171">
        <v>750</v>
      </c>
      <c r="R11" s="171">
        <f t="shared" si="0"/>
        <v>18.134246575342466</v>
      </c>
      <c r="S11" s="170">
        <f t="shared" si="13"/>
        <v>72.519132240000005</v>
      </c>
      <c r="T11" s="170">
        <f t="shared" si="14"/>
        <v>33.163900000000005</v>
      </c>
      <c r="U11" s="171">
        <v>1125</v>
      </c>
      <c r="V11" s="171">
        <f t="shared" si="1"/>
        <v>19.134246575342466</v>
      </c>
      <c r="W11" s="170">
        <f t="shared" si="15"/>
        <v>73.896995752560002</v>
      </c>
      <c r="X11" s="170">
        <f t="shared" si="16"/>
        <v>33.893505800000007</v>
      </c>
      <c r="Y11" s="171">
        <v>1425</v>
      </c>
      <c r="Z11" s="172">
        <f t="shared" si="2"/>
        <v>20.134246575342466</v>
      </c>
      <c r="AA11" s="173">
        <f t="shared" si="17"/>
        <v>75.301038671858649</v>
      </c>
      <c r="AB11" s="173">
        <f t="shared" si="18"/>
        <v>34.639162927600005</v>
      </c>
      <c r="AC11" s="171">
        <f t="shared" si="19"/>
        <v>1452.075</v>
      </c>
      <c r="AD11" s="166">
        <f t="shared" si="3"/>
        <v>24837.897071831991</v>
      </c>
      <c r="AE11" s="166">
        <f t="shared" si="4"/>
        <v>25214.884031831989</v>
      </c>
      <c r="AF11" s="166">
        <f t="shared" si="5"/>
        <v>25591.950104071988</v>
      </c>
      <c r="AG11" s="166">
        <f t="shared" si="6"/>
        <v>25894.057573384547</v>
      </c>
      <c r="AH11" s="166">
        <f t="shared" si="7"/>
        <v>28640.837320274706</v>
      </c>
      <c r="AI11" s="174"/>
    </row>
    <row r="12" spans="1:35" ht="30" customHeight="1">
      <c r="A12" s="162">
        <v>10</v>
      </c>
      <c r="B12" s="162" t="s">
        <v>285</v>
      </c>
      <c r="C12" s="163">
        <v>38932</v>
      </c>
      <c r="D12" s="164" t="s">
        <v>289</v>
      </c>
      <c r="E12" s="162" t="s">
        <v>287</v>
      </c>
      <c r="F12" s="162">
        <v>100</v>
      </c>
      <c r="G12" s="165" t="s">
        <v>288</v>
      </c>
      <c r="H12" s="166">
        <f>+'A.1_Tabla Costes Subrogación'!V17</f>
        <v>23694.217071831994</v>
      </c>
      <c r="I12" s="166">
        <v>28726.28</v>
      </c>
      <c r="J12" s="166">
        <f t="shared" si="9"/>
        <v>1.2123751509877989</v>
      </c>
      <c r="K12" s="170">
        <f>5.82*12</f>
        <v>69.84</v>
      </c>
      <c r="L12" s="170">
        <f t="shared" si="10"/>
        <v>31.790000000000003</v>
      </c>
      <c r="M12" s="171">
        <v>375</v>
      </c>
      <c r="N12" s="171">
        <f t="shared" si="8"/>
        <v>17.421917808219177</v>
      </c>
      <c r="O12" s="170">
        <f t="shared" si="11"/>
        <v>71.166960000000003</v>
      </c>
      <c r="P12" s="170">
        <f t="shared" si="12"/>
        <v>32.450000000000003</v>
      </c>
      <c r="Q12" s="171">
        <v>750</v>
      </c>
      <c r="R12" s="171">
        <f t="shared" si="0"/>
        <v>18.424657534246574</v>
      </c>
      <c r="S12" s="170">
        <f t="shared" si="13"/>
        <v>72.519132240000005</v>
      </c>
      <c r="T12" s="170">
        <f t="shared" si="14"/>
        <v>33.163900000000005</v>
      </c>
      <c r="U12" s="171">
        <v>1125</v>
      </c>
      <c r="V12" s="171">
        <f t="shared" si="1"/>
        <v>19.424657534246574</v>
      </c>
      <c r="W12" s="170">
        <f t="shared" si="15"/>
        <v>73.896995752560002</v>
      </c>
      <c r="X12" s="170">
        <f t="shared" si="16"/>
        <v>33.893505800000007</v>
      </c>
      <c r="Y12" s="171">
        <v>1425</v>
      </c>
      <c r="Z12" s="172">
        <f t="shared" si="2"/>
        <v>20.424657534246574</v>
      </c>
      <c r="AA12" s="173">
        <f t="shared" si="17"/>
        <v>75.301038671858649</v>
      </c>
      <c r="AB12" s="173">
        <f t="shared" si="18"/>
        <v>34.639162927600005</v>
      </c>
      <c r="AC12" s="171">
        <f t="shared" si="19"/>
        <v>1452.075</v>
      </c>
      <c r="AD12" s="166">
        <f t="shared" si="3"/>
        <v>24170.847071831995</v>
      </c>
      <c r="AE12" s="166">
        <f t="shared" si="4"/>
        <v>24547.834031831993</v>
      </c>
      <c r="AF12" s="166">
        <f t="shared" si="5"/>
        <v>24924.900104071992</v>
      </c>
      <c r="AG12" s="166">
        <f t="shared" si="6"/>
        <v>25227.007573384552</v>
      </c>
      <c r="AH12" s="166">
        <f t="shared" si="7"/>
        <v>29967.061250440893</v>
      </c>
      <c r="AI12" s="174"/>
    </row>
    <row r="13" spans="1:35" ht="30" customHeight="1">
      <c r="A13" s="162">
        <v>11</v>
      </c>
      <c r="B13" s="162" t="s">
        <v>285</v>
      </c>
      <c r="C13" s="163">
        <v>39650</v>
      </c>
      <c r="D13" s="164" t="s">
        <v>289</v>
      </c>
      <c r="E13" s="162" t="s">
        <v>287</v>
      </c>
      <c r="F13" s="162">
        <v>100</v>
      </c>
      <c r="G13" s="165" t="s">
        <v>288</v>
      </c>
      <c r="H13" s="166">
        <f>+'A.1_Tabla Costes Subrogación'!V18</f>
        <v>23694.217071831994</v>
      </c>
      <c r="I13" s="166">
        <v>27486.13</v>
      </c>
      <c r="J13" s="166">
        <f t="shared" si="9"/>
        <v>1.1600353755801405</v>
      </c>
      <c r="K13" s="170">
        <f>4.62*12</f>
        <v>55.44</v>
      </c>
      <c r="L13" s="170">
        <f t="shared" si="10"/>
        <v>31.790000000000003</v>
      </c>
      <c r="M13" s="171">
        <v>375</v>
      </c>
      <c r="N13" s="171">
        <f t="shared" si="8"/>
        <v>15.454794520547946</v>
      </c>
      <c r="O13" s="170">
        <f t="shared" si="11"/>
        <v>56.493359999999996</v>
      </c>
      <c r="P13" s="170">
        <f t="shared" si="12"/>
        <v>32.450000000000003</v>
      </c>
      <c r="Q13" s="171">
        <v>750</v>
      </c>
      <c r="R13" s="171">
        <f t="shared" si="0"/>
        <v>16.457534246575342</v>
      </c>
      <c r="S13" s="170">
        <f t="shared" si="13"/>
        <v>57.566733839999998</v>
      </c>
      <c r="T13" s="170">
        <f t="shared" si="14"/>
        <v>33.163900000000005</v>
      </c>
      <c r="U13" s="171">
        <v>1125</v>
      </c>
      <c r="V13" s="171">
        <f t="shared" si="1"/>
        <v>17.457534246575342</v>
      </c>
      <c r="W13" s="170">
        <f t="shared" si="15"/>
        <v>58.660501782959997</v>
      </c>
      <c r="X13" s="170">
        <f t="shared" si="16"/>
        <v>33.893505800000007</v>
      </c>
      <c r="Y13" s="171">
        <v>1425</v>
      </c>
      <c r="Z13" s="172">
        <f t="shared" si="2"/>
        <v>18.457534246575342</v>
      </c>
      <c r="AA13" s="173">
        <f t="shared" si="17"/>
        <v>59.77505131683624</v>
      </c>
      <c r="AB13" s="173">
        <f t="shared" si="18"/>
        <v>34.639162927600005</v>
      </c>
      <c r="AC13" s="171">
        <f t="shared" si="19"/>
        <v>1452.075</v>
      </c>
      <c r="AD13" s="166">
        <f t="shared" si="3"/>
        <v>24156.447071831994</v>
      </c>
      <c r="AE13" s="166">
        <f t="shared" si="4"/>
        <v>24533.160431831995</v>
      </c>
      <c r="AF13" s="166">
        <f t="shared" si="5"/>
        <v>24909.947705671995</v>
      </c>
      <c r="AG13" s="166">
        <f t="shared" si="6"/>
        <v>25211.771079414953</v>
      </c>
      <c r="AH13" s="166">
        <f t="shared" si="7"/>
        <v>28656.158500735753</v>
      </c>
      <c r="AI13" s="174"/>
    </row>
    <row r="14" spans="1:35" ht="30" customHeight="1">
      <c r="A14" s="162">
        <v>12</v>
      </c>
      <c r="B14" s="162" t="s">
        <v>285</v>
      </c>
      <c r="C14" s="163">
        <v>38749</v>
      </c>
      <c r="D14" s="164" t="s">
        <v>289</v>
      </c>
      <c r="E14" s="162" t="s">
        <v>287</v>
      </c>
      <c r="F14" s="162">
        <v>189</v>
      </c>
      <c r="G14" s="165" t="s">
        <v>288</v>
      </c>
      <c r="H14" s="166">
        <f>+'A.1_Tabla Costes Subrogación'!V19</f>
        <v>24361.26707183199</v>
      </c>
      <c r="I14" s="166">
        <v>26519.52</v>
      </c>
      <c r="J14" s="166">
        <f t="shared" si="9"/>
        <v>1.0885936237144052</v>
      </c>
      <c r="K14" s="170">
        <f t="shared" ref="K14:K26" si="20">4.62*12</f>
        <v>55.44</v>
      </c>
      <c r="L14" s="170">
        <f t="shared" si="10"/>
        <v>31.790000000000003</v>
      </c>
      <c r="M14" s="171">
        <v>375</v>
      </c>
      <c r="N14" s="171">
        <f t="shared" si="8"/>
        <v>17.923287671232877</v>
      </c>
      <c r="O14" s="170">
        <f t="shared" si="11"/>
        <v>56.493359999999996</v>
      </c>
      <c r="P14" s="170">
        <f t="shared" si="12"/>
        <v>32.450000000000003</v>
      </c>
      <c r="Q14" s="171">
        <v>750</v>
      </c>
      <c r="R14" s="171">
        <f t="shared" si="0"/>
        <v>18.926027397260274</v>
      </c>
      <c r="S14" s="170">
        <f t="shared" si="13"/>
        <v>57.566733839999998</v>
      </c>
      <c r="T14" s="170">
        <f t="shared" si="14"/>
        <v>33.163900000000005</v>
      </c>
      <c r="U14" s="171">
        <v>1125</v>
      </c>
      <c r="V14" s="171">
        <f t="shared" si="1"/>
        <v>19.926027397260274</v>
      </c>
      <c r="W14" s="170">
        <f t="shared" si="15"/>
        <v>58.660501782959997</v>
      </c>
      <c r="X14" s="170">
        <f t="shared" si="16"/>
        <v>33.893505800000007</v>
      </c>
      <c r="Y14" s="171">
        <v>1425</v>
      </c>
      <c r="Z14" s="172">
        <f t="shared" si="2"/>
        <v>20.926027397260274</v>
      </c>
      <c r="AA14" s="173">
        <f t="shared" si="17"/>
        <v>59.77505131683624</v>
      </c>
      <c r="AB14" s="173">
        <f t="shared" si="18"/>
        <v>34.639162927600005</v>
      </c>
      <c r="AC14" s="171">
        <f t="shared" si="19"/>
        <v>1452.075</v>
      </c>
      <c r="AD14" s="166">
        <f t="shared" si="3"/>
        <v>24823.497071831989</v>
      </c>
      <c r="AE14" s="166">
        <f t="shared" si="4"/>
        <v>25200.210431831991</v>
      </c>
      <c r="AF14" s="166">
        <f t="shared" si="5"/>
        <v>25576.997705671991</v>
      </c>
      <c r="AG14" s="166">
        <f t="shared" si="6"/>
        <v>25878.821079414949</v>
      </c>
      <c r="AH14" s="166">
        <f t="shared" si="7"/>
        <v>27617.49131387315</v>
      </c>
      <c r="AI14" s="174"/>
    </row>
    <row r="15" spans="1:35" ht="30" customHeight="1">
      <c r="A15" s="162">
        <v>13</v>
      </c>
      <c r="B15" s="162" t="s">
        <v>285</v>
      </c>
      <c r="C15" s="163">
        <v>38749</v>
      </c>
      <c r="D15" s="164" t="s">
        <v>289</v>
      </c>
      <c r="E15" s="162" t="s">
        <v>287</v>
      </c>
      <c r="F15" s="162">
        <v>100</v>
      </c>
      <c r="G15" s="165" t="s">
        <v>288</v>
      </c>
      <c r="H15" s="166">
        <f>+'A.1_Tabla Costes Subrogación'!V20</f>
        <v>24361.26707183199</v>
      </c>
      <c r="I15" s="166">
        <v>29393.33</v>
      </c>
      <c r="J15" s="166">
        <f t="shared" si="9"/>
        <v>1.2065599836548073</v>
      </c>
      <c r="K15" s="170">
        <f t="shared" si="20"/>
        <v>55.44</v>
      </c>
      <c r="L15" s="170">
        <f t="shared" si="10"/>
        <v>31.790000000000003</v>
      </c>
      <c r="M15" s="171">
        <v>375</v>
      </c>
      <c r="N15" s="171">
        <f t="shared" si="8"/>
        <v>17.923287671232877</v>
      </c>
      <c r="O15" s="170">
        <f t="shared" si="11"/>
        <v>56.493359999999996</v>
      </c>
      <c r="P15" s="170">
        <f t="shared" si="12"/>
        <v>32.450000000000003</v>
      </c>
      <c r="Q15" s="171">
        <v>750</v>
      </c>
      <c r="R15" s="171">
        <f t="shared" si="0"/>
        <v>18.926027397260274</v>
      </c>
      <c r="S15" s="170">
        <f t="shared" si="13"/>
        <v>57.566733839999998</v>
      </c>
      <c r="T15" s="170">
        <f t="shared" si="14"/>
        <v>33.163900000000005</v>
      </c>
      <c r="U15" s="171">
        <v>1125</v>
      </c>
      <c r="V15" s="171">
        <f t="shared" si="1"/>
        <v>19.926027397260274</v>
      </c>
      <c r="W15" s="170">
        <f t="shared" si="15"/>
        <v>58.660501782959997</v>
      </c>
      <c r="X15" s="170">
        <f t="shared" si="16"/>
        <v>33.893505800000007</v>
      </c>
      <c r="Y15" s="171">
        <v>1425</v>
      </c>
      <c r="Z15" s="172">
        <f t="shared" si="2"/>
        <v>20.926027397260274</v>
      </c>
      <c r="AA15" s="173">
        <f t="shared" si="17"/>
        <v>59.77505131683624</v>
      </c>
      <c r="AB15" s="173">
        <f t="shared" si="18"/>
        <v>34.639162927600005</v>
      </c>
      <c r="AC15" s="171">
        <f t="shared" si="19"/>
        <v>1452.075</v>
      </c>
      <c r="AD15" s="166">
        <f t="shared" si="3"/>
        <v>24823.497071831989</v>
      </c>
      <c r="AE15" s="166">
        <f t="shared" si="4"/>
        <v>25200.210431831991</v>
      </c>
      <c r="AF15" s="166">
        <f t="shared" si="5"/>
        <v>25576.997705671991</v>
      </c>
      <c r="AG15" s="166">
        <f t="shared" si="6"/>
        <v>25878.821079414949</v>
      </c>
      <c r="AH15" s="166">
        <f t="shared" si="7"/>
        <v>30610.283895063225</v>
      </c>
      <c r="AI15" s="174"/>
    </row>
    <row r="16" spans="1:35" ht="30" customHeight="1">
      <c r="A16" s="162">
        <v>14</v>
      </c>
      <c r="B16" s="162" t="s">
        <v>285</v>
      </c>
      <c r="C16" s="163">
        <v>40196</v>
      </c>
      <c r="D16" s="164" t="s">
        <v>289</v>
      </c>
      <c r="E16" s="162" t="s">
        <v>287</v>
      </c>
      <c r="F16" s="162">
        <v>100</v>
      </c>
      <c r="G16" s="165" t="s">
        <v>288</v>
      </c>
      <c r="H16" s="166">
        <f>+'A.1_Tabla Costes Subrogación'!V21</f>
        <v>23694.217071831994</v>
      </c>
      <c r="I16" s="166">
        <v>26519.52</v>
      </c>
      <c r="J16" s="166">
        <f t="shared" si="9"/>
        <v>1.1192401892665516</v>
      </c>
      <c r="K16" s="170">
        <f t="shared" si="20"/>
        <v>55.44</v>
      </c>
      <c r="L16" s="170">
        <f t="shared" si="10"/>
        <v>31.790000000000003</v>
      </c>
      <c r="M16" s="171">
        <v>375</v>
      </c>
      <c r="N16" s="171">
        <f t="shared" si="8"/>
        <v>13.95890410958904</v>
      </c>
      <c r="O16" s="170">
        <f t="shared" si="11"/>
        <v>56.493359999999996</v>
      </c>
      <c r="P16" s="170">
        <f t="shared" si="12"/>
        <v>32.450000000000003</v>
      </c>
      <c r="Q16" s="171">
        <v>750</v>
      </c>
      <c r="R16" s="171">
        <f t="shared" si="0"/>
        <v>14.961643835616439</v>
      </c>
      <c r="S16" s="170">
        <f t="shared" si="13"/>
        <v>57.566733839999998</v>
      </c>
      <c r="T16" s="170">
        <f t="shared" si="14"/>
        <v>33.163900000000005</v>
      </c>
      <c r="U16" s="171">
        <v>1125</v>
      </c>
      <c r="V16" s="171">
        <f t="shared" si="1"/>
        <v>15.961643835616439</v>
      </c>
      <c r="W16" s="170">
        <f t="shared" si="15"/>
        <v>58.660501782959997</v>
      </c>
      <c r="X16" s="170">
        <f t="shared" si="16"/>
        <v>33.893505800000007</v>
      </c>
      <c r="Y16" s="171">
        <v>1425</v>
      </c>
      <c r="Z16" s="172">
        <f t="shared" si="2"/>
        <v>16.961643835616439</v>
      </c>
      <c r="AA16" s="173">
        <f t="shared" si="17"/>
        <v>59.77505131683624</v>
      </c>
      <c r="AB16" s="173">
        <f t="shared" si="18"/>
        <v>34.639162927600005</v>
      </c>
      <c r="AC16" s="171">
        <f t="shared" si="19"/>
        <v>1452.075</v>
      </c>
      <c r="AD16" s="166">
        <f t="shared" si="3"/>
        <v>24156.447071831994</v>
      </c>
      <c r="AE16" s="166">
        <f t="shared" si="4"/>
        <v>24533.160431831995</v>
      </c>
      <c r="AF16" s="166">
        <f t="shared" si="5"/>
        <v>24909.947705671995</v>
      </c>
      <c r="AG16" s="166">
        <f t="shared" si="6"/>
        <v>25211.771079414953</v>
      </c>
      <c r="AH16" s="166">
        <f t="shared" si="7"/>
        <v>27648.401884275147</v>
      </c>
      <c r="AI16" s="174"/>
    </row>
    <row r="17" spans="1:35" ht="30" customHeight="1">
      <c r="A17" s="162">
        <v>15</v>
      </c>
      <c r="B17" s="162" t="s">
        <v>285</v>
      </c>
      <c r="C17" s="163">
        <v>39539</v>
      </c>
      <c r="D17" s="164" t="s">
        <v>289</v>
      </c>
      <c r="E17" s="162" t="s">
        <v>287</v>
      </c>
      <c r="F17" s="162">
        <v>189</v>
      </c>
      <c r="G17" s="165" t="s">
        <v>288</v>
      </c>
      <c r="H17" s="166">
        <f>+'A.1_Tabla Costes Subrogación'!V22</f>
        <v>23694.217071831994</v>
      </c>
      <c r="I17" s="166">
        <v>28726.28</v>
      </c>
      <c r="J17" s="166">
        <f t="shared" si="9"/>
        <v>1.2123751509877989</v>
      </c>
      <c r="K17" s="170">
        <f t="shared" si="20"/>
        <v>55.44</v>
      </c>
      <c r="L17" s="170">
        <f t="shared" si="10"/>
        <v>31.790000000000003</v>
      </c>
      <c r="M17" s="171">
        <v>375</v>
      </c>
      <c r="N17" s="171">
        <f t="shared" si="8"/>
        <v>15.758904109589041</v>
      </c>
      <c r="O17" s="170">
        <f t="shared" si="11"/>
        <v>56.493359999999996</v>
      </c>
      <c r="P17" s="170">
        <f t="shared" si="12"/>
        <v>32.450000000000003</v>
      </c>
      <c r="Q17" s="171">
        <v>750</v>
      </c>
      <c r="R17" s="171">
        <f t="shared" si="0"/>
        <v>16.761643835616439</v>
      </c>
      <c r="S17" s="170">
        <f t="shared" si="13"/>
        <v>57.566733839999998</v>
      </c>
      <c r="T17" s="170">
        <f t="shared" si="14"/>
        <v>33.163900000000005</v>
      </c>
      <c r="U17" s="171">
        <v>1125</v>
      </c>
      <c r="V17" s="171">
        <f t="shared" si="1"/>
        <v>17.761643835616439</v>
      </c>
      <c r="W17" s="170">
        <f t="shared" si="15"/>
        <v>58.660501782959997</v>
      </c>
      <c r="X17" s="170">
        <f t="shared" si="16"/>
        <v>33.893505800000007</v>
      </c>
      <c r="Y17" s="171">
        <v>1425</v>
      </c>
      <c r="Z17" s="172">
        <f t="shared" si="2"/>
        <v>18.761643835616439</v>
      </c>
      <c r="AA17" s="173">
        <f t="shared" si="17"/>
        <v>59.77505131683624</v>
      </c>
      <c r="AB17" s="173">
        <f t="shared" si="18"/>
        <v>34.639162927600005</v>
      </c>
      <c r="AC17" s="171">
        <f t="shared" si="19"/>
        <v>1452.075</v>
      </c>
      <c r="AD17" s="166">
        <f t="shared" si="3"/>
        <v>24156.447071831994</v>
      </c>
      <c r="AE17" s="166">
        <f t="shared" si="4"/>
        <v>24533.160431831995</v>
      </c>
      <c r="AF17" s="166">
        <f t="shared" si="5"/>
        <v>24909.947705671995</v>
      </c>
      <c r="AG17" s="166">
        <f t="shared" si="6"/>
        <v>25211.771079414953</v>
      </c>
      <c r="AH17" s="166">
        <f t="shared" si="7"/>
        <v>29949.099157157274</v>
      </c>
      <c r="AI17" s="174"/>
    </row>
    <row r="18" spans="1:35" ht="30" customHeight="1">
      <c r="A18" s="162">
        <v>16</v>
      </c>
      <c r="B18" s="162" t="s">
        <v>285</v>
      </c>
      <c r="C18" s="163">
        <v>38749</v>
      </c>
      <c r="D18" s="164" t="s">
        <v>289</v>
      </c>
      <c r="E18" s="162" t="s">
        <v>287</v>
      </c>
      <c r="F18" s="162">
        <v>189</v>
      </c>
      <c r="G18" s="165" t="s">
        <v>288</v>
      </c>
      <c r="H18" s="166">
        <f>+'A.1_Tabla Costes Subrogación'!V23</f>
        <v>24361.26707183199</v>
      </c>
      <c r="I18" s="166">
        <v>27486.13</v>
      </c>
      <c r="J18" s="166">
        <f t="shared" si="9"/>
        <v>1.1282717733422483</v>
      </c>
      <c r="K18" s="170">
        <f t="shared" si="20"/>
        <v>55.44</v>
      </c>
      <c r="L18" s="170">
        <f t="shared" si="10"/>
        <v>31.790000000000003</v>
      </c>
      <c r="M18" s="171">
        <v>375</v>
      </c>
      <c r="N18" s="171">
        <f t="shared" si="8"/>
        <v>17.923287671232877</v>
      </c>
      <c r="O18" s="170">
        <f t="shared" si="11"/>
        <v>56.493359999999996</v>
      </c>
      <c r="P18" s="170">
        <f t="shared" si="12"/>
        <v>32.450000000000003</v>
      </c>
      <c r="Q18" s="171">
        <v>750</v>
      </c>
      <c r="R18" s="171">
        <f t="shared" si="0"/>
        <v>18.926027397260274</v>
      </c>
      <c r="S18" s="170">
        <f t="shared" si="13"/>
        <v>57.566733839999998</v>
      </c>
      <c r="T18" s="170">
        <f t="shared" si="14"/>
        <v>33.163900000000005</v>
      </c>
      <c r="U18" s="171">
        <v>1125</v>
      </c>
      <c r="V18" s="171">
        <f t="shared" si="1"/>
        <v>19.926027397260274</v>
      </c>
      <c r="W18" s="170">
        <f t="shared" si="15"/>
        <v>58.660501782959997</v>
      </c>
      <c r="X18" s="170">
        <f t="shared" si="16"/>
        <v>33.893505800000007</v>
      </c>
      <c r="Y18" s="171">
        <v>1425</v>
      </c>
      <c r="Z18" s="172">
        <f t="shared" si="2"/>
        <v>20.926027397260274</v>
      </c>
      <c r="AA18" s="173">
        <f t="shared" si="17"/>
        <v>59.77505131683624</v>
      </c>
      <c r="AB18" s="173">
        <f t="shared" si="18"/>
        <v>34.639162927600005</v>
      </c>
      <c r="AC18" s="171">
        <f t="shared" si="19"/>
        <v>1452.075</v>
      </c>
      <c r="AD18" s="166">
        <f t="shared" si="3"/>
        <v>24823.497071831989</v>
      </c>
      <c r="AE18" s="166">
        <f t="shared" si="4"/>
        <v>25200.210431831991</v>
      </c>
      <c r="AF18" s="166">
        <f t="shared" si="5"/>
        <v>25576.997705671991</v>
      </c>
      <c r="AG18" s="166">
        <f t="shared" si="6"/>
        <v>25878.821079414949</v>
      </c>
      <c r="AH18" s="166">
        <f t="shared" si="7"/>
        <v>28624.121270935073</v>
      </c>
      <c r="AI18" s="174"/>
    </row>
    <row r="19" spans="1:35" ht="30" customHeight="1">
      <c r="A19" s="162">
        <v>17</v>
      </c>
      <c r="B19" s="162" t="s">
        <v>285</v>
      </c>
      <c r="C19" s="163">
        <v>38749</v>
      </c>
      <c r="D19" s="164" t="s">
        <v>289</v>
      </c>
      <c r="E19" s="162" t="s">
        <v>287</v>
      </c>
      <c r="F19" s="162">
        <v>189</v>
      </c>
      <c r="G19" s="165" t="s">
        <v>288</v>
      </c>
      <c r="H19" s="166">
        <f>+'A.1_Tabla Costes Subrogación'!V24</f>
        <v>24361.26707183199</v>
      </c>
      <c r="I19" s="166">
        <v>26519.52</v>
      </c>
      <c r="J19" s="166">
        <f t="shared" si="9"/>
        <v>1.0885936237144052</v>
      </c>
      <c r="K19" s="170">
        <f t="shared" si="20"/>
        <v>55.44</v>
      </c>
      <c r="L19" s="170">
        <f t="shared" si="10"/>
        <v>31.790000000000003</v>
      </c>
      <c r="M19" s="171">
        <v>375</v>
      </c>
      <c r="N19" s="171">
        <f t="shared" si="8"/>
        <v>17.923287671232877</v>
      </c>
      <c r="O19" s="170">
        <f t="shared" si="11"/>
        <v>56.493359999999996</v>
      </c>
      <c r="P19" s="170">
        <f t="shared" si="12"/>
        <v>32.450000000000003</v>
      </c>
      <c r="Q19" s="171">
        <v>750</v>
      </c>
      <c r="R19" s="171">
        <f t="shared" si="0"/>
        <v>18.926027397260274</v>
      </c>
      <c r="S19" s="170">
        <f t="shared" si="13"/>
        <v>57.566733839999998</v>
      </c>
      <c r="T19" s="170">
        <f t="shared" si="14"/>
        <v>33.163900000000005</v>
      </c>
      <c r="U19" s="171">
        <v>1125</v>
      </c>
      <c r="V19" s="171">
        <f t="shared" si="1"/>
        <v>19.926027397260274</v>
      </c>
      <c r="W19" s="170">
        <f t="shared" si="15"/>
        <v>58.660501782959997</v>
      </c>
      <c r="X19" s="170">
        <f t="shared" si="16"/>
        <v>33.893505800000007</v>
      </c>
      <c r="Y19" s="171">
        <v>1425</v>
      </c>
      <c r="Z19" s="172">
        <f t="shared" si="2"/>
        <v>20.926027397260274</v>
      </c>
      <c r="AA19" s="173">
        <f t="shared" si="17"/>
        <v>59.77505131683624</v>
      </c>
      <c r="AB19" s="173">
        <f t="shared" si="18"/>
        <v>34.639162927600005</v>
      </c>
      <c r="AC19" s="171">
        <f t="shared" si="19"/>
        <v>1452.075</v>
      </c>
      <c r="AD19" s="166">
        <f t="shared" si="3"/>
        <v>24823.497071831989</v>
      </c>
      <c r="AE19" s="166">
        <f t="shared" si="4"/>
        <v>25200.210431831991</v>
      </c>
      <c r="AF19" s="166">
        <f t="shared" si="5"/>
        <v>25576.997705671991</v>
      </c>
      <c r="AG19" s="166">
        <f t="shared" si="6"/>
        <v>25878.821079414949</v>
      </c>
      <c r="AH19" s="166">
        <f t="shared" si="7"/>
        <v>27617.49131387315</v>
      </c>
      <c r="AI19" s="174"/>
    </row>
    <row r="20" spans="1:35" ht="30" customHeight="1">
      <c r="A20" s="162">
        <v>18</v>
      </c>
      <c r="B20" s="162" t="s">
        <v>285</v>
      </c>
      <c r="C20" s="163">
        <v>38749</v>
      </c>
      <c r="D20" s="164" t="s">
        <v>289</v>
      </c>
      <c r="E20" s="162" t="s">
        <v>287</v>
      </c>
      <c r="F20" s="162">
        <v>100</v>
      </c>
      <c r="G20" s="165" t="s">
        <v>288</v>
      </c>
      <c r="H20" s="166">
        <f>+'A.1_Tabla Costes Subrogación'!V25</f>
        <v>26712.367071831992</v>
      </c>
      <c r="I20" s="166">
        <v>27486.13</v>
      </c>
      <c r="J20" s="166">
        <f t="shared" si="9"/>
        <v>1.0289664680815178</v>
      </c>
      <c r="K20" s="170">
        <f t="shared" si="20"/>
        <v>55.44</v>
      </c>
      <c r="L20" s="170">
        <f t="shared" si="10"/>
        <v>31.790000000000003</v>
      </c>
      <c r="M20" s="171">
        <v>375</v>
      </c>
      <c r="N20" s="171">
        <f t="shared" si="8"/>
        <v>17.923287671232877</v>
      </c>
      <c r="O20" s="170">
        <f t="shared" si="11"/>
        <v>56.493359999999996</v>
      </c>
      <c r="P20" s="170">
        <f t="shared" si="12"/>
        <v>32.450000000000003</v>
      </c>
      <c r="Q20" s="171">
        <v>750</v>
      </c>
      <c r="R20" s="171">
        <f t="shared" si="0"/>
        <v>18.926027397260274</v>
      </c>
      <c r="S20" s="170">
        <f t="shared" si="13"/>
        <v>57.566733839999998</v>
      </c>
      <c r="T20" s="170">
        <f t="shared" si="14"/>
        <v>33.163900000000005</v>
      </c>
      <c r="U20" s="171">
        <v>1125</v>
      </c>
      <c r="V20" s="171">
        <f t="shared" si="1"/>
        <v>19.926027397260274</v>
      </c>
      <c r="W20" s="170">
        <f t="shared" si="15"/>
        <v>58.660501782959997</v>
      </c>
      <c r="X20" s="170">
        <f t="shared" si="16"/>
        <v>33.893505800000007</v>
      </c>
      <c r="Y20" s="171">
        <v>1425</v>
      </c>
      <c r="Z20" s="172">
        <f t="shared" si="2"/>
        <v>20.926027397260274</v>
      </c>
      <c r="AA20" s="173">
        <f t="shared" si="17"/>
        <v>59.77505131683624</v>
      </c>
      <c r="AB20" s="173">
        <f t="shared" si="18"/>
        <v>34.639162927600005</v>
      </c>
      <c r="AC20" s="171">
        <f t="shared" si="19"/>
        <v>1452.075</v>
      </c>
      <c r="AD20" s="166">
        <f t="shared" si="3"/>
        <v>27174.597071831991</v>
      </c>
      <c r="AE20" s="166">
        <f t="shared" si="4"/>
        <v>27551.310431831993</v>
      </c>
      <c r="AF20" s="166">
        <f t="shared" si="5"/>
        <v>27928.097705671993</v>
      </c>
      <c r="AG20" s="166">
        <f t="shared" si="6"/>
        <v>28229.921079414951</v>
      </c>
      <c r="AH20" s="166">
        <f t="shared" si="7"/>
        <v>28523.960500086851</v>
      </c>
      <c r="AI20" s="174"/>
    </row>
    <row r="21" spans="1:35" ht="30" customHeight="1">
      <c r="A21" s="162">
        <v>19</v>
      </c>
      <c r="B21" s="162" t="s">
        <v>285</v>
      </c>
      <c r="C21" s="163">
        <v>38749</v>
      </c>
      <c r="D21" s="164" t="s">
        <v>289</v>
      </c>
      <c r="E21" s="162" t="s">
        <v>287</v>
      </c>
      <c r="F21" s="162">
        <v>100</v>
      </c>
      <c r="G21" s="165" t="s">
        <v>288</v>
      </c>
      <c r="H21" s="166">
        <f>+'A.1_Tabla Costes Subrogación'!V26</f>
        <v>24361.26707183199</v>
      </c>
      <c r="I21" s="166">
        <v>27711.81</v>
      </c>
      <c r="J21" s="166">
        <f t="shared" si="9"/>
        <v>1.1375356593024719</v>
      </c>
      <c r="K21" s="170">
        <f t="shared" si="20"/>
        <v>55.44</v>
      </c>
      <c r="L21" s="170">
        <f t="shared" si="10"/>
        <v>31.790000000000003</v>
      </c>
      <c r="M21" s="171">
        <v>375</v>
      </c>
      <c r="N21" s="171">
        <f t="shared" si="8"/>
        <v>17.923287671232877</v>
      </c>
      <c r="O21" s="170">
        <f t="shared" si="11"/>
        <v>56.493359999999996</v>
      </c>
      <c r="P21" s="170">
        <f t="shared" si="12"/>
        <v>32.450000000000003</v>
      </c>
      <c r="Q21" s="171">
        <v>750</v>
      </c>
      <c r="R21" s="171">
        <f t="shared" si="0"/>
        <v>18.926027397260274</v>
      </c>
      <c r="S21" s="170">
        <f t="shared" si="13"/>
        <v>57.566733839999998</v>
      </c>
      <c r="T21" s="170">
        <f t="shared" si="14"/>
        <v>33.163900000000005</v>
      </c>
      <c r="U21" s="171">
        <v>1125</v>
      </c>
      <c r="V21" s="171">
        <f t="shared" si="1"/>
        <v>19.926027397260274</v>
      </c>
      <c r="W21" s="170">
        <f t="shared" si="15"/>
        <v>58.660501782959997</v>
      </c>
      <c r="X21" s="170">
        <f t="shared" si="16"/>
        <v>33.893505800000007</v>
      </c>
      <c r="Y21" s="171">
        <v>1425</v>
      </c>
      <c r="Z21" s="172">
        <f t="shared" si="2"/>
        <v>20.926027397260274</v>
      </c>
      <c r="AA21" s="173">
        <f t="shared" si="17"/>
        <v>59.77505131683624</v>
      </c>
      <c r="AB21" s="173">
        <f t="shared" si="18"/>
        <v>34.639162927600005</v>
      </c>
      <c r="AC21" s="171">
        <f t="shared" si="19"/>
        <v>1452.075</v>
      </c>
      <c r="AD21" s="166">
        <f t="shared" si="3"/>
        <v>24823.497071831989</v>
      </c>
      <c r="AE21" s="166">
        <f t="shared" si="4"/>
        <v>25200.210431831991</v>
      </c>
      <c r="AF21" s="166">
        <f t="shared" si="5"/>
        <v>25576.997705671991</v>
      </c>
      <c r="AG21" s="166">
        <f t="shared" si="6"/>
        <v>25878.821079414949</v>
      </c>
      <c r="AH21" s="166">
        <f t="shared" si="7"/>
        <v>28859.1449606442</v>
      </c>
      <c r="AI21" s="174"/>
    </row>
    <row r="22" spans="1:35" ht="30" customHeight="1">
      <c r="A22" s="162">
        <v>20</v>
      </c>
      <c r="B22" s="162" t="s">
        <v>285</v>
      </c>
      <c r="C22" s="163">
        <v>40157</v>
      </c>
      <c r="D22" s="162" t="s">
        <v>291</v>
      </c>
      <c r="E22" s="162" t="s">
        <v>287</v>
      </c>
      <c r="F22" s="162">
        <v>100</v>
      </c>
      <c r="G22" s="165" t="s">
        <v>288</v>
      </c>
      <c r="H22" s="166">
        <f>+'A.1_Tabla Costes Subrogación'!V66</f>
        <v>23010.144158554998</v>
      </c>
      <c r="I22" s="166">
        <v>25505.05</v>
      </c>
      <c r="J22" s="166">
        <f t="shared" si="9"/>
        <v>1.108426345539318</v>
      </c>
      <c r="K22" s="170">
        <f t="shared" si="20"/>
        <v>55.44</v>
      </c>
      <c r="L22" s="170">
        <f t="shared" si="10"/>
        <v>31.790000000000003</v>
      </c>
      <c r="M22" s="171">
        <v>375</v>
      </c>
      <c r="N22" s="171">
        <f t="shared" si="8"/>
        <v>14.065753424657535</v>
      </c>
      <c r="O22" s="170">
        <f t="shared" si="11"/>
        <v>56.493359999999996</v>
      </c>
      <c r="P22" s="170">
        <f t="shared" si="12"/>
        <v>32.450000000000003</v>
      </c>
      <c r="Q22" s="171">
        <v>750</v>
      </c>
      <c r="R22" s="171">
        <f t="shared" si="0"/>
        <v>15.068493150684931</v>
      </c>
      <c r="S22" s="170">
        <f t="shared" si="13"/>
        <v>57.566733839999998</v>
      </c>
      <c r="T22" s="170">
        <f t="shared" si="14"/>
        <v>33.163900000000005</v>
      </c>
      <c r="U22" s="171">
        <v>1125</v>
      </c>
      <c r="V22" s="171">
        <f t="shared" si="1"/>
        <v>16.068493150684933</v>
      </c>
      <c r="W22" s="170">
        <f t="shared" si="15"/>
        <v>58.660501782959997</v>
      </c>
      <c r="X22" s="170">
        <f t="shared" si="16"/>
        <v>33.893505800000007</v>
      </c>
      <c r="Y22" s="171">
        <v>1425</v>
      </c>
      <c r="Z22" s="172">
        <f t="shared" si="2"/>
        <v>17.068493150684933</v>
      </c>
      <c r="AA22" s="173">
        <f t="shared" si="17"/>
        <v>59.77505131683624</v>
      </c>
      <c r="AB22" s="173">
        <f t="shared" si="18"/>
        <v>34.639162927600005</v>
      </c>
      <c r="AC22" s="171">
        <f t="shared" si="19"/>
        <v>1452.075</v>
      </c>
      <c r="AD22" s="166">
        <f t="shared" si="3"/>
        <v>23472.374158554998</v>
      </c>
      <c r="AE22" s="166">
        <f t="shared" si="4"/>
        <v>23849.087518554999</v>
      </c>
      <c r="AF22" s="166">
        <f t="shared" si="5"/>
        <v>24225.874792395</v>
      </c>
      <c r="AG22" s="166">
        <f t="shared" si="6"/>
        <v>24527.698166137958</v>
      </c>
      <c r="AH22" s="166">
        <f t="shared" si="7"/>
        <v>26623.024884687278</v>
      </c>
      <c r="AI22" s="174"/>
    </row>
    <row r="23" spans="1:35" ht="30" customHeight="1">
      <c r="A23" s="162">
        <v>21</v>
      </c>
      <c r="B23" s="162" t="s">
        <v>285</v>
      </c>
      <c r="C23" s="163">
        <v>38887</v>
      </c>
      <c r="D23" s="162" t="s">
        <v>291</v>
      </c>
      <c r="E23" s="162" t="s">
        <v>287</v>
      </c>
      <c r="F23" s="162">
        <v>100</v>
      </c>
      <c r="G23" s="165" t="s">
        <v>288</v>
      </c>
      <c r="H23" s="166">
        <f>+'A.1_Tabla Costes Subrogación'!V67</f>
        <v>23010.144158554998</v>
      </c>
      <c r="I23" s="166">
        <v>26471.66</v>
      </c>
      <c r="J23" s="166">
        <f t="shared" si="9"/>
        <v>1.1504343396370265</v>
      </c>
      <c r="K23" s="170">
        <f t="shared" si="20"/>
        <v>55.44</v>
      </c>
      <c r="L23" s="170">
        <f t="shared" si="10"/>
        <v>31.790000000000003</v>
      </c>
      <c r="M23" s="171">
        <v>375</v>
      </c>
      <c r="N23" s="171">
        <f t="shared" si="8"/>
        <v>17.545205479452054</v>
      </c>
      <c r="O23" s="170">
        <f t="shared" si="11"/>
        <v>56.493359999999996</v>
      </c>
      <c r="P23" s="170">
        <f t="shared" si="12"/>
        <v>32.450000000000003</v>
      </c>
      <c r="Q23" s="171">
        <v>750</v>
      </c>
      <c r="R23" s="171">
        <f t="shared" si="0"/>
        <v>18.547945205479451</v>
      </c>
      <c r="S23" s="170">
        <f t="shared" si="13"/>
        <v>57.566733839999998</v>
      </c>
      <c r="T23" s="170">
        <f t="shared" si="14"/>
        <v>33.163900000000005</v>
      </c>
      <c r="U23" s="171">
        <v>1125</v>
      </c>
      <c r="V23" s="171">
        <f t="shared" si="1"/>
        <v>19.547945205479451</v>
      </c>
      <c r="W23" s="170">
        <f t="shared" si="15"/>
        <v>58.660501782959997</v>
      </c>
      <c r="X23" s="170">
        <f t="shared" si="16"/>
        <v>33.893505800000007</v>
      </c>
      <c r="Y23" s="171">
        <v>1425</v>
      </c>
      <c r="Z23" s="172">
        <f t="shared" si="2"/>
        <v>20.547945205479451</v>
      </c>
      <c r="AA23" s="173">
        <f t="shared" si="17"/>
        <v>59.77505131683624</v>
      </c>
      <c r="AB23" s="173">
        <f t="shared" si="18"/>
        <v>34.639162927600005</v>
      </c>
      <c r="AC23" s="171">
        <f t="shared" si="19"/>
        <v>1452.075</v>
      </c>
      <c r="AD23" s="166">
        <f t="shared" si="3"/>
        <v>23472.374158554998</v>
      </c>
      <c r="AE23" s="166">
        <f t="shared" si="4"/>
        <v>23849.087518554999</v>
      </c>
      <c r="AF23" s="166">
        <f t="shared" si="5"/>
        <v>24225.874792395</v>
      </c>
      <c r="AG23" s="166">
        <f t="shared" si="6"/>
        <v>24527.698166137958</v>
      </c>
      <c r="AH23" s="166">
        <f t="shared" si="7"/>
        <v>27632.004756665086</v>
      </c>
      <c r="AI23" s="174"/>
    </row>
    <row r="24" spans="1:35" ht="30" customHeight="1">
      <c r="A24" s="162">
        <v>22</v>
      </c>
      <c r="B24" s="162" t="s">
        <v>285</v>
      </c>
      <c r="C24" s="163">
        <v>38749</v>
      </c>
      <c r="D24" s="162" t="s">
        <v>292</v>
      </c>
      <c r="E24" s="162" t="s">
        <v>287</v>
      </c>
      <c r="F24" s="162">
        <v>100</v>
      </c>
      <c r="G24" s="165" t="s">
        <v>288</v>
      </c>
      <c r="H24" s="166">
        <f>+'A.1_Tabla Costes Subrogación'!V71</f>
        <v>26124.828464697999</v>
      </c>
      <c r="I24" s="166">
        <v>25505.05</v>
      </c>
      <c r="J24" s="166">
        <f t="shared" si="9"/>
        <v>0.97627626663518596</v>
      </c>
      <c r="K24" s="170">
        <f t="shared" si="20"/>
        <v>55.44</v>
      </c>
      <c r="L24" s="170">
        <f t="shared" si="10"/>
        <v>31.790000000000003</v>
      </c>
      <c r="M24" s="171">
        <v>375</v>
      </c>
      <c r="N24" s="171">
        <f t="shared" si="8"/>
        <v>17.923287671232877</v>
      </c>
      <c r="O24" s="170">
        <f t="shared" si="11"/>
        <v>56.493359999999996</v>
      </c>
      <c r="P24" s="170">
        <f t="shared" si="12"/>
        <v>32.450000000000003</v>
      </c>
      <c r="Q24" s="171">
        <v>750</v>
      </c>
      <c r="R24" s="171">
        <f t="shared" si="0"/>
        <v>18.926027397260274</v>
      </c>
      <c r="S24" s="170">
        <f t="shared" si="13"/>
        <v>57.566733839999998</v>
      </c>
      <c r="T24" s="170">
        <f t="shared" si="14"/>
        <v>33.163900000000005</v>
      </c>
      <c r="U24" s="171">
        <v>1125</v>
      </c>
      <c r="V24" s="171">
        <f t="shared" si="1"/>
        <v>19.926027397260274</v>
      </c>
      <c r="W24" s="170">
        <f t="shared" si="15"/>
        <v>58.660501782959997</v>
      </c>
      <c r="X24" s="170">
        <f t="shared" si="16"/>
        <v>33.893505800000007</v>
      </c>
      <c r="Y24" s="171">
        <v>1425</v>
      </c>
      <c r="Z24" s="172">
        <f t="shared" si="2"/>
        <v>20.926027397260274</v>
      </c>
      <c r="AA24" s="173">
        <f t="shared" si="17"/>
        <v>59.77505131683624</v>
      </c>
      <c r="AB24" s="173">
        <f t="shared" si="18"/>
        <v>34.639162927600005</v>
      </c>
      <c r="AC24" s="171">
        <f t="shared" si="19"/>
        <v>1452.075</v>
      </c>
      <c r="AD24" s="166">
        <f t="shared" si="3"/>
        <v>26587.058464697999</v>
      </c>
      <c r="AE24" s="166">
        <f t="shared" si="4"/>
        <v>26963.771824698</v>
      </c>
      <c r="AF24" s="166">
        <f t="shared" si="5"/>
        <v>27340.559098538</v>
      </c>
      <c r="AG24" s="166">
        <f t="shared" si="6"/>
        <v>27642.382472280959</v>
      </c>
      <c r="AH24" s="166">
        <f t="shared" si="7"/>
        <v>26489.736398881418</v>
      </c>
      <c r="AI24" s="174"/>
    </row>
    <row r="25" spans="1:35" ht="30" customHeight="1">
      <c r="A25" s="162">
        <v>23</v>
      </c>
      <c r="B25" s="162" t="s">
        <v>285</v>
      </c>
      <c r="C25" s="163">
        <v>38932</v>
      </c>
      <c r="D25" s="162" t="s">
        <v>292</v>
      </c>
      <c r="E25" s="162" t="s">
        <v>287</v>
      </c>
      <c r="F25" s="162">
        <v>100</v>
      </c>
      <c r="G25" s="165" t="s">
        <v>288</v>
      </c>
      <c r="H25" s="166">
        <f>+'A.1_Tabla Costes Subrogación'!V72</f>
        <v>26124.828464697999</v>
      </c>
      <c r="I25" s="166">
        <v>27711.81</v>
      </c>
      <c r="J25" s="166">
        <f t="shared" si="9"/>
        <v>1.0607461035561041</v>
      </c>
      <c r="K25" s="170">
        <f t="shared" si="20"/>
        <v>55.44</v>
      </c>
      <c r="L25" s="170">
        <f t="shared" si="10"/>
        <v>31.790000000000003</v>
      </c>
      <c r="M25" s="171">
        <v>375</v>
      </c>
      <c r="N25" s="171">
        <f t="shared" si="8"/>
        <v>17.421917808219177</v>
      </c>
      <c r="O25" s="170">
        <f t="shared" si="11"/>
        <v>56.493359999999996</v>
      </c>
      <c r="P25" s="170">
        <f t="shared" si="12"/>
        <v>32.450000000000003</v>
      </c>
      <c r="Q25" s="171">
        <v>750</v>
      </c>
      <c r="R25" s="171">
        <f t="shared" si="0"/>
        <v>18.424657534246574</v>
      </c>
      <c r="S25" s="170">
        <f t="shared" si="13"/>
        <v>57.566733839999998</v>
      </c>
      <c r="T25" s="170">
        <f t="shared" si="14"/>
        <v>33.163900000000005</v>
      </c>
      <c r="U25" s="171">
        <v>1125</v>
      </c>
      <c r="V25" s="171">
        <f t="shared" si="1"/>
        <v>19.424657534246574</v>
      </c>
      <c r="W25" s="170">
        <f t="shared" si="15"/>
        <v>58.660501782959997</v>
      </c>
      <c r="X25" s="170">
        <f t="shared" si="16"/>
        <v>33.893505800000007</v>
      </c>
      <c r="Y25" s="171">
        <v>1425</v>
      </c>
      <c r="Z25" s="172">
        <f t="shared" si="2"/>
        <v>20.424657534246574</v>
      </c>
      <c r="AA25" s="173">
        <f t="shared" si="17"/>
        <v>59.77505131683624</v>
      </c>
      <c r="AB25" s="173">
        <f t="shared" si="18"/>
        <v>34.639162927600005</v>
      </c>
      <c r="AC25" s="171">
        <f t="shared" si="19"/>
        <v>1452.075</v>
      </c>
      <c r="AD25" s="166">
        <f t="shared" si="3"/>
        <v>26587.058464697999</v>
      </c>
      <c r="AE25" s="166">
        <f t="shared" si="4"/>
        <v>26963.771824698</v>
      </c>
      <c r="AF25" s="166">
        <f t="shared" si="5"/>
        <v>27340.559098538</v>
      </c>
      <c r="AG25" s="166">
        <f t="shared" si="6"/>
        <v>27642.382472280959</v>
      </c>
      <c r="AH25" s="166">
        <f t="shared" si="7"/>
        <v>28781.693901242543</v>
      </c>
      <c r="AI25" s="162" t="s">
        <v>293</v>
      </c>
    </row>
    <row r="26" spans="1:35" ht="30" customHeight="1">
      <c r="A26" s="162">
        <v>24</v>
      </c>
      <c r="B26" s="162" t="s">
        <v>285</v>
      </c>
      <c r="C26" s="163">
        <v>38932</v>
      </c>
      <c r="D26" s="162" t="s">
        <v>292</v>
      </c>
      <c r="E26" s="162" t="s">
        <v>287</v>
      </c>
      <c r="F26" s="162">
        <v>100</v>
      </c>
      <c r="G26" s="165" t="s">
        <v>288</v>
      </c>
      <c r="H26" s="166">
        <f>+'A.1_Tabla Costes Subrogación'!V73</f>
        <v>30124.988157637599</v>
      </c>
      <c r="I26" s="166">
        <v>28355.31</v>
      </c>
      <c r="J26" s="166">
        <f t="shared" si="9"/>
        <v>0.94125547374899365</v>
      </c>
      <c r="K26" s="170">
        <f t="shared" si="20"/>
        <v>55.44</v>
      </c>
      <c r="L26" s="170">
        <f t="shared" si="10"/>
        <v>31.790000000000003</v>
      </c>
      <c r="M26" s="171">
        <v>375</v>
      </c>
      <c r="N26" s="171">
        <f t="shared" si="8"/>
        <v>17.421917808219177</v>
      </c>
      <c r="O26" s="170">
        <f t="shared" si="11"/>
        <v>56.493359999999996</v>
      </c>
      <c r="P26" s="170">
        <f t="shared" si="12"/>
        <v>32.450000000000003</v>
      </c>
      <c r="Q26" s="171">
        <v>750</v>
      </c>
      <c r="R26" s="171">
        <f t="shared" si="0"/>
        <v>18.424657534246574</v>
      </c>
      <c r="S26" s="170">
        <f t="shared" si="13"/>
        <v>57.566733839999998</v>
      </c>
      <c r="T26" s="170">
        <f t="shared" si="14"/>
        <v>33.163900000000005</v>
      </c>
      <c r="U26" s="171">
        <v>1125</v>
      </c>
      <c r="V26" s="171">
        <f t="shared" si="1"/>
        <v>19.424657534246574</v>
      </c>
      <c r="W26" s="170">
        <f t="shared" si="15"/>
        <v>58.660501782959997</v>
      </c>
      <c r="X26" s="170">
        <f t="shared" si="16"/>
        <v>33.893505800000007</v>
      </c>
      <c r="Y26" s="171">
        <v>1425</v>
      </c>
      <c r="Z26" s="171">
        <f t="shared" si="2"/>
        <v>20.424657534246574</v>
      </c>
      <c r="AA26" s="173">
        <f t="shared" si="17"/>
        <v>59.77505131683624</v>
      </c>
      <c r="AB26" s="173">
        <f t="shared" si="18"/>
        <v>34.639162927600005</v>
      </c>
      <c r="AC26" s="171">
        <f t="shared" si="19"/>
        <v>1452.075</v>
      </c>
      <c r="AD26" s="166">
        <f t="shared" si="3"/>
        <v>30587.218157637599</v>
      </c>
      <c r="AE26" s="166">
        <f t="shared" si="4"/>
        <v>30963.9315176376</v>
      </c>
      <c r="AF26" s="166">
        <f t="shared" si="5"/>
        <v>31340.7187914776</v>
      </c>
      <c r="AG26" s="166">
        <f t="shared" si="6"/>
        <v>31642.542165220559</v>
      </c>
      <c r="AH26" s="166">
        <f t="shared" si="7"/>
        <v>29304.673919362449</v>
      </c>
      <c r="AI26" s="174"/>
    </row>
    <row r="27" spans="1:35" ht="30" customHeight="1">
      <c r="A27" s="162">
        <v>25</v>
      </c>
      <c r="B27" s="162" t="s">
        <v>285</v>
      </c>
      <c r="C27" s="163">
        <v>38838</v>
      </c>
      <c r="D27" s="162" t="s">
        <v>292</v>
      </c>
      <c r="E27" s="162" t="s">
        <v>287</v>
      </c>
      <c r="F27" s="162">
        <v>100</v>
      </c>
      <c r="G27" s="165" t="s">
        <v>288</v>
      </c>
      <c r="H27" s="166">
        <f>+'A.1_Tabla Costes Subrogación'!V74</f>
        <v>26124.828464697999</v>
      </c>
      <c r="I27" s="166">
        <v>25505.05</v>
      </c>
      <c r="J27" s="166">
        <f t="shared" si="9"/>
        <v>0.97627626663518596</v>
      </c>
      <c r="K27" s="170">
        <f>3.23*12</f>
        <v>38.76</v>
      </c>
      <c r="L27" s="170">
        <f t="shared" si="10"/>
        <v>31.790000000000003</v>
      </c>
      <c r="M27" s="171">
        <v>375</v>
      </c>
      <c r="N27" s="171">
        <f t="shared" si="8"/>
        <v>17.67945205479452</v>
      </c>
      <c r="O27" s="170">
        <f t="shared" si="11"/>
        <v>39.49644</v>
      </c>
      <c r="P27" s="170">
        <f t="shared" si="12"/>
        <v>32.450000000000003</v>
      </c>
      <c r="Q27" s="171">
        <v>750</v>
      </c>
      <c r="R27" s="171">
        <f t="shared" si="0"/>
        <v>18.682191780821917</v>
      </c>
      <c r="S27" s="170">
        <f t="shared" si="13"/>
        <v>40.246872359999998</v>
      </c>
      <c r="T27" s="170">
        <f t="shared" si="14"/>
        <v>33.163900000000005</v>
      </c>
      <c r="U27" s="171">
        <v>1125</v>
      </c>
      <c r="V27" s="171">
        <f t="shared" si="1"/>
        <v>19.682191780821917</v>
      </c>
      <c r="W27" s="170">
        <f t="shared" si="15"/>
        <v>41.011562934840001</v>
      </c>
      <c r="X27" s="170">
        <f t="shared" si="16"/>
        <v>33.893505800000007</v>
      </c>
      <c r="Y27" s="171">
        <v>1425</v>
      </c>
      <c r="Z27" s="171">
        <f t="shared" si="2"/>
        <v>20.682191780821917</v>
      </c>
      <c r="AA27" s="173">
        <f t="shared" si="17"/>
        <v>41.79078263060196</v>
      </c>
      <c r="AB27" s="173">
        <f t="shared" si="18"/>
        <v>34.639162927600005</v>
      </c>
      <c r="AC27" s="171">
        <f t="shared" si="19"/>
        <v>1452.075</v>
      </c>
      <c r="AD27" s="166">
        <f t="shared" si="3"/>
        <v>26570.378464697998</v>
      </c>
      <c r="AE27" s="166">
        <f t="shared" si="4"/>
        <v>26946.774904697999</v>
      </c>
      <c r="AF27" s="166">
        <f t="shared" si="5"/>
        <v>27323.239237057998</v>
      </c>
      <c r="AG27" s="166">
        <f t="shared" si="6"/>
        <v>27624.733533432838</v>
      </c>
      <c r="AH27" s="166">
        <f t="shared" si="7"/>
        <v>26472.982101990809</v>
      </c>
      <c r="AI27" s="174"/>
    </row>
    <row r="28" spans="1:35" ht="30" customHeight="1">
      <c r="A28" s="162">
        <v>26</v>
      </c>
      <c r="B28" s="162" t="s">
        <v>285</v>
      </c>
      <c r="C28" s="163">
        <v>39038</v>
      </c>
      <c r="D28" s="162" t="s">
        <v>292</v>
      </c>
      <c r="E28" s="162" t="s">
        <v>287</v>
      </c>
      <c r="F28" s="162">
        <v>100</v>
      </c>
      <c r="G28" s="165" t="s">
        <v>288</v>
      </c>
      <c r="H28" s="166">
        <f>+'A.1_Tabla Costes Subrogación'!V75</f>
        <v>26124.828464697999</v>
      </c>
      <c r="I28" s="166">
        <v>27711.81</v>
      </c>
      <c r="J28" s="166">
        <f t="shared" si="9"/>
        <v>1.0607461035561041</v>
      </c>
      <c r="K28" s="170">
        <f t="shared" ref="K28:K39" si="21">3.23*12</f>
        <v>38.76</v>
      </c>
      <c r="L28" s="170">
        <f t="shared" si="10"/>
        <v>31.790000000000003</v>
      </c>
      <c r="M28" s="171">
        <v>375</v>
      </c>
      <c r="N28" s="171">
        <f t="shared" si="8"/>
        <v>17.13150684931507</v>
      </c>
      <c r="O28" s="170">
        <f t="shared" si="11"/>
        <v>39.49644</v>
      </c>
      <c r="P28" s="170">
        <f t="shared" si="12"/>
        <v>32.450000000000003</v>
      </c>
      <c r="Q28" s="171">
        <v>750</v>
      </c>
      <c r="R28" s="171">
        <f t="shared" si="0"/>
        <v>18.134246575342466</v>
      </c>
      <c r="S28" s="170">
        <f t="shared" si="13"/>
        <v>40.246872359999998</v>
      </c>
      <c r="T28" s="170">
        <f t="shared" si="14"/>
        <v>33.163900000000005</v>
      </c>
      <c r="U28" s="171">
        <v>1125</v>
      </c>
      <c r="V28" s="171">
        <f t="shared" si="1"/>
        <v>19.134246575342466</v>
      </c>
      <c r="W28" s="170">
        <f t="shared" si="15"/>
        <v>41.011562934840001</v>
      </c>
      <c r="X28" s="170">
        <f t="shared" si="16"/>
        <v>33.893505800000007</v>
      </c>
      <c r="Y28" s="171">
        <v>1425</v>
      </c>
      <c r="Z28" s="171">
        <f t="shared" si="2"/>
        <v>20.134246575342466</v>
      </c>
      <c r="AA28" s="173">
        <f t="shared" si="17"/>
        <v>41.79078263060196</v>
      </c>
      <c r="AB28" s="173">
        <f t="shared" si="18"/>
        <v>34.639162927600005</v>
      </c>
      <c r="AC28" s="171">
        <f t="shared" si="19"/>
        <v>1452.075</v>
      </c>
      <c r="AD28" s="166">
        <f t="shared" si="3"/>
        <v>26570.378464697998</v>
      </c>
      <c r="AE28" s="166">
        <f t="shared" si="4"/>
        <v>26946.774904697999</v>
      </c>
      <c r="AF28" s="166">
        <f t="shared" si="5"/>
        <v>27323.239237057998</v>
      </c>
      <c r="AG28" s="166">
        <f t="shared" si="6"/>
        <v>27624.733533432838</v>
      </c>
      <c r="AH28" s="166">
        <f t="shared" si="7"/>
        <v>28763.489981151575</v>
      </c>
      <c r="AI28" s="174"/>
    </row>
    <row r="29" spans="1:35" ht="30" customHeight="1">
      <c r="A29" s="162">
        <v>27</v>
      </c>
      <c r="B29" s="162" t="s">
        <v>285</v>
      </c>
      <c r="C29" s="163">
        <v>38749</v>
      </c>
      <c r="D29" s="162" t="s">
        <v>292</v>
      </c>
      <c r="E29" s="162" t="s">
        <v>287</v>
      </c>
      <c r="F29" s="162">
        <v>100</v>
      </c>
      <c r="G29" s="165" t="s">
        <v>288</v>
      </c>
      <c r="H29" s="166">
        <f>+'A.1_Tabla Costes Subrogación'!V76</f>
        <v>26124.828464697999</v>
      </c>
      <c r="I29" s="166">
        <v>28355.31</v>
      </c>
      <c r="J29" s="166">
        <f t="shared" si="9"/>
        <v>1.0853778442341167</v>
      </c>
      <c r="K29" s="170">
        <f t="shared" si="21"/>
        <v>38.76</v>
      </c>
      <c r="L29" s="170">
        <f t="shared" si="10"/>
        <v>31.790000000000003</v>
      </c>
      <c r="M29" s="171">
        <v>375</v>
      </c>
      <c r="N29" s="171">
        <f t="shared" si="8"/>
        <v>17.923287671232877</v>
      </c>
      <c r="O29" s="170">
        <f t="shared" si="11"/>
        <v>39.49644</v>
      </c>
      <c r="P29" s="170">
        <f t="shared" si="12"/>
        <v>32.450000000000003</v>
      </c>
      <c r="Q29" s="171">
        <v>750</v>
      </c>
      <c r="R29" s="171">
        <f t="shared" si="0"/>
        <v>18.926027397260274</v>
      </c>
      <c r="S29" s="170">
        <f t="shared" si="13"/>
        <v>40.246872359999998</v>
      </c>
      <c r="T29" s="170">
        <f t="shared" si="14"/>
        <v>33.163900000000005</v>
      </c>
      <c r="U29" s="171">
        <v>1125</v>
      </c>
      <c r="V29" s="171">
        <f t="shared" si="1"/>
        <v>19.926027397260274</v>
      </c>
      <c r="W29" s="170">
        <f t="shared" si="15"/>
        <v>41.011562934840001</v>
      </c>
      <c r="X29" s="170">
        <f t="shared" si="16"/>
        <v>33.893505800000007</v>
      </c>
      <c r="Y29" s="171">
        <v>1425</v>
      </c>
      <c r="Z29" s="171">
        <f t="shared" si="2"/>
        <v>20.926027397260274</v>
      </c>
      <c r="AA29" s="173">
        <f t="shared" si="17"/>
        <v>41.79078263060196</v>
      </c>
      <c r="AB29" s="173">
        <f t="shared" si="18"/>
        <v>34.639162927600005</v>
      </c>
      <c r="AC29" s="171">
        <f t="shared" si="19"/>
        <v>1452.075</v>
      </c>
      <c r="AD29" s="166">
        <f t="shared" si="3"/>
        <v>26570.378464697998</v>
      </c>
      <c r="AE29" s="166">
        <f t="shared" si="4"/>
        <v>26946.774904697999</v>
      </c>
      <c r="AF29" s="166">
        <f t="shared" si="5"/>
        <v>27323.239237057998</v>
      </c>
      <c r="AG29" s="166">
        <f t="shared" si="6"/>
        <v>27624.733533432838</v>
      </c>
      <c r="AH29" s="166">
        <f t="shared" si="7"/>
        <v>29431.411196072979</v>
      </c>
      <c r="AI29" s="174"/>
    </row>
    <row r="30" spans="1:35" ht="30" customHeight="1">
      <c r="A30" s="162">
        <v>28</v>
      </c>
      <c r="B30" s="162" t="s">
        <v>285</v>
      </c>
      <c r="C30" s="163">
        <v>38838</v>
      </c>
      <c r="D30" s="162" t="s">
        <v>292</v>
      </c>
      <c r="E30" s="162" t="s">
        <v>287</v>
      </c>
      <c r="F30" s="162">
        <v>189</v>
      </c>
      <c r="G30" s="165" t="s">
        <v>288</v>
      </c>
      <c r="H30" s="166">
        <f>+'A.1_Tabla Costes Subrogación'!V77</f>
        <v>28475.928464697998</v>
      </c>
      <c r="I30" s="166">
        <v>25505.05</v>
      </c>
      <c r="J30" s="166">
        <f t="shared" si="9"/>
        <v>0.89567053209938219</v>
      </c>
      <c r="K30" s="170">
        <f t="shared" si="21"/>
        <v>38.76</v>
      </c>
      <c r="L30" s="170">
        <f t="shared" si="10"/>
        <v>31.790000000000003</v>
      </c>
      <c r="M30" s="171">
        <v>375</v>
      </c>
      <c r="N30" s="171">
        <f t="shared" si="8"/>
        <v>17.67945205479452</v>
      </c>
      <c r="O30" s="170">
        <f t="shared" si="11"/>
        <v>39.49644</v>
      </c>
      <c r="P30" s="170">
        <f t="shared" si="12"/>
        <v>32.450000000000003</v>
      </c>
      <c r="Q30" s="171">
        <v>750</v>
      </c>
      <c r="R30" s="171">
        <f t="shared" si="0"/>
        <v>18.682191780821917</v>
      </c>
      <c r="S30" s="170">
        <f t="shared" si="13"/>
        <v>40.246872359999998</v>
      </c>
      <c r="T30" s="170">
        <f t="shared" si="14"/>
        <v>33.163900000000005</v>
      </c>
      <c r="U30" s="171">
        <v>1125</v>
      </c>
      <c r="V30" s="171">
        <f t="shared" si="1"/>
        <v>19.682191780821917</v>
      </c>
      <c r="W30" s="170">
        <f t="shared" si="15"/>
        <v>41.011562934840001</v>
      </c>
      <c r="X30" s="170">
        <f t="shared" si="16"/>
        <v>33.893505800000007</v>
      </c>
      <c r="Y30" s="171">
        <v>1425</v>
      </c>
      <c r="Z30" s="171">
        <f t="shared" si="2"/>
        <v>20.682191780821917</v>
      </c>
      <c r="AA30" s="173">
        <f t="shared" si="17"/>
        <v>41.79078263060196</v>
      </c>
      <c r="AB30" s="173">
        <f t="shared" si="18"/>
        <v>34.639162927600005</v>
      </c>
      <c r="AC30" s="171">
        <f t="shared" si="19"/>
        <v>1452.075</v>
      </c>
      <c r="AD30" s="166">
        <f t="shared" si="3"/>
        <v>28921.478464697997</v>
      </c>
      <c r="AE30" s="166">
        <f t="shared" si="4"/>
        <v>29297.874904697997</v>
      </c>
      <c r="AF30" s="166">
        <f t="shared" si="5"/>
        <v>29674.339237057997</v>
      </c>
      <c r="AG30" s="166">
        <f t="shared" si="6"/>
        <v>29975.833533432837</v>
      </c>
      <c r="AH30" s="166">
        <f t="shared" si="7"/>
        <v>26393.065299003614</v>
      </c>
      <c r="AI30" s="174"/>
    </row>
    <row r="31" spans="1:35" ht="30" customHeight="1">
      <c r="A31" s="162">
        <v>29</v>
      </c>
      <c r="B31" s="162" t="s">
        <v>285</v>
      </c>
      <c r="C31" s="163">
        <v>38827</v>
      </c>
      <c r="D31" s="162" t="s">
        <v>292</v>
      </c>
      <c r="E31" s="162" t="s">
        <v>287</v>
      </c>
      <c r="F31" s="162">
        <v>100</v>
      </c>
      <c r="G31" s="165" t="s">
        <v>288</v>
      </c>
      <c r="H31" s="166">
        <f>+'A.1_Tabla Costes Subrogación'!V78</f>
        <v>26124.828464697999</v>
      </c>
      <c r="I31" s="166">
        <v>34813.15</v>
      </c>
      <c r="J31" s="166">
        <f t="shared" si="9"/>
        <v>1.332569515127817</v>
      </c>
      <c r="K31" s="170">
        <f t="shared" si="21"/>
        <v>38.76</v>
      </c>
      <c r="L31" s="170">
        <f t="shared" si="10"/>
        <v>31.790000000000003</v>
      </c>
      <c r="M31" s="171">
        <v>375</v>
      </c>
      <c r="N31" s="171">
        <f t="shared" si="8"/>
        <v>17.709589041095889</v>
      </c>
      <c r="O31" s="170">
        <f t="shared" si="11"/>
        <v>39.49644</v>
      </c>
      <c r="P31" s="170">
        <f t="shared" si="12"/>
        <v>32.450000000000003</v>
      </c>
      <c r="Q31" s="171">
        <v>750</v>
      </c>
      <c r="R31" s="171">
        <f t="shared" si="0"/>
        <v>18.712328767123289</v>
      </c>
      <c r="S31" s="170">
        <f t="shared" si="13"/>
        <v>40.246872359999998</v>
      </c>
      <c r="T31" s="170">
        <f t="shared" si="14"/>
        <v>33.163900000000005</v>
      </c>
      <c r="U31" s="171">
        <v>1125</v>
      </c>
      <c r="V31" s="171">
        <f t="shared" si="1"/>
        <v>19.712328767123289</v>
      </c>
      <c r="W31" s="170">
        <f t="shared" si="15"/>
        <v>41.011562934840001</v>
      </c>
      <c r="X31" s="170">
        <f t="shared" si="16"/>
        <v>33.893505800000007</v>
      </c>
      <c r="Y31" s="171">
        <v>1425</v>
      </c>
      <c r="Z31" s="171">
        <f t="shared" si="2"/>
        <v>20.712328767123289</v>
      </c>
      <c r="AA31" s="173">
        <f t="shared" si="17"/>
        <v>41.79078263060196</v>
      </c>
      <c r="AB31" s="173">
        <f t="shared" si="18"/>
        <v>34.639162927600005</v>
      </c>
      <c r="AC31" s="171">
        <f t="shared" si="19"/>
        <v>1452.075</v>
      </c>
      <c r="AD31" s="166">
        <f t="shared" si="3"/>
        <v>26570.378464697998</v>
      </c>
      <c r="AE31" s="166">
        <f t="shared" si="4"/>
        <v>26946.774904697999</v>
      </c>
      <c r="AF31" s="166">
        <f t="shared" si="5"/>
        <v>27323.239237057998</v>
      </c>
      <c r="AG31" s="166">
        <f t="shared" si="6"/>
        <v>27624.733533432838</v>
      </c>
      <c r="AH31" s="166">
        <f t="shared" si="7"/>
        <v>36134.330137126628</v>
      </c>
      <c r="AI31" s="162" t="s">
        <v>294</v>
      </c>
    </row>
    <row r="32" spans="1:35" ht="30" customHeight="1">
      <c r="A32" s="162">
        <v>30</v>
      </c>
      <c r="B32" s="162" t="s">
        <v>285</v>
      </c>
      <c r="C32" s="163">
        <v>38749</v>
      </c>
      <c r="D32" s="162" t="s">
        <v>292</v>
      </c>
      <c r="E32" s="162" t="s">
        <v>287</v>
      </c>
      <c r="F32" s="162">
        <v>100</v>
      </c>
      <c r="G32" s="165" t="s">
        <v>288</v>
      </c>
      <c r="H32" s="166">
        <f>+'A.1_Tabla Costes Subrogación'!V79</f>
        <v>26124.828464697999</v>
      </c>
      <c r="I32" s="166">
        <v>27711.81</v>
      </c>
      <c r="J32" s="166">
        <f t="shared" si="9"/>
        <v>1.0607461035561041</v>
      </c>
      <c r="K32" s="170">
        <f t="shared" si="21"/>
        <v>38.76</v>
      </c>
      <c r="L32" s="170">
        <f t="shared" si="10"/>
        <v>31.790000000000003</v>
      </c>
      <c r="M32" s="171">
        <v>375</v>
      </c>
      <c r="N32" s="171">
        <f t="shared" si="8"/>
        <v>17.923287671232877</v>
      </c>
      <c r="O32" s="170">
        <f t="shared" si="11"/>
        <v>39.49644</v>
      </c>
      <c r="P32" s="170">
        <f t="shared" si="12"/>
        <v>32.450000000000003</v>
      </c>
      <c r="Q32" s="171">
        <v>750</v>
      </c>
      <c r="R32" s="171">
        <f t="shared" si="0"/>
        <v>18.926027397260274</v>
      </c>
      <c r="S32" s="170">
        <f t="shared" si="13"/>
        <v>40.246872359999998</v>
      </c>
      <c r="T32" s="170">
        <f t="shared" si="14"/>
        <v>33.163900000000005</v>
      </c>
      <c r="U32" s="171">
        <v>1125</v>
      </c>
      <c r="V32" s="171">
        <f t="shared" si="1"/>
        <v>19.926027397260274</v>
      </c>
      <c r="W32" s="170">
        <f t="shared" si="15"/>
        <v>41.011562934840001</v>
      </c>
      <c r="X32" s="170">
        <f t="shared" si="16"/>
        <v>33.893505800000007</v>
      </c>
      <c r="Y32" s="171">
        <v>1425</v>
      </c>
      <c r="Z32" s="171">
        <f t="shared" si="2"/>
        <v>20.926027397260274</v>
      </c>
      <c r="AA32" s="173">
        <f t="shared" si="17"/>
        <v>41.79078263060196</v>
      </c>
      <c r="AB32" s="173">
        <f t="shared" si="18"/>
        <v>34.639162927600005</v>
      </c>
      <c r="AC32" s="171">
        <f t="shared" si="19"/>
        <v>1452.075</v>
      </c>
      <c r="AD32" s="166">
        <f t="shared" si="3"/>
        <v>26570.378464697998</v>
      </c>
      <c r="AE32" s="166">
        <f t="shared" si="4"/>
        <v>26946.774904697999</v>
      </c>
      <c r="AF32" s="166">
        <f t="shared" si="5"/>
        <v>27323.239237057998</v>
      </c>
      <c r="AG32" s="166">
        <f t="shared" si="6"/>
        <v>27624.733533432838</v>
      </c>
      <c r="AH32" s="166">
        <f t="shared" si="7"/>
        <v>28763.489981151575</v>
      </c>
      <c r="AI32" s="174"/>
    </row>
    <row r="33" spans="1:35" ht="30" customHeight="1">
      <c r="A33" s="162">
        <v>31</v>
      </c>
      <c r="B33" s="162" t="s">
        <v>285</v>
      </c>
      <c r="C33" s="163">
        <v>38749</v>
      </c>
      <c r="D33" s="162" t="s">
        <v>292</v>
      </c>
      <c r="E33" s="162" t="s">
        <v>287</v>
      </c>
      <c r="F33" s="162">
        <v>100</v>
      </c>
      <c r="G33" s="165" t="s">
        <v>288</v>
      </c>
      <c r="H33" s="166">
        <f>+'A.1_Tabla Costes Subrogación'!V80</f>
        <v>26370.528464697996</v>
      </c>
      <c r="I33" s="166">
        <v>27711.81</v>
      </c>
      <c r="J33" s="166">
        <f t="shared" si="9"/>
        <v>1.0508628993574234</v>
      </c>
      <c r="K33" s="170">
        <f t="shared" si="21"/>
        <v>38.76</v>
      </c>
      <c r="L33" s="170">
        <f t="shared" si="10"/>
        <v>31.790000000000003</v>
      </c>
      <c r="M33" s="171">
        <v>375</v>
      </c>
      <c r="N33" s="171">
        <f t="shared" si="8"/>
        <v>17.923287671232877</v>
      </c>
      <c r="O33" s="170">
        <f t="shared" si="11"/>
        <v>39.49644</v>
      </c>
      <c r="P33" s="170">
        <f t="shared" si="12"/>
        <v>32.450000000000003</v>
      </c>
      <c r="Q33" s="171">
        <v>750</v>
      </c>
      <c r="R33" s="171">
        <f t="shared" si="0"/>
        <v>18.926027397260274</v>
      </c>
      <c r="S33" s="170">
        <f t="shared" si="13"/>
        <v>40.246872359999998</v>
      </c>
      <c r="T33" s="170">
        <f t="shared" si="14"/>
        <v>33.163900000000005</v>
      </c>
      <c r="U33" s="171">
        <v>1125</v>
      </c>
      <c r="V33" s="171">
        <f t="shared" si="1"/>
        <v>19.926027397260274</v>
      </c>
      <c r="W33" s="170">
        <f t="shared" si="15"/>
        <v>41.011562934840001</v>
      </c>
      <c r="X33" s="170">
        <f t="shared" si="16"/>
        <v>33.893505800000007</v>
      </c>
      <c r="Y33" s="171">
        <v>1425</v>
      </c>
      <c r="Z33" s="171">
        <f t="shared" si="2"/>
        <v>20.926027397260274</v>
      </c>
      <c r="AA33" s="173">
        <f t="shared" si="17"/>
        <v>41.79078263060196</v>
      </c>
      <c r="AB33" s="173">
        <f t="shared" si="18"/>
        <v>34.639162927600005</v>
      </c>
      <c r="AC33" s="171">
        <f t="shared" si="19"/>
        <v>1452.075</v>
      </c>
      <c r="AD33" s="166">
        <f t="shared" si="3"/>
        <v>26816.078464697996</v>
      </c>
      <c r="AE33" s="166">
        <f t="shared" si="4"/>
        <v>27192.474904697996</v>
      </c>
      <c r="AF33" s="166">
        <f t="shared" si="5"/>
        <v>27568.939237057995</v>
      </c>
      <c r="AG33" s="166">
        <f t="shared" si="6"/>
        <v>27870.433533432835</v>
      </c>
      <c r="AH33" s="166">
        <f t="shared" si="7"/>
        <v>28753.691248004645</v>
      </c>
      <c r="AI33" s="174"/>
    </row>
    <row r="34" spans="1:35" ht="30" customHeight="1">
      <c r="A34" s="162">
        <v>32</v>
      </c>
      <c r="B34" s="162" t="s">
        <v>285</v>
      </c>
      <c r="C34" s="163">
        <v>39618</v>
      </c>
      <c r="D34" s="162" t="s">
        <v>292</v>
      </c>
      <c r="E34" s="162" t="s">
        <v>287</v>
      </c>
      <c r="F34" s="162">
        <v>189</v>
      </c>
      <c r="G34" s="165" t="s">
        <v>288</v>
      </c>
      <c r="H34" s="166">
        <f>+'A.1_Tabla Costes Subrogación'!V81</f>
        <v>25457.778464697996</v>
      </c>
      <c r="I34" s="166">
        <v>24491.59</v>
      </c>
      <c r="J34" s="166">
        <f t="shared" si="9"/>
        <v>0.96204741642960723</v>
      </c>
      <c r="K34" s="170">
        <f t="shared" si="21"/>
        <v>38.76</v>
      </c>
      <c r="L34" s="170">
        <f t="shared" si="10"/>
        <v>31.790000000000003</v>
      </c>
      <c r="M34" s="171">
        <v>375</v>
      </c>
      <c r="N34" s="171">
        <f t="shared" si="8"/>
        <v>15.542465753424658</v>
      </c>
      <c r="O34" s="170">
        <f t="shared" si="11"/>
        <v>39.49644</v>
      </c>
      <c r="P34" s="170">
        <f t="shared" si="12"/>
        <v>32.450000000000003</v>
      </c>
      <c r="Q34" s="171">
        <v>750</v>
      </c>
      <c r="R34" s="171">
        <f t="shared" si="0"/>
        <v>16.545205479452054</v>
      </c>
      <c r="S34" s="170">
        <f t="shared" si="13"/>
        <v>40.246872359999998</v>
      </c>
      <c r="T34" s="170">
        <f t="shared" si="14"/>
        <v>33.163900000000005</v>
      </c>
      <c r="U34" s="171">
        <v>1125</v>
      </c>
      <c r="V34" s="171">
        <f t="shared" si="1"/>
        <v>17.545205479452054</v>
      </c>
      <c r="W34" s="170">
        <f t="shared" si="15"/>
        <v>41.011562934840001</v>
      </c>
      <c r="X34" s="170">
        <f t="shared" si="16"/>
        <v>33.893505800000007</v>
      </c>
      <c r="Y34" s="171">
        <v>1425</v>
      </c>
      <c r="Z34" s="171">
        <f t="shared" si="2"/>
        <v>18.545205479452054</v>
      </c>
      <c r="AA34" s="173">
        <f t="shared" si="17"/>
        <v>41.79078263060196</v>
      </c>
      <c r="AB34" s="173">
        <f t="shared" si="18"/>
        <v>34.639162927600005</v>
      </c>
      <c r="AC34" s="171">
        <f t="shared" si="19"/>
        <v>1452.075</v>
      </c>
      <c r="AD34" s="166">
        <f t="shared" si="3"/>
        <v>25903.328464697996</v>
      </c>
      <c r="AE34" s="166">
        <f t="shared" si="4"/>
        <v>26279.724904697996</v>
      </c>
      <c r="AF34" s="166">
        <f t="shared" si="5"/>
        <v>26656.189237057995</v>
      </c>
      <c r="AG34" s="166">
        <f t="shared" si="6"/>
        <v>26957.683533432835</v>
      </c>
      <c r="AH34" s="166">
        <f t="shared" si="7"/>
        <v>25445.414864768023</v>
      </c>
      <c r="AI34" s="174"/>
    </row>
    <row r="35" spans="1:35" ht="30" customHeight="1">
      <c r="A35" s="162">
        <v>33</v>
      </c>
      <c r="B35" s="162" t="s">
        <v>285</v>
      </c>
      <c r="C35" s="163">
        <v>38880</v>
      </c>
      <c r="D35" s="162" t="s">
        <v>292</v>
      </c>
      <c r="E35" s="162" t="s">
        <v>287</v>
      </c>
      <c r="F35" s="162">
        <v>189</v>
      </c>
      <c r="G35" s="165" t="s">
        <v>288</v>
      </c>
      <c r="H35" s="166">
        <f>+'A.1_Tabla Costes Subrogación'!V82</f>
        <v>1696.456666666666</v>
      </c>
      <c r="I35" s="166">
        <v>25458.2</v>
      </c>
      <c r="J35" s="166">
        <f t="shared" si="9"/>
        <v>15.006690415513125</v>
      </c>
      <c r="K35" s="170">
        <f t="shared" si="21"/>
        <v>38.76</v>
      </c>
      <c r="L35" s="170">
        <f t="shared" si="10"/>
        <v>31.790000000000003</v>
      </c>
      <c r="M35" s="171">
        <v>375</v>
      </c>
      <c r="N35" s="171">
        <f t="shared" si="8"/>
        <v>17.564383561643837</v>
      </c>
      <c r="O35" s="170">
        <f t="shared" si="11"/>
        <v>39.49644</v>
      </c>
      <c r="P35" s="170">
        <f t="shared" si="12"/>
        <v>32.450000000000003</v>
      </c>
      <c r="Q35" s="171">
        <v>750</v>
      </c>
      <c r="R35" s="171">
        <f t="shared" si="0"/>
        <v>18.567123287671233</v>
      </c>
      <c r="S35" s="170">
        <f t="shared" si="13"/>
        <v>40.246872359999998</v>
      </c>
      <c r="T35" s="170">
        <f t="shared" si="14"/>
        <v>33.163900000000005</v>
      </c>
      <c r="U35" s="171">
        <v>1125</v>
      </c>
      <c r="V35" s="171">
        <f t="shared" si="1"/>
        <v>19.567123287671233</v>
      </c>
      <c r="W35" s="170">
        <f t="shared" si="15"/>
        <v>41.011562934840001</v>
      </c>
      <c r="X35" s="170">
        <f t="shared" si="16"/>
        <v>33.893505800000007</v>
      </c>
      <c r="Y35" s="171">
        <v>1425</v>
      </c>
      <c r="Z35" s="171">
        <f t="shared" si="2"/>
        <v>20.567123287671233</v>
      </c>
      <c r="AA35" s="173">
        <f t="shared" si="17"/>
        <v>41.79078263060196</v>
      </c>
      <c r="AB35" s="173">
        <f t="shared" si="18"/>
        <v>34.639162927600005</v>
      </c>
      <c r="AC35" s="171">
        <f t="shared" si="19"/>
        <v>1452.075</v>
      </c>
      <c r="AD35" s="166">
        <f t="shared" ref="AD35:AD52" si="22">H35+K35+L35+M35</f>
        <v>2142.0066666666662</v>
      </c>
      <c r="AE35" s="166">
        <f t="shared" ref="AE35:AE52" si="23">H35+O35+P35+Q35</f>
        <v>2518.4031066666657</v>
      </c>
      <c r="AF35" s="166">
        <f t="shared" ref="AF35:AF52" si="24">H35+S35+T35+U35</f>
        <v>2894.867439026666</v>
      </c>
      <c r="AG35" s="166">
        <f t="shared" ref="AG35:AG52" si="25">H35+W35+X35+Y35</f>
        <v>3196.3617354015059</v>
      </c>
      <c r="AH35" s="166">
        <f t="shared" ref="AH35:AH52" si="26">(+SUM(AD35:AG35)/4)*J35</f>
        <v>40336.629287107549</v>
      </c>
      <c r="AI35" s="174"/>
    </row>
    <row r="36" spans="1:35" ht="30" customHeight="1">
      <c r="A36" s="162">
        <v>34</v>
      </c>
      <c r="B36" s="162" t="s">
        <v>285</v>
      </c>
      <c r="C36" s="163">
        <v>38908</v>
      </c>
      <c r="D36" s="162" t="s">
        <v>292</v>
      </c>
      <c r="E36" s="162" t="s">
        <v>287</v>
      </c>
      <c r="F36" s="162">
        <v>100</v>
      </c>
      <c r="G36" s="165" t="s">
        <v>288</v>
      </c>
      <c r="H36" s="166">
        <f>+'A.1_Tabla Costes Subrogación'!V83</f>
        <v>1696.456666666666</v>
      </c>
      <c r="I36" s="166">
        <v>24491.59</v>
      </c>
      <c r="J36" s="166">
        <f t="shared" si="9"/>
        <v>14.436908694003389</v>
      </c>
      <c r="K36" s="170">
        <f t="shared" si="21"/>
        <v>38.76</v>
      </c>
      <c r="L36" s="170">
        <f t="shared" si="10"/>
        <v>31.790000000000003</v>
      </c>
      <c r="M36" s="171">
        <v>375</v>
      </c>
      <c r="N36" s="171">
        <f t="shared" si="8"/>
        <v>17.487671232876714</v>
      </c>
      <c r="O36" s="170">
        <f t="shared" si="11"/>
        <v>39.49644</v>
      </c>
      <c r="P36" s="170">
        <f t="shared" si="12"/>
        <v>32.450000000000003</v>
      </c>
      <c r="Q36" s="171">
        <v>750</v>
      </c>
      <c r="R36" s="171">
        <f t="shared" si="0"/>
        <v>18.490410958904111</v>
      </c>
      <c r="S36" s="170">
        <f t="shared" si="13"/>
        <v>40.246872359999998</v>
      </c>
      <c r="T36" s="170">
        <f t="shared" si="14"/>
        <v>33.163900000000005</v>
      </c>
      <c r="U36" s="171">
        <v>1125</v>
      </c>
      <c r="V36" s="171">
        <f t="shared" si="1"/>
        <v>19.490410958904111</v>
      </c>
      <c r="W36" s="170">
        <f t="shared" si="15"/>
        <v>41.011562934840001</v>
      </c>
      <c r="X36" s="170">
        <f t="shared" si="16"/>
        <v>33.893505800000007</v>
      </c>
      <c r="Y36" s="171">
        <v>1425</v>
      </c>
      <c r="Z36" s="171">
        <f t="shared" si="2"/>
        <v>20.490410958904111</v>
      </c>
      <c r="AA36" s="173">
        <f t="shared" si="17"/>
        <v>41.79078263060196</v>
      </c>
      <c r="AB36" s="173">
        <f t="shared" si="18"/>
        <v>34.639162927600005</v>
      </c>
      <c r="AC36" s="171">
        <f t="shared" si="19"/>
        <v>1452.075</v>
      </c>
      <c r="AD36" s="166">
        <f t="shared" si="22"/>
        <v>2142.0066666666662</v>
      </c>
      <c r="AE36" s="166">
        <f t="shared" si="23"/>
        <v>2518.4031066666657</v>
      </c>
      <c r="AF36" s="166">
        <f t="shared" si="24"/>
        <v>2894.867439026666</v>
      </c>
      <c r="AG36" s="166">
        <f t="shared" si="25"/>
        <v>3196.3617354015059</v>
      </c>
      <c r="AH36" s="166">
        <f t="shared" si="26"/>
        <v>38805.107449930882</v>
      </c>
      <c r="AI36" s="174"/>
    </row>
    <row r="37" spans="1:35" ht="30" customHeight="1">
      <c r="A37" s="162">
        <v>35</v>
      </c>
      <c r="B37" s="162" t="s">
        <v>285</v>
      </c>
      <c r="C37" s="163">
        <v>38972</v>
      </c>
      <c r="D37" s="162" t="s">
        <v>292</v>
      </c>
      <c r="E37" s="162" t="s">
        <v>287</v>
      </c>
      <c r="F37" s="162">
        <v>100</v>
      </c>
      <c r="G37" s="165" t="s">
        <v>288</v>
      </c>
      <c r="H37" s="166">
        <f>+'A.1_Tabla Costes Subrogación'!V84</f>
        <v>1696.456666666666</v>
      </c>
      <c r="I37" s="166">
        <v>27318.31</v>
      </c>
      <c r="J37" s="166">
        <f t="shared" si="9"/>
        <v>16.103158151205363</v>
      </c>
      <c r="K37" s="170">
        <f t="shared" si="21"/>
        <v>38.76</v>
      </c>
      <c r="L37" s="170">
        <f t="shared" si="10"/>
        <v>31.790000000000003</v>
      </c>
      <c r="M37" s="171">
        <v>375</v>
      </c>
      <c r="N37" s="171">
        <f t="shared" si="8"/>
        <v>17.312328767123287</v>
      </c>
      <c r="O37" s="170">
        <f t="shared" si="11"/>
        <v>39.49644</v>
      </c>
      <c r="P37" s="170">
        <f t="shared" si="12"/>
        <v>32.450000000000003</v>
      </c>
      <c r="Q37" s="171">
        <v>750</v>
      </c>
      <c r="R37" s="171">
        <f t="shared" si="0"/>
        <v>18.315068493150687</v>
      </c>
      <c r="S37" s="170">
        <f t="shared" si="13"/>
        <v>40.246872359999998</v>
      </c>
      <c r="T37" s="170">
        <f t="shared" si="14"/>
        <v>33.163900000000005</v>
      </c>
      <c r="U37" s="171">
        <v>1125</v>
      </c>
      <c r="V37" s="171">
        <f t="shared" si="1"/>
        <v>19.315068493150687</v>
      </c>
      <c r="W37" s="170">
        <f t="shared" si="15"/>
        <v>41.011562934840001</v>
      </c>
      <c r="X37" s="170">
        <f t="shared" si="16"/>
        <v>33.893505800000007</v>
      </c>
      <c r="Y37" s="171">
        <v>1425</v>
      </c>
      <c r="Z37" s="171">
        <f t="shared" si="2"/>
        <v>20.315068493150687</v>
      </c>
      <c r="AA37" s="173">
        <f t="shared" si="17"/>
        <v>41.79078263060196</v>
      </c>
      <c r="AB37" s="173">
        <f t="shared" si="18"/>
        <v>34.639162927600005</v>
      </c>
      <c r="AC37" s="171">
        <f t="shared" si="19"/>
        <v>1452.075</v>
      </c>
      <c r="AD37" s="166">
        <f t="shared" si="22"/>
        <v>2142.0066666666662</v>
      </c>
      <c r="AE37" s="166">
        <f t="shared" si="23"/>
        <v>2518.4031066666657</v>
      </c>
      <c r="AF37" s="166">
        <f t="shared" si="24"/>
        <v>2894.867439026666</v>
      </c>
      <c r="AG37" s="166">
        <f t="shared" si="25"/>
        <v>3196.3617354015059</v>
      </c>
      <c r="AH37" s="166">
        <f t="shared" si="26"/>
        <v>43283.835590115683</v>
      </c>
      <c r="AI37" s="174"/>
    </row>
    <row r="38" spans="1:35" ht="30" customHeight="1">
      <c r="A38" s="162">
        <v>36</v>
      </c>
      <c r="B38" s="162" t="s">
        <v>285</v>
      </c>
      <c r="C38" s="163">
        <v>39284</v>
      </c>
      <c r="D38" s="162" t="s">
        <v>164</v>
      </c>
      <c r="E38" s="162" t="s">
        <v>287</v>
      </c>
      <c r="F38" s="162">
        <v>100</v>
      </c>
      <c r="G38" s="165" t="s">
        <v>288</v>
      </c>
      <c r="H38" s="166">
        <f>+'A.1_Tabla Costes Subrogación'!V86</f>
        <v>26365.091272696998</v>
      </c>
      <c r="I38" s="166">
        <v>25458.2</v>
      </c>
      <c r="J38" s="166">
        <f t="shared" si="9"/>
        <v>0.96560257412663875</v>
      </c>
      <c r="K38" s="170">
        <f t="shared" si="21"/>
        <v>38.76</v>
      </c>
      <c r="L38" s="170">
        <f t="shared" si="10"/>
        <v>31.790000000000003</v>
      </c>
      <c r="M38" s="171">
        <v>375</v>
      </c>
      <c r="N38" s="171">
        <f t="shared" si="8"/>
        <v>16.457534246575342</v>
      </c>
      <c r="O38" s="170">
        <f t="shared" si="11"/>
        <v>39.49644</v>
      </c>
      <c r="P38" s="170">
        <f t="shared" si="12"/>
        <v>32.450000000000003</v>
      </c>
      <c r="Q38" s="171">
        <v>750</v>
      </c>
      <c r="R38" s="171">
        <f t="shared" si="0"/>
        <v>17.460273972602739</v>
      </c>
      <c r="S38" s="170">
        <f t="shared" si="13"/>
        <v>40.246872359999998</v>
      </c>
      <c r="T38" s="170">
        <f t="shared" si="14"/>
        <v>33.163900000000005</v>
      </c>
      <c r="U38" s="171">
        <v>1125</v>
      </c>
      <c r="V38" s="171">
        <f t="shared" si="1"/>
        <v>18.460273972602739</v>
      </c>
      <c r="W38" s="170">
        <f t="shared" si="15"/>
        <v>41.011562934840001</v>
      </c>
      <c r="X38" s="170">
        <f t="shared" si="16"/>
        <v>33.893505800000007</v>
      </c>
      <c r="Y38" s="171">
        <v>1425</v>
      </c>
      <c r="Z38" s="171">
        <f t="shared" si="2"/>
        <v>19.460273972602739</v>
      </c>
      <c r="AA38" s="173">
        <f t="shared" si="17"/>
        <v>41.79078263060196</v>
      </c>
      <c r="AB38" s="173">
        <f t="shared" si="18"/>
        <v>34.639162927600005</v>
      </c>
      <c r="AC38" s="171">
        <f t="shared" si="19"/>
        <v>1452.075</v>
      </c>
      <c r="AD38" s="166">
        <f t="shared" si="22"/>
        <v>26810.641272696997</v>
      </c>
      <c r="AE38" s="166">
        <f t="shared" si="23"/>
        <v>27187.037712696998</v>
      </c>
      <c r="AF38" s="166">
        <f t="shared" si="24"/>
        <v>27563.502045056997</v>
      </c>
      <c r="AG38" s="166">
        <f t="shared" si="25"/>
        <v>27864.996341431837</v>
      </c>
      <c r="AH38" s="166">
        <f t="shared" si="26"/>
        <v>26415.549636782052</v>
      </c>
      <c r="AI38" s="174"/>
    </row>
    <row r="39" spans="1:35" ht="30" customHeight="1">
      <c r="A39" s="162">
        <v>37</v>
      </c>
      <c r="B39" s="162" t="s">
        <v>285</v>
      </c>
      <c r="C39" s="163">
        <v>38749</v>
      </c>
      <c r="D39" s="162" t="s">
        <v>295</v>
      </c>
      <c r="E39" s="162" t="s">
        <v>287</v>
      </c>
      <c r="F39" s="162">
        <v>100</v>
      </c>
      <c r="G39" s="165" t="s">
        <v>288</v>
      </c>
      <c r="H39" s="166">
        <f>+'A.1_Tabla Costes Subrogación'!V89</f>
        <v>33502.090502225001</v>
      </c>
      <c r="I39" s="166">
        <v>24491.59</v>
      </c>
      <c r="J39" s="166">
        <f t="shared" si="9"/>
        <v>0.73104661926614467</v>
      </c>
      <c r="K39" s="170">
        <f t="shared" si="21"/>
        <v>38.76</v>
      </c>
      <c r="L39" s="170">
        <f t="shared" si="10"/>
        <v>31.790000000000003</v>
      </c>
      <c r="M39" s="171">
        <v>375</v>
      </c>
      <c r="N39" s="171">
        <f t="shared" si="8"/>
        <v>17.923287671232877</v>
      </c>
      <c r="O39" s="170">
        <f t="shared" si="11"/>
        <v>39.49644</v>
      </c>
      <c r="P39" s="170">
        <f t="shared" si="12"/>
        <v>32.450000000000003</v>
      </c>
      <c r="Q39" s="171">
        <v>750</v>
      </c>
      <c r="R39" s="171" t="e">
        <f>(+R$1-#REF!)/365</f>
        <v>#REF!</v>
      </c>
      <c r="S39" s="170">
        <f t="shared" si="13"/>
        <v>40.246872359999998</v>
      </c>
      <c r="T39" s="170">
        <f t="shared" si="14"/>
        <v>33.163900000000005</v>
      </c>
      <c r="U39" s="171">
        <v>1125</v>
      </c>
      <c r="V39" s="171" t="e">
        <f>(+V$1-#REF!)/365</f>
        <v>#REF!</v>
      </c>
      <c r="W39" s="170">
        <f t="shared" si="15"/>
        <v>41.011562934840001</v>
      </c>
      <c r="X39" s="170">
        <f t="shared" si="16"/>
        <v>33.893505800000007</v>
      </c>
      <c r="Y39" s="171">
        <v>1425</v>
      </c>
      <c r="Z39" s="171" t="e">
        <f>(+Z$1-#REF!)/365</f>
        <v>#REF!</v>
      </c>
      <c r="AA39" s="173">
        <f t="shared" si="17"/>
        <v>41.79078263060196</v>
      </c>
      <c r="AB39" s="173">
        <f t="shared" si="18"/>
        <v>34.639162927600005</v>
      </c>
      <c r="AC39" s="171">
        <f t="shared" si="19"/>
        <v>1452.075</v>
      </c>
      <c r="AD39" s="166">
        <f t="shared" si="22"/>
        <v>33947.640502225004</v>
      </c>
      <c r="AE39" s="166">
        <f t="shared" si="23"/>
        <v>34324.036942225001</v>
      </c>
      <c r="AF39" s="166">
        <f t="shared" si="24"/>
        <v>34700.501274585004</v>
      </c>
      <c r="AG39" s="166">
        <f t="shared" si="25"/>
        <v>35001.995570959836</v>
      </c>
      <c r="AH39" s="166">
        <f t="shared" si="26"/>
        <v>25216.388415184636</v>
      </c>
      <c r="AI39" s="174"/>
    </row>
    <row r="40" spans="1:35" ht="30" customHeight="1">
      <c r="A40" s="162">
        <v>38</v>
      </c>
      <c r="B40" s="162" t="s">
        <v>285</v>
      </c>
      <c r="C40" s="163">
        <v>39482</v>
      </c>
      <c r="D40" s="162" t="s">
        <v>296</v>
      </c>
      <c r="E40" s="162" t="s">
        <v>287</v>
      </c>
      <c r="F40" s="162">
        <v>100</v>
      </c>
      <c r="G40" s="165" t="s">
        <v>288</v>
      </c>
      <c r="H40" s="166">
        <f>+'A.1_Tabla Costes Subrogación'!V93</f>
        <v>25650.375011484997</v>
      </c>
      <c r="I40" s="166">
        <v>26698.34</v>
      </c>
      <c r="J40" s="166">
        <f t="shared" si="9"/>
        <v>1.0408557375104954</v>
      </c>
      <c r="K40" s="170">
        <f>1.85*12</f>
        <v>22.200000000000003</v>
      </c>
      <c r="L40" s="170">
        <f t="shared" si="10"/>
        <v>31.790000000000003</v>
      </c>
      <c r="M40" s="171">
        <v>375</v>
      </c>
      <c r="N40" s="171">
        <f t="shared" si="8"/>
        <v>15.915068493150685</v>
      </c>
      <c r="O40" s="170">
        <f t="shared" si="11"/>
        <v>22.621800000000004</v>
      </c>
      <c r="P40" s="170">
        <f t="shared" si="12"/>
        <v>32.450000000000003</v>
      </c>
      <c r="Q40" s="171">
        <v>750</v>
      </c>
      <c r="R40" s="171">
        <f>(+R$1-C39)/365</f>
        <v>18.926027397260274</v>
      </c>
      <c r="S40" s="170">
        <f t="shared" si="13"/>
        <v>23.051614200000003</v>
      </c>
      <c r="T40" s="170">
        <f t="shared" si="14"/>
        <v>33.163900000000005</v>
      </c>
      <c r="U40" s="171">
        <v>1125</v>
      </c>
      <c r="V40" s="171">
        <f>(+V$1-C39)/365</f>
        <v>19.926027397260274</v>
      </c>
      <c r="W40" s="170">
        <f t="shared" si="15"/>
        <v>23.489594869800005</v>
      </c>
      <c r="X40" s="170">
        <f t="shared" si="16"/>
        <v>33.893505800000007</v>
      </c>
      <c r="Y40" s="171">
        <v>1425</v>
      </c>
      <c r="Z40" s="171">
        <f>(+Z$1-C39)/365</f>
        <v>20.926027397260274</v>
      </c>
      <c r="AA40" s="173">
        <f t="shared" si="17"/>
        <v>23.935897172326204</v>
      </c>
      <c r="AB40" s="173">
        <f t="shared" si="18"/>
        <v>34.639162927600005</v>
      </c>
      <c r="AC40" s="171">
        <f t="shared" si="19"/>
        <v>1452.075</v>
      </c>
      <c r="AD40" s="166">
        <f t="shared" si="22"/>
        <v>26079.365011484999</v>
      </c>
      <c r="AE40" s="166">
        <f t="shared" si="23"/>
        <v>26455.446811484999</v>
      </c>
      <c r="AF40" s="166">
        <f t="shared" si="24"/>
        <v>26831.590525684998</v>
      </c>
      <c r="AG40" s="166">
        <f t="shared" si="25"/>
        <v>27132.758112154796</v>
      </c>
      <c r="AH40" s="166">
        <f t="shared" si="26"/>
        <v>27712.565551421194</v>
      </c>
      <c r="AI40" s="174"/>
    </row>
    <row r="41" spans="1:35" ht="30" customHeight="1">
      <c r="A41" s="162">
        <v>52</v>
      </c>
      <c r="B41" s="162" t="s">
        <v>297</v>
      </c>
      <c r="C41" s="163">
        <v>44927</v>
      </c>
      <c r="D41" s="164" t="s">
        <v>286</v>
      </c>
      <c r="E41" s="162" t="s">
        <v>287</v>
      </c>
      <c r="F41" s="162">
        <v>100</v>
      </c>
      <c r="G41" s="165" t="s">
        <v>288</v>
      </c>
      <c r="H41" s="166">
        <v>16405.060000000001</v>
      </c>
      <c r="I41" s="166">
        <v>22097.62</v>
      </c>
      <c r="J41" s="166">
        <f t="shared" si="9"/>
        <v>1.3470002547994337</v>
      </c>
      <c r="K41" s="170">
        <v>24.82</v>
      </c>
      <c r="L41" s="170">
        <f t="shared" si="10"/>
        <v>31.790000000000003</v>
      </c>
      <c r="M41" s="171">
        <v>375</v>
      </c>
      <c r="N41" s="171">
        <f t="shared" ref="N41:N52" si="27">(+N$1-C41)/365</f>
        <v>0.99726027397260275</v>
      </c>
      <c r="O41" s="170">
        <v>0.68</v>
      </c>
      <c r="P41" s="170">
        <f t="shared" si="12"/>
        <v>32.450000000000003</v>
      </c>
      <c r="Q41" s="171">
        <v>750</v>
      </c>
      <c r="R41" s="171">
        <f t="shared" ref="R41:R52" si="28">(+R$1-C41)/365</f>
        <v>2</v>
      </c>
      <c r="S41" s="170">
        <f t="shared" si="13"/>
        <v>0.69292000000000009</v>
      </c>
      <c r="T41" s="170">
        <f t="shared" si="14"/>
        <v>33.163900000000005</v>
      </c>
      <c r="U41" s="171">
        <v>1125</v>
      </c>
      <c r="V41" s="171">
        <f t="shared" ref="V41:V52" si="29">(+V$1-C41)/365</f>
        <v>3</v>
      </c>
      <c r="W41" s="170">
        <f t="shared" si="15"/>
        <v>0.70608548000000004</v>
      </c>
      <c r="X41" s="170">
        <f t="shared" si="16"/>
        <v>33.893505800000007</v>
      </c>
      <c r="Y41" s="171">
        <v>1425</v>
      </c>
      <c r="Z41" s="171">
        <f t="shared" ref="Z41:Z52" si="30">(+Z$1-C41)/365</f>
        <v>4</v>
      </c>
      <c r="AA41" s="173">
        <f t="shared" si="17"/>
        <v>0.71950110412000001</v>
      </c>
      <c r="AB41" s="173">
        <f t="shared" si="18"/>
        <v>34.639162927600005</v>
      </c>
      <c r="AC41" s="171">
        <f t="shared" si="19"/>
        <v>1452.075</v>
      </c>
      <c r="AD41" s="166">
        <f t="shared" si="22"/>
        <v>16836.670000000002</v>
      </c>
      <c r="AE41" s="166">
        <f t="shared" si="23"/>
        <v>17188.190000000002</v>
      </c>
      <c r="AF41" s="166">
        <f t="shared" si="24"/>
        <v>17563.916820000002</v>
      </c>
      <c r="AG41" s="166">
        <f t="shared" si="25"/>
        <v>17864.65959128</v>
      </c>
      <c r="AH41" s="166">
        <f t="shared" si="26"/>
        <v>23388.449135672607</v>
      </c>
      <c r="AI41" s="162" t="s">
        <v>298</v>
      </c>
    </row>
    <row r="42" spans="1:35" ht="30" customHeight="1">
      <c r="A42" s="162">
        <v>53</v>
      </c>
      <c r="B42" s="162" t="s">
        <v>297</v>
      </c>
      <c r="C42" s="163">
        <v>44927</v>
      </c>
      <c r="D42" s="164" t="s">
        <v>286</v>
      </c>
      <c r="E42" s="162" t="s">
        <v>287</v>
      </c>
      <c r="F42" s="162">
        <v>100</v>
      </c>
      <c r="G42" s="165" t="s">
        <v>288</v>
      </c>
      <c r="H42" s="166">
        <v>17334.009999999998</v>
      </c>
      <c r="I42" s="166">
        <v>23348.91</v>
      </c>
      <c r="J42" s="166">
        <f t="shared" si="9"/>
        <v>1.3469999151956185</v>
      </c>
      <c r="K42" s="170">
        <v>24.82</v>
      </c>
      <c r="L42" s="170">
        <f t="shared" si="10"/>
        <v>31.790000000000003</v>
      </c>
      <c r="M42" s="171">
        <v>375</v>
      </c>
      <c r="N42" s="171">
        <f t="shared" si="27"/>
        <v>0.99726027397260275</v>
      </c>
      <c r="O42" s="170">
        <v>0.68</v>
      </c>
      <c r="P42" s="170">
        <f t="shared" si="12"/>
        <v>32.450000000000003</v>
      </c>
      <c r="Q42" s="171">
        <v>750</v>
      </c>
      <c r="R42" s="171">
        <f t="shared" si="28"/>
        <v>2</v>
      </c>
      <c r="S42" s="170">
        <f t="shared" si="13"/>
        <v>0.69292000000000009</v>
      </c>
      <c r="T42" s="170">
        <f t="shared" si="14"/>
        <v>33.163900000000005</v>
      </c>
      <c r="U42" s="171">
        <v>1125</v>
      </c>
      <c r="V42" s="171">
        <f t="shared" si="29"/>
        <v>3</v>
      </c>
      <c r="W42" s="170">
        <f t="shared" si="15"/>
        <v>0.70608548000000004</v>
      </c>
      <c r="X42" s="170">
        <f t="shared" si="16"/>
        <v>33.893505800000007</v>
      </c>
      <c r="Y42" s="171">
        <v>1425</v>
      </c>
      <c r="Z42" s="171">
        <f t="shared" si="30"/>
        <v>4</v>
      </c>
      <c r="AA42" s="173">
        <f t="shared" si="17"/>
        <v>0.71950110412000001</v>
      </c>
      <c r="AB42" s="173">
        <f t="shared" si="18"/>
        <v>34.639162927600005</v>
      </c>
      <c r="AC42" s="171">
        <f t="shared" si="19"/>
        <v>1452.075</v>
      </c>
      <c r="AD42" s="166">
        <f t="shared" si="22"/>
        <v>17765.62</v>
      </c>
      <c r="AE42" s="166">
        <f t="shared" si="23"/>
        <v>18117.14</v>
      </c>
      <c r="AF42" s="166">
        <f t="shared" si="24"/>
        <v>18492.866819999999</v>
      </c>
      <c r="AG42" s="166">
        <f t="shared" si="25"/>
        <v>18793.609591279997</v>
      </c>
      <c r="AH42" s="166">
        <f t="shared" si="26"/>
        <v>24639.738810230574</v>
      </c>
      <c r="AI42" s="162" t="s">
        <v>299</v>
      </c>
    </row>
    <row r="43" spans="1:35" ht="30" customHeight="1">
      <c r="A43" s="162">
        <v>54</v>
      </c>
      <c r="B43" s="162" t="s">
        <v>297</v>
      </c>
      <c r="C43" s="163">
        <v>44927</v>
      </c>
      <c r="D43" s="164" t="s">
        <v>286</v>
      </c>
      <c r="E43" s="162" t="s">
        <v>287</v>
      </c>
      <c r="F43" s="162">
        <v>100</v>
      </c>
      <c r="G43" s="165" t="s">
        <v>288</v>
      </c>
      <c r="H43" s="166">
        <v>16405.060000000001</v>
      </c>
      <c r="I43" s="166">
        <v>22097.62</v>
      </c>
      <c r="J43" s="166">
        <f t="shared" si="9"/>
        <v>1.3470002547994337</v>
      </c>
      <c r="K43" s="170">
        <v>24.82</v>
      </c>
      <c r="L43" s="170">
        <f t="shared" si="10"/>
        <v>31.790000000000003</v>
      </c>
      <c r="M43" s="171">
        <v>375</v>
      </c>
      <c r="N43" s="171">
        <f t="shared" si="27"/>
        <v>0.99726027397260275</v>
      </c>
      <c r="O43" s="170">
        <v>0.68</v>
      </c>
      <c r="P43" s="170">
        <f t="shared" si="12"/>
        <v>32.450000000000003</v>
      </c>
      <c r="Q43" s="171">
        <v>750</v>
      </c>
      <c r="R43" s="171">
        <f t="shared" si="28"/>
        <v>2</v>
      </c>
      <c r="S43" s="170">
        <f t="shared" si="13"/>
        <v>0.69292000000000009</v>
      </c>
      <c r="T43" s="170">
        <f t="shared" si="14"/>
        <v>33.163900000000005</v>
      </c>
      <c r="U43" s="171">
        <v>1125</v>
      </c>
      <c r="V43" s="171">
        <f t="shared" si="29"/>
        <v>3</v>
      </c>
      <c r="W43" s="170">
        <f t="shared" si="15"/>
        <v>0.70608548000000004</v>
      </c>
      <c r="X43" s="170">
        <f t="shared" si="16"/>
        <v>33.893505800000007</v>
      </c>
      <c r="Y43" s="171">
        <v>1425</v>
      </c>
      <c r="Z43" s="171">
        <f t="shared" si="30"/>
        <v>4</v>
      </c>
      <c r="AA43" s="173">
        <f t="shared" si="17"/>
        <v>0.71950110412000001</v>
      </c>
      <c r="AB43" s="173">
        <f t="shared" si="18"/>
        <v>34.639162927600005</v>
      </c>
      <c r="AC43" s="171">
        <f t="shared" si="19"/>
        <v>1452.075</v>
      </c>
      <c r="AD43" s="166">
        <f t="shared" si="22"/>
        <v>16836.670000000002</v>
      </c>
      <c r="AE43" s="166">
        <f t="shared" si="23"/>
        <v>17188.190000000002</v>
      </c>
      <c r="AF43" s="166">
        <f t="shared" si="24"/>
        <v>17563.916820000002</v>
      </c>
      <c r="AG43" s="166">
        <f t="shared" si="25"/>
        <v>17864.65959128</v>
      </c>
      <c r="AH43" s="166">
        <f t="shared" si="26"/>
        <v>23388.449135672607</v>
      </c>
      <c r="AI43" s="162" t="s">
        <v>300</v>
      </c>
    </row>
    <row r="44" spans="1:35" ht="30" customHeight="1">
      <c r="A44" s="162">
        <v>55</v>
      </c>
      <c r="B44" s="162" t="s">
        <v>297</v>
      </c>
      <c r="C44" s="163">
        <v>44927</v>
      </c>
      <c r="D44" s="164" t="s">
        <v>286</v>
      </c>
      <c r="E44" s="162" t="s">
        <v>287</v>
      </c>
      <c r="F44" s="162">
        <v>100</v>
      </c>
      <c r="G44" s="165" t="s">
        <v>288</v>
      </c>
      <c r="H44" s="166">
        <v>17334.009999999998</v>
      </c>
      <c r="I44" s="166">
        <v>23348.91</v>
      </c>
      <c r="J44" s="166">
        <f t="shared" si="9"/>
        <v>1.3469999151956185</v>
      </c>
      <c r="K44" s="170">
        <v>24.82</v>
      </c>
      <c r="L44" s="170">
        <f t="shared" si="10"/>
        <v>31.790000000000003</v>
      </c>
      <c r="M44" s="171">
        <v>375</v>
      </c>
      <c r="N44" s="171">
        <f t="shared" si="27"/>
        <v>0.99726027397260275</v>
      </c>
      <c r="O44" s="170">
        <v>0.68</v>
      </c>
      <c r="P44" s="170">
        <f t="shared" si="12"/>
        <v>32.450000000000003</v>
      </c>
      <c r="Q44" s="171">
        <v>750</v>
      </c>
      <c r="R44" s="171">
        <f t="shared" si="28"/>
        <v>2</v>
      </c>
      <c r="S44" s="170">
        <f t="shared" si="13"/>
        <v>0.69292000000000009</v>
      </c>
      <c r="T44" s="170">
        <f t="shared" si="14"/>
        <v>33.163900000000005</v>
      </c>
      <c r="U44" s="171">
        <v>1125</v>
      </c>
      <c r="V44" s="171">
        <f t="shared" si="29"/>
        <v>3</v>
      </c>
      <c r="W44" s="170">
        <f t="shared" si="15"/>
        <v>0.70608548000000004</v>
      </c>
      <c r="X44" s="170">
        <f t="shared" si="16"/>
        <v>33.893505800000007</v>
      </c>
      <c r="Y44" s="171">
        <v>1425</v>
      </c>
      <c r="Z44" s="171">
        <f t="shared" si="30"/>
        <v>4</v>
      </c>
      <c r="AA44" s="173">
        <f t="shared" si="17"/>
        <v>0.71950110412000001</v>
      </c>
      <c r="AB44" s="173">
        <f t="shared" si="18"/>
        <v>34.639162927600005</v>
      </c>
      <c r="AC44" s="171">
        <f t="shared" si="19"/>
        <v>1452.075</v>
      </c>
      <c r="AD44" s="166">
        <f t="shared" si="22"/>
        <v>17765.62</v>
      </c>
      <c r="AE44" s="166">
        <f t="shared" si="23"/>
        <v>18117.14</v>
      </c>
      <c r="AF44" s="166">
        <f t="shared" si="24"/>
        <v>18492.866819999999</v>
      </c>
      <c r="AG44" s="166">
        <f t="shared" si="25"/>
        <v>18793.609591279997</v>
      </c>
      <c r="AH44" s="166">
        <f t="shared" si="26"/>
        <v>24639.738810230574</v>
      </c>
      <c r="AI44" s="162" t="s">
        <v>301</v>
      </c>
    </row>
    <row r="45" spans="1:35" ht="30" customHeight="1">
      <c r="A45" s="162">
        <v>56</v>
      </c>
      <c r="B45" s="162" t="s">
        <v>297</v>
      </c>
      <c r="C45" s="163">
        <v>44927</v>
      </c>
      <c r="D45" s="164" t="s">
        <v>286</v>
      </c>
      <c r="E45" s="162" t="s">
        <v>287</v>
      </c>
      <c r="F45" s="162">
        <v>100</v>
      </c>
      <c r="G45" s="165" t="s">
        <v>288</v>
      </c>
      <c r="H45" s="166">
        <v>17334.009999999998</v>
      </c>
      <c r="I45" s="166">
        <v>23348.91</v>
      </c>
      <c r="J45" s="166">
        <f t="shared" si="9"/>
        <v>1.3469999151956185</v>
      </c>
      <c r="K45" s="170">
        <v>24.82</v>
      </c>
      <c r="L45" s="170">
        <f t="shared" si="10"/>
        <v>31.790000000000003</v>
      </c>
      <c r="M45" s="171">
        <v>375</v>
      </c>
      <c r="N45" s="171">
        <f t="shared" si="27"/>
        <v>0.99726027397260275</v>
      </c>
      <c r="O45" s="170">
        <v>0.68</v>
      </c>
      <c r="P45" s="170">
        <f t="shared" si="12"/>
        <v>32.450000000000003</v>
      </c>
      <c r="Q45" s="171">
        <v>750</v>
      </c>
      <c r="R45" s="171">
        <f t="shared" si="28"/>
        <v>2</v>
      </c>
      <c r="S45" s="170">
        <f t="shared" si="13"/>
        <v>0.69292000000000009</v>
      </c>
      <c r="T45" s="170">
        <f t="shared" si="14"/>
        <v>33.163900000000005</v>
      </c>
      <c r="U45" s="171">
        <v>1125</v>
      </c>
      <c r="V45" s="171">
        <f t="shared" si="29"/>
        <v>3</v>
      </c>
      <c r="W45" s="170">
        <f t="shared" si="15"/>
        <v>0.70608548000000004</v>
      </c>
      <c r="X45" s="170">
        <f t="shared" si="16"/>
        <v>33.893505800000007</v>
      </c>
      <c r="Y45" s="171">
        <v>1425</v>
      </c>
      <c r="Z45" s="171">
        <f t="shared" si="30"/>
        <v>4</v>
      </c>
      <c r="AA45" s="173">
        <f t="shared" si="17"/>
        <v>0.71950110412000001</v>
      </c>
      <c r="AB45" s="173">
        <f t="shared" si="18"/>
        <v>34.639162927600005</v>
      </c>
      <c r="AC45" s="171">
        <f t="shared" si="19"/>
        <v>1452.075</v>
      </c>
      <c r="AD45" s="166">
        <f t="shared" si="22"/>
        <v>17765.62</v>
      </c>
      <c r="AE45" s="166">
        <f t="shared" si="23"/>
        <v>18117.14</v>
      </c>
      <c r="AF45" s="166">
        <f t="shared" si="24"/>
        <v>18492.866819999999</v>
      </c>
      <c r="AG45" s="166">
        <f t="shared" si="25"/>
        <v>18793.609591279997</v>
      </c>
      <c r="AH45" s="166">
        <f t="shared" si="26"/>
        <v>24639.738810230574</v>
      </c>
      <c r="AI45" s="162" t="s">
        <v>302</v>
      </c>
    </row>
    <row r="46" spans="1:35" ht="30" customHeight="1">
      <c r="A46" s="162">
        <v>57</v>
      </c>
      <c r="B46" s="162" t="s">
        <v>297</v>
      </c>
      <c r="C46" s="163">
        <v>44927</v>
      </c>
      <c r="D46" s="164" t="s">
        <v>289</v>
      </c>
      <c r="E46" s="162" t="s">
        <v>287</v>
      </c>
      <c r="F46" s="162">
        <v>100</v>
      </c>
      <c r="G46" s="165" t="s">
        <v>288</v>
      </c>
      <c r="H46" s="166">
        <v>17334.009999999998</v>
      </c>
      <c r="I46" s="166">
        <v>23348.91</v>
      </c>
      <c r="J46" s="166">
        <f t="shared" si="9"/>
        <v>1.3469999151956185</v>
      </c>
      <c r="K46" s="170">
        <v>24.82</v>
      </c>
      <c r="L46" s="170">
        <f t="shared" si="10"/>
        <v>31.790000000000003</v>
      </c>
      <c r="M46" s="171">
        <v>375</v>
      </c>
      <c r="N46" s="171">
        <f t="shared" si="27"/>
        <v>0.99726027397260275</v>
      </c>
      <c r="O46" s="170">
        <v>0.68</v>
      </c>
      <c r="P46" s="170">
        <f t="shared" si="12"/>
        <v>32.450000000000003</v>
      </c>
      <c r="Q46" s="171">
        <v>750</v>
      </c>
      <c r="R46" s="171">
        <f t="shared" si="28"/>
        <v>2</v>
      </c>
      <c r="S46" s="170">
        <f t="shared" si="13"/>
        <v>0.69292000000000009</v>
      </c>
      <c r="T46" s="170">
        <f t="shared" si="14"/>
        <v>33.163900000000005</v>
      </c>
      <c r="U46" s="171">
        <v>1125</v>
      </c>
      <c r="V46" s="171">
        <f t="shared" si="29"/>
        <v>3</v>
      </c>
      <c r="W46" s="170">
        <f t="shared" si="15"/>
        <v>0.70608548000000004</v>
      </c>
      <c r="X46" s="170">
        <f t="shared" si="16"/>
        <v>33.893505800000007</v>
      </c>
      <c r="Y46" s="171">
        <v>1425</v>
      </c>
      <c r="Z46" s="171">
        <f t="shared" si="30"/>
        <v>4</v>
      </c>
      <c r="AA46" s="173">
        <f t="shared" si="17"/>
        <v>0.71950110412000001</v>
      </c>
      <c r="AB46" s="173">
        <f t="shared" si="18"/>
        <v>34.639162927600005</v>
      </c>
      <c r="AC46" s="171">
        <f t="shared" si="19"/>
        <v>1452.075</v>
      </c>
      <c r="AD46" s="166">
        <f t="shared" si="22"/>
        <v>17765.62</v>
      </c>
      <c r="AE46" s="166">
        <f t="shared" si="23"/>
        <v>18117.14</v>
      </c>
      <c r="AF46" s="166">
        <f t="shared" si="24"/>
        <v>18492.866819999999</v>
      </c>
      <c r="AG46" s="166">
        <f t="shared" si="25"/>
        <v>18793.609591279997</v>
      </c>
      <c r="AH46" s="166">
        <f t="shared" si="26"/>
        <v>24639.738810230574</v>
      </c>
      <c r="AI46" s="162" t="s">
        <v>303</v>
      </c>
    </row>
    <row r="47" spans="1:35" ht="30" customHeight="1">
      <c r="A47" s="162">
        <v>58</v>
      </c>
      <c r="B47" s="162" t="s">
        <v>297</v>
      </c>
      <c r="C47" s="163">
        <v>44927</v>
      </c>
      <c r="D47" s="164" t="s">
        <v>289</v>
      </c>
      <c r="E47" s="162" t="s">
        <v>287</v>
      </c>
      <c r="F47" s="162">
        <v>100</v>
      </c>
      <c r="G47" s="165" t="s">
        <v>288</v>
      </c>
      <c r="H47" s="166">
        <v>7174.89</v>
      </c>
      <c r="I47" s="166">
        <v>9664.58</v>
      </c>
      <c r="J47" s="166">
        <f t="shared" si="9"/>
        <v>1.3470004418186201</v>
      </c>
      <c r="K47" s="170">
        <v>24.82</v>
      </c>
      <c r="L47" s="170">
        <f t="shared" si="10"/>
        <v>31.790000000000003</v>
      </c>
      <c r="M47" s="171">
        <v>375</v>
      </c>
      <c r="N47" s="171">
        <f t="shared" si="27"/>
        <v>0.99726027397260275</v>
      </c>
      <c r="O47" s="170">
        <v>0.68</v>
      </c>
      <c r="P47" s="170">
        <f t="shared" si="12"/>
        <v>32.450000000000003</v>
      </c>
      <c r="Q47" s="171">
        <v>750</v>
      </c>
      <c r="R47" s="171">
        <f t="shared" si="28"/>
        <v>2</v>
      </c>
      <c r="S47" s="170">
        <f t="shared" si="13"/>
        <v>0.69292000000000009</v>
      </c>
      <c r="T47" s="170">
        <f t="shared" si="14"/>
        <v>33.163900000000005</v>
      </c>
      <c r="U47" s="171">
        <v>1125</v>
      </c>
      <c r="V47" s="171">
        <f t="shared" si="29"/>
        <v>3</v>
      </c>
      <c r="W47" s="170">
        <f t="shared" si="15"/>
        <v>0.70608548000000004</v>
      </c>
      <c r="X47" s="170">
        <f t="shared" si="16"/>
        <v>33.893505800000007</v>
      </c>
      <c r="Y47" s="171">
        <v>1425</v>
      </c>
      <c r="Z47" s="171">
        <f t="shared" si="30"/>
        <v>4</v>
      </c>
      <c r="AA47" s="173">
        <f t="shared" si="17"/>
        <v>0.71950110412000001</v>
      </c>
      <c r="AB47" s="173">
        <f t="shared" si="18"/>
        <v>34.639162927600005</v>
      </c>
      <c r="AC47" s="171">
        <f t="shared" si="19"/>
        <v>1452.075</v>
      </c>
      <c r="AD47" s="166">
        <f t="shared" si="22"/>
        <v>7606.5</v>
      </c>
      <c r="AE47" s="166">
        <f t="shared" si="23"/>
        <v>7958.02</v>
      </c>
      <c r="AF47" s="166">
        <f t="shared" si="24"/>
        <v>8333.7468200000003</v>
      </c>
      <c r="AG47" s="166">
        <f t="shared" si="25"/>
        <v>8634.4895912800002</v>
      </c>
      <c r="AH47" s="166">
        <f t="shared" si="26"/>
        <v>10955.409314892928</v>
      </c>
      <c r="AI47" s="162" t="s">
        <v>304</v>
      </c>
    </row>
    <row r="48" spans="1:35" ht="30" customHeight="1">
      <c r="A48" s="162">
        <v>59</v>
      </c>
      <c r="B48" s="162" t="s">
        <v>297</v>
      </c>
      <c r="C48" s="163">
        <v>44927</v>
      </c>
      <c r="D48" s="164" t="s">
        <v>289</v>
      </c>
      <c r="E48" s="162" t="s">
        <v>287</v>
      </c>
      <c r="F48" s="162">
        <v>100</v>
      </c>
      <c r="G48" s="165" t="s">
        <v>288</v>
      </c>
      <c r="H48" s="166">
        <v>17334.009999999998</v>
      </c>
      <c r="I48" s="166">
        <v>23348.91</v>
      </c>
      <c r="J48" s="166">
        <f t="shared" si="9"/>
        <v>1.3469999151956185</v>
      </c>
      <c r="K48" s="170">
        <v>24.82</v>
      </c>
      <c r="L48" s="170">
        <f t="shared" si="10"/>
        <v>31.790000000000003</v>
      </c>
      <c r="M48" s="171">
        <v>375</v>
      </c>
      <c r="N48" s="171">
        <f t="shared" si="27"/>
        <v>0.99726027397260275</v>
      </c>
      <c r="O48" s="170">
        <v>0.68</v>
      </c>
      <c r="P48" s="170">
        <f t="shared" si="12"/>
        <v>32.450000000000003</v>
      </c>
      <c r="Q48" s="171">
        <v>750</v>
      </c>
      <c r="R48" s="171">
        <f t="shared" si="28"/>
        <v>2</v>
      </c>
      <c r="S48" s="170">
        <f t="shared" si="13"/>
        <v>0.69292000000000009</v>
      </c>
      <c r="T48" s="170">
        <f t="shared" si="14"/>
        <v>33.163900000000005</v>
      </c>
      <c r="U48" s="171">
        <v>1125</v>
      </c>
      <c r="V48" s="171">
        <f t="shared" si="29"/>
        <v>3</v>
      </c>
      <c r="W48" s="170">
        <f t="shared" si="15"/>
        <v>0.70608548000000004</v>
      </c>
      <c r="X48" s="170">
        <f t="shared" si="16"/>
        <v>33.893505800000007</v>
      </c>
      <c r="Y48" s="171">
        <v>1425</v>
      </c>
      <c r="Z48" s="171">
        <f t="shared" si="30"/>
        <v>4</v>
      </c>
      <c r="AA48" s="173">
        <f t="shared" si="17"/>
        <v>0.71950110412000001</v>
      </c>
      <c r="AB48" s="173">
        <f t="shared" si="18"/>
        <v>34.639162927600005</v>
      </c>
      <c r="AC48" s="171">
        <f t="shared" si="19"/>
        <v>1452.075</v>
      </c>
      <c r="AD48" s="166">
        <f t="shared" si="22"/>
        <v>17765.62</v>
      </c>
      <c r="AE48" s="166">
        <f t="shared" si="23"/>
        <v>18117.14</v>
      </c>
      <c r="AF48" s="166">
        <f t="shared" si="24"/>
        <v>18492.866819999999</v>
      </c>
      <c r="AG48" s="166">
        <f t="shared" si="25"/>
        <v>18793.609591279997</v>
      </c>
      <c r="AH48" s="166">
        <f t="shared" si="26"/>
        <v>24639.738810230574</v>
      </c>
      <c r="AI48" s="174"/>
    </row>
    <row r="49" spans="1:35" ht="30" customHeight="1">
      <c r="A49" s="162">
        <v>60</v>
      </c>
      <c r="B49" s="162" t="s">
        <v>297</v>
      </c>
      <c r="C49" s="163">
        <v>44927</v>
      </c>
      <c r="D49" s="164" t="s">
        <v>289</v>
      </c>
      <c r="E49" s="162" t="s">
        <v>287</v>
      </c>
      <c r="F49" s="162">
        <v>100</v>
      </c>
      <c r="G49" s="165" t="s">
        <v>288</v>
      </c>
      <c r="H49" s="166">
        <v>16405.060000000001</v>
      </c>
      <c r="I49" s="166">
        <v>22097.62</v>
      </c>
      <c r="J49" s="166">
        <f t="shared" si="9"/>
        <v>1.3470002547994337</v>
      </c>
      <c r="K49" s="170">
        <v>24.82</v>
      </c>
      <c r="L49" s="170">
        <f t="shared" si="10"/>
        <v>31.790000000000003</v>
      </c>
      <c r="M49" s="171">
        <v>375</v>
      </c>
      <c r="N49" s="171">
        <f t="shared" si="27"/>
        <v>0.99726027397260275</v>
      </c>
      <c r="O49" s="170">
        <v>0.68</v>
      </c>
      <c r="P49" s="170">
        <f t="shared" si="12"/>
        <v>32.450000000000003</v>
      </c>
      <c r="Q49" s="171">
        <v>750</v>
      </c>
      <c r="R49" s="171">
        <f t="shared" si="28"/>
        <v>2</v>
      </c>
      <c r="S49" s="170">
        <f t="shared" si="13"/>
        <v>0.69292000000000009</v>
      </c>
      <c r="T49" s="170">
        <f t="shared" si="14"/>
        <v>33.163900000000005</v>
      </c>
      <c r="U49" s="171">
        <v>1125</v>
      </c>
      <c r="V49" s="171">
        <f t="shared" si="29"/>
        <v>3</v>
      </c>
      <c r="W49" s="170">
        <f t="shared" si="15"/>
        <v>0.70608548000000004</v>
      </c>
      <c r="X49" s="170">
        <f t="shared" si="16"/>
        <v>33.893505800000007</v>
      </c>
      <c r="Y49" s="171">
        <v>1425</v>
      </c>
      <c r="Z49" s="171">
        <f t="shared" si="30"/>
        <v>4</v>
      </c>
      <c r="AA49" s="173">
        <f t="shared" si="17"/>
        <v>0.71950110412000001</v>
      </c>
      <c r="AB49" s="173">
        <f t="shared" si="18"/>
        <v>34.639162927600005</v>
      </c>
      <c r="AC49" s="171">
        <f t="shared" si="19"/>
        <v>1452.075</v>
      </c>
      <c r="AD49" s="166">
        <f t="shared" si="22"/>
        <v>16836.670000000002</v>
      </c>
      <c r="AE49" s="166">
        <f t="shared" si="23"/>
        <v>17188.190000000002</v>
      </c>
      <c r="AF49" s="166">
        <f t="shared" si="24"/>
        <v>17563.916820000002</v>
      </c>
      <c r="AG49" s="166">
        <f t="shared" si="25"/>
        <v>17864.65959128</v>
      </c>
      <c r="AH49" s="166">
        <f t="shared" si="26"/>
        <v>23388.449135672607</v>
      </c>
      <c r="AI49" s="162" t="s">
        <v>305</v>
      </c>
    </row>
    <row r="50" spans="1:35" ht="30" customHeight="1">
      <c r="A50" s="162">
        <v>61</v>
      </c>
      <c r="B50" s="162" t="s">
        <v>297</v>
      </c>
      <c r="C50" s="163">
        <v>44927</v>
      </c>
      <c r="D50" s="162" t="s">
        <v>291</v>
      </c>
      <c r="E50" s="162" t="s">
        <v>287</v>
      </c>
      <c r="F50" s="162">
        <v>100</v>
      </c>
      <c r="G50" s="165" t="s">
        <v>288</v>
      </c>
      <c r="H50" s="166">
        <v>17334.009999999998</v>
      </c>
      <c r="I50" s="166">
        <v>23348.91</v>
      </c>
      <c r="J50" s="166">
        <f t="shared" si="9"/>
        <v>1.3469999151956185</v>
      </c>
      <c r="K50" s="170">
        <v>0</v>
      </c>
      <c r="L50" s="170">
        <f t="shared" si="10"/>
        <v>31.790000000000003</v>
      </c>
      <c r="M50" s="171">
        <v>375</v>
      </c>
      <c r="N50" s="171">
        <f t="shared" si="27"/>
        <v>0.99726027397260275</v>
      </c>
      <c r="O50" s="170">
        <v>25.32</v>
      </c>
      <c r="P50" s="170">
        <f t="shared" si="12"/>
        <v>32.450000000000003</v>
      </c>
      <c r="Q50" s="171">
        <v>750</v>
      </c>
      <c r="R50" s="171">
        <f t="shared" si="28"/>
        <v>2</v>
      </c>
      <c r="S50" s="170">
        <v>0.68</v>
      </c>
      <c r="T50" s="170">
        <f t="shared" si="14"/>
        <v>33.163900000000005</v>
      </c>
      <c r="U50" s="171">
        <v>1125</v>
      </c>
      <c r="V50" s="171">
        <f t="shared" si="29"/>
        <v>3</v>
      </c>
      <c r="W50" s="170">
        <f t="shared" si="15"/>
        <v>0.69292000000000009</v>
      </c>
      <c r="X50" s="170">
        <f t="shared" si="16"/>
        <v>33.893505800000007</v>
      </c>
      <c r="Y50" s="171">
        <v>1425</v>
      </c>
      <c r="Z50" s="171">
        <f t="shared" si="30"/>
        <v>4</v>
      </c>
      <c r="AA50" s="173">
        <f t="shared" si="17"/>
        <v>0.70608548000000004</v>
      </c>
      <c r="AB50" s="173">
        <f t="shared" si="18"/>
        <v>34.639162927600005</v>
      </c>
      <c r="AC50" s="171">
        <f t="shared" si="19"/>
        <v>1452.075</v>
      </c>
      <c r="AD50" s="166">
        <f t="shared" si="22"/>
        <v>17740.8</v>
      </c>
      <c r="AE50" s="166">
        <f t="shared" si="23"/>
        <v>18141.78</v>
      </c>
      <c r="AF50" s="166">
        <f t="shared" si="24"/>
        <v>18492.853899999998</v>
      </c>
      <c r="AG50" s="166">
        <f t="shared" si="25"/>
        <v>18793.596425799999</v>
      </c>
      <c r="AH50" s="166">
        <f t="shared" si="26"/>
        <v>24639.669410949562</v>
      </c>
      <c r="AI50" s="162" t="s">
        <v>306</v>
      </c>
    </row>
    <row r="51" spans="1:35" ht="30" customHeight="1">
      <c r="A51" s="162">
        <v>62</v>
      </c>
      <c r="B51" s="162" t="s">
        <v>297</v>
      </c>
      <c r="C51" s="163">
        <v>44927</v>
      </c>
      <c r="D51" s="162" t="s">
        <v>291</v>
      </c>
      <c r="E51" s="162" t="s">
        <v>287</v>
      </c>
      <c r="F51" s="162">
        <v>100</v>
      </c>
      <c r="G51" s="165" t="s">
        <v>288</v>
      </c>
      <c r="H51" s="166">
        <v>16405.060000000001</v>
      </c>
      <c r="I51" s="166">
        <v>22097.62</v>
      </c>
      <c r="J51" s="166">
        <f t="shared" si="9"/>
        <v>1.3470002547994337</v>
      </c>
      <c r="K51" s="170">
        <v>0</v>
      </c>
      <c r="L51" s="170">
        <f t="shared" si="10"/>
        <v>31.790000000000003</v>
      </c>
      <c r="M51" s="171">
        <v>375</v>
      </c>
      <c r="N51" s="171">
        <f t="shared" si="27"/>
        <v>0.99726027397260275</v>
      </c>
      <c r="O51" s="170">
        <v>25.32</v>
      </c>
      <c r="P51" s="170">
        <f t="shared" si="12"/>
        <v>32.450000000000003</v>
      </c>
      <c r="Q51" s="171">
        <v>750</v>
      </c>
      <c r="R51" s="171">
        <f t="shared" si="28"/>
        <v>2</v>
      </c>
      <c r="S51" s="170">
        <v>0.68</v>
      </c>
      <c r="T51" s="170">
        <f t="shared" si="14"/>
        <v>33.163900000000005</v>
      </c>
      <c r="U51" s="171">
        <v>1125</v>
      </c>
      <c r="V51" s="171">
        <f t="shared" si="29"/>
        <v>3</v>
      </c>
      <c r="W51" s="170">
        <f t="shared" si="15"/>
        <v>0.69292000000000009</v>
      </c>
      <c r="X51" s="170">
        <f t="shared" si="16"/>
        <v>33.893505800000007</v>
      </c>
      <c r="Y51" s="171">
        <v>1425</v>
      </c>
      <c r="Z51" s="171">
        <f t="shared" si="30"/>
        <v>4</v>
      </c>
      <c r="AA51" s="173">
        <f t="shared" si="17"/>
        <v>0.70608548000000004</v>
      </c>
      <c r="AB51" s="173">
        <f t="shared" si="18"/>
        <v>34.639162927600005</v>
      </c>
      <c r="AC51" s="171">
        <f t="shared" si="19"/>
        <v>1452.075</v>
      </c>
      <c r="AD51" s="166">
        <f t="shared" si="22"/>
        <v>16811.850000000002</v>
      </c>
      <c r="AE51" s="166">
        <f t="shared" si="23"/>
        <v>17212.830000000002</v>
      </c>
      <c r="AF51" s="166">
        <f t="shared" si="24"/>
        <v>17563.903900000001</v>
      </c>
      <c r="AG51" s="166">
        <f t="shared" si="25"/>
        <v>17864.646425800001</v>
      </c>
      <c r="AH51" s="166">
        <f t="shared" si="26"/>
        <v>23388.379736374096</v>
      </c>
      <c r="AI51" s="162" t="s">
        <v>307</v>
      </c>
    </row>
    <row r="52" spans="1:35" ht="30" customHeight="1">
      <c r="A52" s="162">
        <v>63</v>
      </c>
      <c r="B52" s="162" t="s">
        <v>297</v>
      </c>
      <c r="C52" s="163">
        <v>44927</v>
      </c>
      <c r="D52" s="162" t="s">
        <v>291</v>
      </c>
      <c r="E52" s="162" t="s">
        <v>287</v>
      </c>
      <c r="F52" s="162">
        <v>100</v>
      </c>
      <c r="G52" s="165" t="s">
        <v>288</v>
      </c>
      <c r="H52" s="166">
        <v>17334.009999999998</v>
      </c>
      <c r="I52" s="166">
        <v>23348.91</v>
      </c>
      <c r="J52" s="166">
        <f t="shared" si="9"/>
        <v>1.3469999151956185</v>
      </c>
      <c r="K52" s="170">
        <v>0</v>
      </c>
      <c r="L52" s="170">
        <f t="shared" si="10"/>
        <v>31.790000000000003</v>
      </c>
      <c r="M52" s="171">
        <v>375</v>
      </c>
      <c r="N52" s="171">
        <f t="shared" si="27"/>
        <v>0.99726027397260275</v>
      </c>
      <c r="O52" s="170">
        <v>25.32</v>
      </c>
      <c r="P52" s="170">
        <f t="shared" si="12"/>
        <v>32.450000000000003</v>
      </c>
      <c r="Q52" s="171">
        <v>750</v>
      </c>
      <c r="R52" s="171">
        <f t="shared" si="28"/>
        <v>2</v>
      </c>
      <c r="S52" s="170">
        <v>0.68</v>
      </c>
      <c r="T52" s="170">
        <f t="shared" si="14"/>
        <v>33.163900000000005</v>
      </c>
      <c r="U52" s="171">
        <v>1125</v>
      </c>
      <c r="V52" s="171">
        <f t="shared" si="29"/>
        <v>3</v>
      </c>
      <c r="W52" s="170">
        <f t="shared" si="15"/>
        <v>0.69292000000000009</v>
      </c>
      <c r="X52" s="170">
        <f t="shared" si="16"/>
        <v>33.893505800000007</v>
      </c>
      <c r="Y52" s="171">
        <v>1425</v>
      </c>
      <c r="Z52" s="171">
        <f t="shared" si="30"/>
        <v>4</v>
      </c>
      <c r="AA52" s="173">
        <f t="shared" si="17"/>
        <v>0.70608548000000004</v>
      </c>
      <c r="AB52" s="173">
        <f t="shared" si="18"/>
        <v>34.639162927600005</v>
      </c>
      <c r="AC52" s="171">
        <f t="shared" si="19"/>
        <v>1452.075</v>
      </c>
      <c r="AD52" s="166">
        <f t="shared" si="22"/>
        <v>17740.8</v>
      </c>
      <c r="AE52" s="166">
        <f t="shared" si="23"/>
        <v>18141.78</v>
      </c>
      <c r="AF52" s="166">
        <f t="shared" si="24"/>
        <v>18492.853899999998</v>
      </c>
      <c r="AG52" s="166">
        <f t="shared" si="25"/>
        <v>18793.596425799999</v>
      </c>
      <c r="AH52" s="166">
        <f t="shared" si="26"/>
        <v>24639.669410949562</v>
      </c>
      <c r="AI52" s="162" t="s">
        <v>308</v>
      </c>
    </row>
    <row r="53" spans="1:35" ht="14.4">
      <c r="AE53" s="673" t="s">
        <v>309</v>
      </c>
      <c r="AF53" s="673"/>
      <c r="AG53" s="673"/>
      <c r="AH53" s="175">
        <f>SUM(AH3:AH52)</f>
        <v>1436859.5398211908</v>
      </c>
    </row>
  </sheetData>
  <mergeCells count="1">
    <mergeCell ref="AE53:AG5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  <pageSetUpPr fitToPage="1"/>
  </sheetPr>
  <dimension ref="A1:O511"/>
  <sheetViews>
    <sheetView showGridLines="0" workbookViewId="0">
      <selection activeCell="N15" sqref="N15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0" width="5.6640625" style="51" customWidth="1"/>
    <col min="11" max="11" width="6.44140625" style="51" customWidth="1"/>
    <col min="12" max="15" width="5.6640625" style="51" customWidth="1"/>
    <col min="16" max="18" width="3.33203125" style="51" customWidth="1"/>
    <col min="19" max="16384" width="11.44140625" style="51"/>
  </cols>
  <sheetData>
    <row r="1" spans="2:15" ht="15" customHeight="1">
      <c r="B1" s="454" t="s">
        <v>310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</row>
    <row r="2" spans="2:15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22.5" customHeight="1">
      <c r="B3" s="631" t="s">
        <v>107</v>
      </c>
      <c r="C3" s="632"/>
      <c r="D3" s="586" t="s">
        <v>311</v>
      </c>
      <c r="E3" s="587"/>
      <c r="F3" s="587"/>
      <c r="G3" s="588"/>
      <c r="H3" s="586" t="s">
        <v>312</v>
      </c>
      <c r="I3" s="587"/>
      <c r="J3" s="587"/>
      <c r="K3" s="588"/>
      <c r="L3" s="586" t="s">
        <v>56</v>
      </c>
      <c r="M3" s="587"/>
      <c r="N3" s="587"/>
      <c r="O3" s="588"/>
    </row>
    <row r="4" spans="2:15" ht="15" customHeight="1">
      <c r="B4" s="54" t="s">
        <v>313</v>
      </c>
      <c r="C4" s="94" t="s">
        <v>314</v>
      </c>
      <c r="D4" s="677">
        <f>SUM(B.1.Vehículos!T7:T48)</f>
        <v>139323.88125000001</v>
      </c>
      <c r="E4" s="678"/>
      <c r="F4" s="678"/>
      <c r="G4" s="679"/>
      <c r="H4" s="677">
        <f>SUM(B.1.Vehículos!AG7:AG48)</f>
        <v>48746.139719999999</v>
      </c>
      <c r="I4" s="678"/>
      <c r="J4" s="678"/>
      <c r="K4" s="679"/>
      <c r="L4" s="680">
        <f>H4+D4</f>
        <v>188070.02097000001</v>
      </c>
      <c r="M4" s="680"/>
      <c r="N4" s="680"/>
      <c r="O4" s="680"/>
    </row>
    <row r="5" spans="2:15" ht="15" customHeight="1">
      <c r="B5" s="54" t="s">
        <v>315</v>
      </c>
      <c r="C5" s="94" t="s">
        <v>316</v>
      </c>
      <c r="D5" s="677">
        <f>SUM(B.2.Maquinaria!T7:T98)</f>
        <v>59447.360137939439</v>
      </c>
      <c r="E5" s="678"/>
      <c r="F5" s="678"/>
      <c r="G5" s="679"/>
      <c r="H5" s="677">
        <f>SUM(B.2.Maquinaria!AG7:AG98)</f>
        <v>56770.869093627931</v>
      </c>
      <c r="I5" s="678"/>
      <c r="J5" s="678"/>
      <c r="K5" s="679"/>
      <c r="L5" s="680">
        <f>H5+D5</f>
        <v>116218.22923156737</v>
      </c>
      <c r="M5" s="680"/>
      <c r="N5" s="680"/>
      <c r="O5" s="680"/>
    </row>
    <row r="6" spans="2:15" s="51" customFormat="1" ht="15" customHeight="1">
      <c r="B6" s="577" t="s">
        <v>317</v>
      </c>
      <c r="C6" s="577"/>
      <c r="D6" s="674"/>
      <c r="E6" s="675"/>
      <c r="F6" s="675"/>
      <c r="G6" s="675"/>
      <c r="H6" s="674"/>
      <c r="I6" s="675"/>
      <c r="J6" s="675"/>
      <c r="K6" s="675"/>
      <c r="L6" s="676">
        <f>L4+L5</f>
        <v>304288.25020156737</v>
      </c>
      <c r="M6" s="676"/>
      <c r="N6" s="676"/>
      <c r="O6" s="676"/>
    </row>
    <row r="7" spans="2:15" s="49" customFormat="1" ht="15" customHeight="1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s="49" customFormat="1" ht="1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2:15" s="49" customFormat="1" ht="15" customHeight="1">
      <c r="B9" s="50"/>
      <c r="C9" s="75" t="s">
        <v>318</v>
      </c>
      <c r="D9" s="76">
        <v>0.05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2:15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2:15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2:15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2:15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15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2:15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2:15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15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2:15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2:15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2:15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2:15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2:15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2:15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2:15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2:15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2:15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15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2:15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2:15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2:15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2:15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2:15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2:15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2:15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2:15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2:15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2:15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2:15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2:15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2:15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2:15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2:15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2:15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2:15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2:15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2:15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2:15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2:15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</row>
    <row r="58" spans="2:15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2:15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2:15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2:15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2:15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2:15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2:15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</row>
    <row r="65" spans="2:15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2:15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</row>
    <row r="67" spans="2:15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</row>
    <row r="68" spans="2:15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</row>
    <row r="69" spans="2:15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</row>
    <row r="70" spans="2:15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</row>
    <row r="71" spans="2:15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</row>
    <row r="72" spans="2:15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</row>
    <row r="73" spans="2:15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</row>
    <row r="74" spans="2:15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2:15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</row>
    <row r="76" spans="2:15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</row>
    <row r="77" spans="2:15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</row>
    <row r="78" spans="2:15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</row>
    <row r="79" spans="2:15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</row>
    <row r="80" spans="2:15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</row>
    <row r="81" spans="2:15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</row>
    <row r="82" spans="2:15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</row>
    <row r="83" spans="2:15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2:15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</row>
    <row r="85" spans="2:15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</row>
    <row r="86" spans="2:15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</row>
    <row r="87" spans="2:15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2:15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2:15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</row>
    <row r="90" spans="2:15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2:15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</row>
    <row r="92" spans="2:15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2:15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</row>
    <row r="94" spans="2:15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</row>
    <row r="95" spans="2:15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</row>
    <row r="96" spans="2:15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</row>
    <row r="97" spans="2:15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</row>
    <row r="98" spans="2:15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</row>
    <row r="99" spans="2:15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2:15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2:15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2:15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2:15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2:15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2:15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2:15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2:15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2:15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2:15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2:15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2:15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</row>
    <row r="112" spans="2:15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2:15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</row>
    <row r="114" spans="2:15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2:15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2:15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2:15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2:15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</row>
    <row r="119" spans="2:15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</row>
    <row r="120" spans="2:15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</row>
    <row r="121" spans="2:15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2:15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</row>
    <row r="123" spans="2:15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2:15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2:15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2:15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</row>
    <row r="127" spans="2:15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2:15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5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2:15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2:15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2:15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</row>
    <row r="133" spans="2:15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2:15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2:15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2:15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</row>
    <row r="137" spans="2:15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</row>
    <row r="138" spans="2:15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</row>
    <row r="139" spans="2:15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2:15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2:15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2:15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2:15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2:15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2:15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2:15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2:15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</row>
    <row r="148" spans="2:15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</row>
    <row r="149" spans="2:15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2:15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2:15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</row>
    <row r="152" spans="2:15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2:15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2:15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2:15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2:15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2:15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2:15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2:15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2:15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2:15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2:15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2:15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2:15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2:15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2:15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2:15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2:15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2:15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2:15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2:15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2:15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2:15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2:15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2:15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2:15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2:15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</row>
    <row r="178" spans="2:15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2:15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2:15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2:15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2:15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2:15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</row>
    <row r="184" spans="2:15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2:15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2:15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2:15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2:15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</row>
    <row r="189" spans="2:15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2:15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2:15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2:15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2:15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2:15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</row>
    <row r="195" spans="2:15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2:15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2:15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</row>
    <row r="198" spans="2:15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2:15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</row>
    <row r="200" spans="2:15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2:15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2:15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2:15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2:15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2:15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2:15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2:15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2:15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2:15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</row>
    <row r="210" spans="2:15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2:15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2:15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2:15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</row>
    <row r="214" spans="2:15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</row>
    <row r="215" spans="2:15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2:15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2:15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2:15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2:15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</row>
    <row r="220" spans="2:15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2:15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2:15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2:15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</row>
    <row r="224" spans="2:15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</row>
    <row r="225" spans="2:15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2:15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2:15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</row>
    <row r="228" spans="2:15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</row>
    <row r="229" spans="2:15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2:15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2:15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2:15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2:15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</row>
    <row r="234" spans="2:15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2:15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2:15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2:15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2:15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</row>
    <row r="240" spans="2:15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2:15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2:15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2:15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</row>
    <row r="244" spans="2:15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2:15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</row>
    <row r="246" spans="2:15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2:15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2:15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</row>
    <row r="249" spans="2:15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2:15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2:15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2:15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2:15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2:15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2:15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2:15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</row>
    <row r="257" spans="2:15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</row>
    <row r="258" spans="2:15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2:15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2:15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</row>
    <row r="261" spans="2:15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2:15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</row>
    <row r="263" spans="2:15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2:15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2:15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</row>
    <row r="266" spans="2:15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2:15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2:15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</row>
    <row r="269" spans="2:15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2:15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2:15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</row>
    <row r="272" spans="2:15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</row>
    <row r="273" spans="2:15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2:15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2:15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2:15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2:15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2:15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</row>
    <row r="279" spans="2:15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2:15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2:15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2:15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2:15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</row>
    <row r="284" spans="2:15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2:15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</row>
    <row r="286" spans="2:15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</row>
    <row r="287" spans="2:15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</row>
    <row r="288" spans="2:15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</row>
    <row r="289" spans="2:15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</row>
    <row r="290" spans="2:15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</row>
    <row r="291" spans="2:15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2:15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</row>
    <row r="293" spans="2:15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</row>
    <row r="294" spans="2:15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2:15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</row>
    <row r="296" spans="2:15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</row>
    <row r="297" spans="2:15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</row>
    <row r="298" spans="2:15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</row>
    <row r="299" spans="2:15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</row>
    <row r="300" spans="2:15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2:15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</row>
    <row r="302" spans="2:15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</row>
    <row r="303" spans="2:15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</row>
    <row r="304" spans="2:15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</row>
    <row r="305" spans="2:15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</row>
    <row r="306" spans="2:15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</row>
    <row r="307" spans="2:15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</row>
    <row r="308" spans="2:15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</row>
    <row r="309" spans="2:15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</row>
    <row r="310" spans="2:15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</row>
    <row r="311" spans="2:15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</row>
    <row r="312" spans="2:15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</row>
    <row r="313" spans="2:15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</row>
    <row r="314" spans="2:15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</row>
    <row r="315" spans="2:15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</row>
    <row r="316" spans="2:15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</row>
    <row r="317" spans="2:15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</row>
    <row r="318" spans="2:15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</row>
    <row r="319" spans="2:15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</row>
    <row r="320" spans="2:15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</row>
    <row r="321" spans="2:15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2:15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2:15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2:15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25" spans="2:15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</row>
    <row r="326" spans="2:15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</row>
    <row r="327" spans="2:15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</row>
    <row r="328" spans="2:15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</row>
    <row r="329" spans="2:15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</row>
    <row r="330" spans="2:15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</row>
    <row r="331" spans="2:15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</row>
    <row r="332" spans="2:15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</row>
    <row r="333" spans="2:15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</row>
    <row r="334" spans="2:15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</row>
    <row r="335" spans="2:15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</row>
    <row r="336" spans="2:15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</row>
    <row r="337" spans="2:15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2:15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</row>
    <row r="339" spans="2:15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</row>
    <row r="340" spans="2:15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</row>
    <row r="341" spans="2:15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</row>
    <row r="342" spans="2:15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</row>
    <row r="343" spans="2:15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</row>
    <row r="344" spans="2:15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</row>
    <row r="345" spans="2:15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</row>
    <row r="346" spans="2:15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</row>
    <row r="347" spans="2:15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</row>
    <row r="348" spans="2:15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</row>
    <row r="349" spans="2:15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</row>
    <row r="350" spans="2:15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</row>
    <row r="351" spans="2:15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</row>
    <row r="352" spans="2:15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</row>
    <row r="353" spans="2:15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</row>
    <row r="354" spans="2:15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</row>
    <row r="355" spans="2:15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</row>
    <row r="356" spans="2:15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</row>
    <row r="357" spans="2:15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</row>
    <row r="358" spans="2:15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</row>
    <row r="359" spans="2:15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</row>
    <row r="360" spans="2:15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</row>
    <row r="361" spans="2:15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</row>
    <row r="362" spans="2:15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</row>
    <row r="363" spans="2:15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</row>
    <row r="364" spans="2:15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</row>
    <row r="365" spans="2:15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</row>
    <row r="366" spans="2:15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</row>
    <row r="367" spans="2:15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</row>
    <row r="368" spans="2:15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</row>
    <row r="369" spans="2:15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</row>
    <row r="370" spans="2:15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</row>
    <row r="371" spans="2:15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</row>
    <row r="372" spans="2:15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</row>
    <row r="373" spans="2:15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</row>
    <row r="374" spans="2:15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</row>
    <row r="375" spans="2:15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</row>
    <row r="376" spans="2:15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</row>
    <row r="377" spans="2:15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</row>
    <row r="378" spans="2:15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</row>
    <row r="379" spans="2:15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</row>
    <row r="380" spans="2:15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</row>
    <row r="381" spans="2:15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</row>
    <row r="382" spans="2:15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</row>
    <row r="383" spans="2:15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</row>
    <row r="384" spans="2:15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</row>
    <row r="385" spans="2:15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</row>
    <row r="386" spans="2:15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</row>
    <row r="387" spans="2:15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</row>
    <row r="388" spans="2:15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</row>
    <row r="389" spans="2:15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</row>
    <row r="390" spans="2:15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</row>
    <row r="391" spans="2:15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</row>
    <row r="392" spans="2:15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</row>
    <row r="393" spans="2:15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</row>
    <row r="394" spans="2:15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</row>
    <row r="395" spans="2:15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</row>
    <row r="396" spans="2:15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</row>
    <row r="397" spans="2:15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</row>
    <row r="398" spans="2:15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</row>
    <row r="399" spans="2:15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</row>
    <row r="400" spans="2:15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</row>
    <row r="401" spans="2:15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</row>
    <row r="402" spans="2:15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</row>
    <row r="403" spans="2:15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</row>
    <row r="404" spans="2:15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</row>
    <row r="405" spans="2:15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</row>
    <row r="406" spans="2:15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</row>
    <row r="407" spans="2:15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</row>
    <row r="408" spans="2:15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</row>
    <row r="409" spans="2:15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</row>
    <row r="410" spans="2:15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</row>
    <row r="411" spans="2:15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</row>
    <row r="412" spans="2:15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</row>
    <row r="413" spans="2:15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</row>
    <row r="414" spans="2:15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</row>
    <row r="415" spans="2:15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</row>
    <row r="416" spans="2:15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</row>
    <row r="417" spans="2:15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</row>
    <row r="418" spans="2:15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</row>
    <row r="419" spans="2:15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</row>
    <row r="420" spans="2:15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</row>
    <row r="421" spans="2:15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</row>
    <row r="422" spans="2:15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</row>
    <row r="423" spans="2:15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</row>
    <row r="424" spans="2:15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</row>
    <row r="425" spans="2:15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</row>
    <row r="426" spans="2:15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</row>
    <row r="427" spans="2:15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</row>
    <row r="428" spans="2:15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</row>
    <row r="429" spans="2:15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</row>
    <row r="430" spans="2:15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</row>
    <row r="431" spans="2:15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</row>
    <row r="432" spans="2:15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</row>
    <row r="433" spans="2:15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</row>
    <row r="434" spans="2:15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</row>
    <row r="435" spans="2:15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</row>
    <row r="436" spans="2:15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</row>
    <row r="437" spans="2:15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</row>
    <row r="438" spans="2:15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</row>
    <row r="439" spans="2:15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</row>
    <row r="440" spans="2:15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</row>
    <row r="441" spans="2:15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</row>
    <row r="442" spans="2:15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</row>
    <row r="443" spans="2:15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</row>
    <row r="444" spans="2:15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</row>
    <row r="445" spans="2:15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</row>
    <row r="446" spans="2:15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</row>
    <row r="447" spans="2:15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</row>
    <row r="448" spans="2:15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</row>
    <row r="449" spans="2:15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</row>
    <row r="450" spans="2:15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</row>
    <row r="451" spans="2:15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</row>
    <row r="452" spans="2:15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</row>
    <row r="453" spans="2:15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</row>
    <row r="454" spans="2:15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</row>
    <row r="455" spans="2:15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</row>
    <row r="456" spans="2:15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</row>
    <row r="457" spans="2:15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</row>
    <row r="458" spans="2:15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</row>
    <row r="459" spans="2:15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</row>
    <row r="460" spans="2:15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</row>
    <row r="461" spans="2:15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</row>
    <row r="462" spans="2:15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</row>
    <row r="463" spans="2:15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</row>
    <row r="464" spans="2:15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</row>
    <row r="465" spans="2:15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</row>
    <row r="466" spans="2:15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</row>
    <row r="467" spans="2:15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</row>
    <row r="468" spans="2:15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</row>
    <row r="469" spans="2:15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</row>
    <row r="470" spans="2:15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</row>
    <row r="471" spans="2:15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</row>
    <row r="472" spans="2:15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</row>
    <row r="473" spans="2:15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</row>
    <row r="474" spans="2:15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</row>
    <row r="475" spans="2:15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</row>
    <row r="476" spans="2:15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</row>
    <row r="477" spans="2:15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</row>
    <row r="478" spans="2:15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</row>
    <row r="479" spans="2:15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</row>
    <row r="480" spans="2:15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</row>
    <row r="481" spans="2:15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</row>
    <row r="482" spans="2:15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</row>
    <row r="483" spans="2:15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</row>
    <row r="484" spans="2:15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</row>
    <row r="485" spans="2:15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</row>
    <row r="486" spans="2:15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</row>
    <row r="487" spans="2:15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</row>
    <row r="488" spans="2:15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</row>
    <row r="489" spans="2:15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</row>
    <row r="490" spans="2:15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</row>
    <row r="491" spans="2:15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</row>
    <row r="492" spans="2:15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</row>
    <row r="493" spans="2:15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</row>
    <row r="494" spans="2:15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</row>
    <row r="495" spans="2:15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</row>
    <row r="496" spans="2:15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</row>
    <row r="497" spans="2:15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</row>
    <row r="498" spans="2:15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</row>
    <row r="499" spans="2:15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</row>
    <row r="500" spans="2:15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</row>
    <row r="501" spans="2:15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</row>
    <row r="502" spans="2:15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</row>
    <row r="503" spans="2:15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</row>
    <row r="504" spans="2:15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</row>
    <row r="505" spans="2:15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</row>
    <row r="506" spans="2:15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</row>
    <row r="507" spans="2:15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</row>
    <row r="508" spans="2:15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</row>
    <row r="509" spans="2:15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</row>
    <row r="510" spans="2:15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</row>
    <row r="511" spans="2:15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</row>
  </sheetData>
  <mergeCells count="15">
    <mergeCell ref="B6:C6"/>
    <mergeCell ref="D6:G6"/>
    <mergeCell ref="H6:K6"/>
    <mergeCell ref="L6:O6"/>
    <mergeCell ref="D4:G4"/>
    <mergeCell ref="H4:K4"/>
    <mergeCell ref="L4:O4"/>
    <mergeCell ref="D5:G5"/>
    <mergeCell ref="H5:K5"/>
    <mergeCell ref="L5:O5"/>
    <mergeCell ref="B1:O1"/>
    <mergeCell ref="B3:C3"/>
    <mergeCell ref="D3:G3"/>
    <mergeCell ref="H3:K3"/>
    <mergeCell ref="L3:O3"/>
  </mergeCells>
  <pageMargins left="0.511811023622047" right="0.511811023622047" top="0.55118110236220497" bottom="0.55118110236220497" header="0.31496062992126" footer="0.31496062992126"/>
  <pageSetup paperSize="9" scale="80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2:P58"/>
  <sheetViews>
    <sheetView topLeftCell="A37" workbookViewId="0">
      <selection activeCell="J22" sqref="J22"/>
    </sheetView>
  </sheetViews>
  <sheetFormatPr baseColWidth="10" defaultColWidth="11.44140625" defaultRowHeight="14.4"/>
  <cols>
    <col min="1" max="1" width="2" style="51" customWidth="1"/>
    <col min="2" max="2" width="11.44140625" style="51"/>
    <col min="3" max="3" width="13" style="51" customWidth="1"/>
    <col min="4" max="4" width="11.44140625" style="51"/>
    <col min="5" max="5" width="13.5546875" style="51" customWidth="1"/>
    <col min="6" max="7" width="14" style="51" customWidth="1"/>
    <col min="8" max="8" width="14.88671875" style="50" customWidth="1"/>
    <col min="9" max="12" width="11.44140625" style="50" customWidth="1"/>
    <col min="13" max="16384" width="11.44140625" style="51"/>
  </cols>
  <sheetData>
    <row r="2" spans="1:15">
      <c r="A2" s="13"/>
      <c r="B2" s="454" t="s">
        <v>319</v>
      </c>
      <c r="C2" s="454"/>
      <c r="D2" s="454"/>
      <c r="E2" s="454"/>
      <c r="F2" s="15"/>
      <c r="G2" s="15"/>
      <c r="N2" s="15"/>
      <c r="O2" s="15"/>
    </row>
    <row r="3" spans="1:15" ht="3.75" customHeight="1">
      <c r="A3" s="13"/>
      <c r="B3" s="13"/>
      <c r="E3" s="15"/>
      <c r="F3" s="15"/>
      <c r="G3" s="15"/>
      <c r="N3" s="15"/>
      <c r="O3" s="15"/>
    </row>
    <row r="4" spans="1:15" ht="12.75" customHeight="1">
      <c r="A4" s="13"/>
      <c r="B4" s="681" t="s">
        <v>320</v>
      </c>
      <c r="C4" s="683"/>
      <c r="D4" s="688" t="s">
        <v>321</v>
      </c>
      <c r="E4" s="15"/>
      <c r="F4" s="15"/>
      <c r="G4" s="15"/>
      <c r="N4" s="15"/>
      <c r="O4" s="15"/>
    </row>
    <row r="5" spans="1:15" ht="25.5" customHeight="1">
      <c r="A5" s="13"/>
      <c r="B5" s="682"/>
      <c r="C5" s="684"/>
      <c r="D5" s="689"/>
      <c r="E5" s="15"/>
      <c r="F5" s="15"/>
      <c r="G5" s="15"/>
      <c r="M5" s="148"/>
      <c r="N5" s="15"/>
      <c r="O5" s="15"/>
    </row>
    <row r="6" spans="1:15">
      <c r="A6" s="13"/>
      <c r="B6" s="295" t="s">
        <v>322</v>
      </c>
      <c r="C6" s="296" t="s">
        <v>323</v>
      </c>
      <c r="D6" s="297" t="s">
        <v>324</v>
      </c>
      <c r="F6" s="15"/>
      <c r="G6" s="15"/>
      <c r="N6" s="15"/>
      <c r="O6" s="15"/>
    </row>
    <row r="7" spans="1:15">
      <c r="A7" s="13"/>
      <c r="B7" s="113">
        <v>0</v>
      </c>
      <c r="C7" s="114">
        <v>0</v>
      </c>
      <c r="D7" s="115">
        <v>3.5000000000000003E-2</v>
      </c>
      <c r="F7" s="15"/>
      <c r="G7" s="15"/>
      <c r="N7" s="15"/>
      <c r="O7" s="15"/>
    </row>
    <row r="8" spans="1:15">
      <c r="A8" s="13"/>
      <c r="B8" s="116">
        <v>1</v>
      </c>
      <c r="C8" s="117">
        <v>1.359621</v>
      </c>
      <c r="D8" s="118">
        <v>3.5000000000000003E-2</v>
      </c>
      <c r="F8" s="15"/>
      <c r="G8" s="15"/>
      <c r="N8" s="15"/>
      <c r="O8" s="15"/>
    </row>
    <row r="9" spans="1:15">
      <c r="A9" s="13"/>
      <c r="B9" s="113">
        <v>15.1</v>
      </c>
      <c r="C9" s="119">
        <f t="shared" ref="C9:C16" si="0">+(C$8*B9)/B$8</f>
        <v>20.530277099999999</v>
      </c>
      <c r="D9" s="115">
        <v>3.9E-2</v>
      </c>
      <c r="F9" s="15"/>
      <c r="G9" s="15"/>
      <c r="N9" s="15"/>
      <c r="O9" s="15"/>
    </row>
    <row r="10" spans="1:15">
      <c r="A10" s="13"/>
      <c r="B10" s="116">
        <v>30.1</v>
      </c>
      <c r="C10" s="120">
        <f t="shared" si="0"/>
        <v>40.924592099999998</v>
      </c>
      <c r="D10" s="118">
        <v>4.7E-2</v>
      </c>
      <c r="F10" s="15"/>
      <c r="G10" s="15"/>
      <c r="N10" s="15"/>
      <c r="O10" s="15"/>
    </row>
    <row r="11" spans="1:15">
      <c r="A11" s="13"/>
      <c r="B11" s="113">
        <v>45.1</v>
      </c>
      <c r="C11" s="119">
        <f t="shared" si="0"/>
        <v>61.318907099999997</v>
      </c>
      <c r="D11" s="115">
        <v>0.06</v>
      </c>
      <c r="F11" s="15"/>
      <c r="G11" s="15"/>
      <c r="N11" s="15"/>
      <c r="O11" s="15"/>
    </row>
    <row r="12" spans="1:15">
      <c r="A12" s="13"/>
      <c r="B12" s="116">
        <v>60.1</v>
      </c>
      <c r="C12" s="120">
        <f t="shared" si="0"/>
        <v>81.713222099999996</v>
      </c>
      <c r="D12" s="118">
        <v>7.5999999999999998E-2</v>
      </c>
      <c r="F12" s="15"/>
      <c r="G12" s="15"/>
      <c r="N12" s="15"/>
      <c r="O12" s="15"/>
    </row>
    <row r="13" spans="1:15">
      <c r="A13" s="13"/>
      <c r="B13" s="113">
        <v>75.099999999999994</v>
      </c>
      <c r="C13" s="119">
        <f t="shared" si="0"/>
        <v>102.10753709999999</v>
      </c>
      <c r="D13" s="115">
        <v>0.1</v>
      </c>
      <c r="F13" s="15"/>
      <c r="G13" s="15"/>
      <c r="N13" s="15"/>
      <c r="O13" s="15"/>
    </row>
    <row r="14" spans="1:15">
      <c r="A14" s="13"/>
      <c r="B14" s="116">
        <v>100.1</v>
      </c>
      <c r="C14" s="120">
        <f t="shared" si="0"/>
        <v>136.09806209999999</v>
      </c>
      <c r="D14" s="118">
        <v>0.111</v>
      </c>
      <c r="F14" s="15"/>
      <c r="G14" s="15"/>
      <c r="N14" s="15"/>
      <c r="O14" s="15"/>
    </row>
    <row r="15" spans="1:15">
      <c r="A15" s="13"/>
      <c r="B15" s="113">
        <v>150.1</v>
      </c>
      <c r="C15" s="119">
        <f t="shared" si="0"/>
        <v>204.07911209999997</v>
      </c>
      <c r="D15" s="115">
        <v>0.13500000000000001</v>
      </c>
      <c r="F15" s="15"/>
      <c r="G15" s="15"/>
      <c r="N15" s="15"/>
      <c r="O15" s="15"/>
    </row>
    <row r="16" spans="1:15">
      <c r="A16" s="13"/>
      <c r="B16" s="121">
        <v>500</v>
      </c>
      <c r="C16" s="122">
        <f t="shared" si="0"/>
        <v>679.81049999999993</v>
      </c>
      <c r="D16" s="123">
        <v>0.13500000000000001</v>
      </c>
      <c r="F16" s="15"/>
      <c r="G16" s="15"/>
      <c r="N16" s="15"/>
      <c r="O16" s="15"/>
    </row>
    <row r="17" spans="1:16">
      <c r="A17" s="13"/>
      <c r="B17" s="15"/>
      <c r="C17" s="15"/>
      <c r="D17" s="15"/>
      <c r="E17" s="15"/>
      <c r="F17" s="15"/>
      <c r="G17" s="15"/>
      <c r="N17" s="15"/>
      <c r="O17" s="15"/>
    </row>
    <row r="18" spans="1:16">
      <c r="A18" s="13"/>
      <c r="B18" s="13"/>
      <c r="E18" s="15"/>
      <c r="F18" s="15"/>
      <c r="G18" s="15"/>
      <c r="N18" s="15"/>
      <c r="O18" s="15"/>
    </row>
    <row r="19" spans="1:16">
      <c r="A19" s="13"/>
      <c r="B19" s="454" t="s">
        <v>325</v>
      </c>
      <c r="C19" s="454"/>
      <c r="D19" s="454"/>
      <c r="E19" s="454"/>
      <c r="F19" s="124"/>
      <c r="G19" s="124"/>
      <c r="N19" s="15"/>
      <c r="O19" s="15"/>
    </row>
    <row r="20" spans="1:16" ht="3.75" customHeight="1">
      <c r="A20" s="13"/>
      <c r="C20" s="50"/>
      <c r="D20" s="50"/>
      <c r="E20" s="50"/>
      <c r="F20" s="50"/>
      <c r="G20" s="50"/>
      <c r="N20" s="15"/>
      <c r="O20" s="15"/>
    </row>
    <row r="21" spans="1:16" ht="12.75" customHeight="1">
      <c r="A21" s="13"/>
      <c r="B21" s="681" t="s">
        <v>326</v>
      </c>
      <c r="C21" s="683" t="s">
        <v>320</v>
      </c>
      <c r="D21" s="683" t="s">
        <v>327</v>
      </c>
      <c r="E21" s="685" t="s">
        <v>328</v>
      </c>
      <c r="F21" s="50"/>
      <c r="G21" s="50"/>
      <c r="N21" s="15"/>
      <c r="O21" s="15"/>
    </row>
    <row r="22" spans="1:16" ht="12.75" customHeight="1">
      <c r="A22" s="13"/>
      <c r="B22" s="682"/>
      <c r="C22" s="684"/>
      <c r="D22" s="684"/>
      <c r="E22" s="691"/>
      <c r="F22" s="124"/>
      <c r="G22" s="124"/>
      <c r="H22" s="125"/>
      <c r="I22" s="149" t="s">
        <v>329</v>
      </c>
      <c r="J22" s="150">
        <v>1.8</v>
      </c>
      <c r="K22" s="151" t="s">
        <v>330</v>
      </c>
      <c r="N22" s="15"/>
      <c r="O22" s="15"/>
    </row>
    <row r="23" spans="1:16">
      <c r="A23" s="13"/>
      <c r="B23" s="295" t="s">
        <v>331</v>
      </c>
      <c r="C23" s="296" t="s">
        <v>323</v>
      </c>
      <c r="D23" s="296" t="s">
        <v>332</v>
      </c>
      <c r="E23" s="297" t="s">
        <v>333</v>
      </c>
      <c r="F23" s="50"/>
      <c r="G23" s="50"/>
      <c r="H23" s="126"/>
      <c r="I23" s="152" t="s">
        <v>334</v>
      </c>
      <c r="J23" s="153">
        <f>7.6*1.3</f>
        <v>9.879999999999999</v>
      </c>
      <c r="K23" s="154"/>
      <c r="N23" s="15"/>
      <c r="O23" s="15"/>
    </row>
    <row r="24" spans="1:16">
      <c r="A24" s="13"/>
      <c r="B24" s="127"/>
      <c r="C24" s="50"/>
      <c r="D24" s="50"/>
      <c r="E24" s="128"/>
      <c r="F24" s="50"/>
      <c r="G24" s="50"/>
      <c r="H24" s="129"/>
      <c r="I24" s="155" t="s">
        <v>335</v>
      </c>
      <c r="J24" s="156">
        <v>4.8</v>
      </c>
      <c r="K24" s="157"/>
      <c r="N24" s="15"/>
      <c r="O24" s="15"/>
    </row>
    <row r="25" spans="1:16">
      <c r="A25" s="13"/>
      <c r="B25" s="130">
        <v>1.51</v>
      </c>
      <c r="C25" s="131">
        <v>62</v>
      </c>
      <c r="D25" s="131">
        <f>VLOOKUP(C25,C7:D16,2)</f>
        <v>0.06</v>
      </c>
      <c r="E25" s="132">
        <f>B25*D25</f>
        <v>9.06E-2</v>
      </c>
      <c r="F25" s="50"/>
      <c r="G25" s="50"/>
      <c r="H25" s="133"/>
      <c r="I25" s="158" t="s">
        <v>336</v>
      </c>
      <c r="J25" s="159">
        <v>1.1000000000000001</v>
      </c>
      <c r="K25" s="157"/>
      <c r="N25" s="15"/>
      <c r="O25" s="15"/>
    </row>
    <row r="26" spans="1:16">
      <c r="A26" s="13"/>
      <c r="B26" s="134"/>
      <c r="C26" s="135"/>
      <c r="D26" s="135"/>
      <c r="E26" s="136"/>
      <c r="F26" s="50"/>
      <c r="G26" s="50"/>
      <c r="N26" s="15"/>
      <c r="O26" s="15"/>
    </row>
    <row r="27" spans="1:16">
      <c r="A27" s="13"/>
      <c r="C27" s="50"/>
      <c r="D27" s="50"/>
      <c r="E27" s="50"/>
      <c r="F27" s="50"/>
      <c r="G27" s="50"/>
      <c r="N27" s="15"/>
      <c r="O27" s="15"/>
    </row>
    <row r="28" spans="1:16">
      <c r="A28" s="13"/>
      <c r="B28" s="13"/>
      <c r="C28" s="13"/>
      <c r="D28" s="13"/>
      <c r="E28" s="15"/>
      <c r="F28" s="15"/>
      <c r="G28" s="15"/>
      <c r="N28" s="15"/>
      <c r="O28" s="15"/>
    </row>
    <row r="29" spans="1:16">
      <c r="A29" s="13"/>
      <c r="B29" s="13"/>
      <c r="C29" s="13"/>
      <c r="D29" s="13"/>
      <c r="E29" s="15"/>
      <c r="F29" s="15"/>
      <c r="G29" s="15"/>
      <c r="N29" s="15"/>
      <c r="O29" s="15"/>
    </row>
    <row r="30" spans="1:16" ht="11.25" customHeight="1">
      <c r="A30" s="50"/>
      <c r="B30" s="50"/>
      <c r="C30" s="50"/>
      <c r="D30" s="50"/>
      <c r="E30" s="50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>
      <c r="B31" s="454" t="s">
        <v>337</v>
      </c>
      <c r="C31" s="454"/>
      <c r="D31" s="454"/>
      <c r="E31" s="454"/>
      <c r="F31" s="454"/>
      <c r="G31" s="276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.75" customHeight="1">
      <c r="B32" s="50"/>
      <c r="C32" s="50"/>
      <c r="D32" s="50"/>
      <c r="E32" s="50"/>
      <c r="F32" s="50"/>
      <c r="G32" s="50"/>
      <c r="H32" s="51"/>
      <c r="M32" s="50"/>
    </row>
    <row r="33" spans="2:13" ht="12.75" customHeight="1">
      <c r="B33" s="298"/>
      <c r="C33" s="681" t="s">
        <v>337</v>
      </c>
      <c r="D33" s="683" t="s">
        <v>338</v>
      </c>
      <c r="E33" s="683" t="s">
        <v>339</v>
      </c>
      <c r="F33" s="685" t="s">
        <v>340</v>
      </c>
      <c r="G33" s="102"/>
      <c r="H33" s="51"/>
      <c r="M33" s="50"/>
    </row>
    <row r="34" spans="2:13" ht="21.75" customHeight="1">
      <c r="B34" s="299"/>
      <c r="C34" s="687"/>
      <c r="D34" s="690"/>
      <c r="E34" s="690"/>
      <c r="F34" s="686"/>
      <c r="G34" s="102"/>
      <c r="H34" s="51"/>
      <c r="M34" s="50"/>
    </row>
    <row r="35" spans="2:13">
      <c r="B35" s="299" t="s">
        <v>341</v>
      </c>
      <c r="C35" s="296" t="s">
        <v>342</v>
      </c>
      <c r="D35" s="296" t="s">
        <v>343</v>
      </c>
      <c r="E35" s="296" t="s">
        <v>344</v>
      </c>
      <c r="F35" s="297" t="s">
        <v>345</v>
      </c>
      <c r="G35" s="296"/>
      <c r="H35" s="51"/>
      <c r="M35" s="50"/>
    </row>
    <row r="36" spans="2:13">
      <c r="B36" s="300"/>
      <c r="C36" s="301" t="s">
        <v>346</v>
      </c>
      <c r="D36" s="301" t="s">
        <v>347</v>
      </c>
      <c r="E36" s="301" t="s">
        <v>346</v>
      </c>
      <c r="F36" s="302" t="s">
        <v>348</v>
      </c>
      <c r="G36" s="296"/>
      <c r="H36" s="51"/>
      <c r="M36" s="50"/>
    </row>
    <row r="37" spans="2:13" ht="3.75" customHeight="1">
      <c r="B37" s="137"/>
      <c r="C37" s="138"/>
      <c r="D37" s="138"/>
      <c r="E37" s="138"/>
      <c r="F37" s="139"/>
      <c r="G37" s="50"/>
      <c r="H37" s="51"/>
      <c r="M37" s="50"/>
    </row>
    <row r="38" spans="2:13">
      <c r="B38" s="130">
        <v>12.5</v>
      </c>
      <c r="C38" s="131">
        <v>1.08</v>
      </c>
      <c r="D38" s="131">
        <v>7.6999999999999999E-2</v>
      </c>
      <c r="E38" s="140">
        <f t="shared" ref="E38:E56" si="1">B38/100/C38</f>
        <v>0.11574074074074073</v>
      </c>
      <c r="F38" s="141">
        <f t="shared" ref="F38:F56" si="2">1/((D38*100)/B38)</f>
        <v>1.6233766233766234</v>
      </c>
      <c r="G38" s="140"/>
      <c r="H38" s="51"/>
      <c r="M38" s="50"/>
    </row>
    <row r="39" spans="2:13">
      <c r="B39" s="127">
        <v>15</v>
      </c>
      <c r="C39" s="50">
        <v>1.1499999999999999</v>
      </c>
      <c r="D39" s="50">
        <v>8.2000000000000003E-2</v>
      </c>
      <c r="E39" s="142">
        <f t="shared" si="1"/>
        <v>0.13043478260869565</v>
      </c>
      <c r="F39" s="143">
        <f t="shared" si="2"/>
        <v>1.8292682926829267</v>
      </c>
      <c r="G39" s="142"/>
      <c r="H39" s="51"/>
      <c r="M39" s="50"/>
    </row>
    <row r="40" spans="2:13">
      <c r="B40" s="130">
        <v>20</v>
      </c>
      <c r="C40" s="131">
        <v>1.3</v>
      </c>
      <c r="D40" s="131">
        <v>9.0999999999999998E-2</v>
      </c>
      <c r="E40" s="140">
        <f t="shared" si="1"/>
        <v>0.15384615384615385</v>
      </c>
      <c r="F40" s="141">
        <f t="shared" si="2"/>
        <v>2.197802197802198</v>
      </c>
      <c r="G40" s="140"/>
      <c r="H40" s="51"/>
      <c r="M40" s="50"/>
    </row>
    <row r="41" spans="2:13">
      <c r="B41" s="127">
        <v>25</v>
      </c>
      <c r="C41" s="50">
        <v>1.45</v>
      </c>
      <c r="D41" s="50">
        <v>0.1</v>
      </c>
      <c r="E41" s="142">
        <f t="shared" si="1"/>
        <v>0.17241379310344829</v>
      </c>
      <c r="F41" s="143">
        <f t="shared" si="2"/>
        <v>2.5</v>
      </c>
      <c r="G41" s="142"/>
      <c r="H41" s="51"/>
      <c r="M41" s="50"/>
    </row>
    <row r="42" spans="2:13">
      <c r="B42" s="130">
        <v>30</v>
      </c>
      <c r="C42" s="131">
        <v>1.6</v>
      </c>
      <c r="D42" s="131">
        <v>0.11</v>
      </c>
      <c r="E42" s="140">
        <f t="shared" si="1"/>
        <v>0.18749999999999997</v>
      </c>
      <c r="F42" s="141">
        <f t="shared" si="2"/>
        <v>2.7272727272727275</v>
      </c>
      <c r="G42" s="140"/>
      <c r="H42" s="51"/>
      <c r="M42" s="50"/>
    </row>
    <row r="43" spans="2:13">
      <c r="B43" s="127">
        <v>35</v>
      </c>
      <c r="C43" s="50">
        <v>1.75</v>
      </c>
      <c r="D43" s="50">
        <v>0.11899999999999999</v>
      </c>
      <c r="E43" s="142">
        <f t="shared" si="1"/>
        <v>0.19999999999999998</v>
      </c>
      <c r="F43" s="143">
        <f t="shared" si="2"/>
        <v>2.9411764705882355</v>
      </c>
      <c r="G43" s="142"/>
      <c r="H43" s="51"/>
      <c r="M43" s="50"/>
    </row>
    <row r="44" spans="2:13">
      <c r="B44" s="130">
        <v>40</v>
      </c>
      <c r="C44" s="131">
        <v>1.9</v>
      </c>
      <c r="D44" s="131">
        <v>0.129</v>
      </c>
      <c r="E44" s="140">
        <f t="shared" si="1"/>
        <v>0.2105263157894737</v>
      </c>
      <c r="F44" s="141">
        <f t="shared" si="2"/>
        <v>3.1007751937984493</v>
      </c>
      <c r="G44" s="140"/>
      <c r="H44" s="51"/>
      <c r="M44" s="50"/>
    </row>
    <row r="45" spans="2:13">
      <c r="B45" s="127">
        <v>45</v>
      </c>
      <c r="C45" s="50">
        <v>2.0299999999999998</v>
      </c>
      <c r="D45" s="50">
        <v>0.14000000000000001</v>
      </c>
      <c r="E45" s="142">
        <f t="shared" si="1"/>
        <v>0.22167487684729067</v>
      </c>
      <c r="F45" s="143">
        <f t="shared" si="2"/>
        <v>3.2142857142857135</v>
      </c>
      <c r="G45" s="142"/>
      <c r="H45" s="51"/>
      <c r="M45" s="50"/>
    </row>
    <row r="46" spans="2:13">
      <c r="B46" s="130">
        <v>50</v>
      </c>
      <c r="C46" s="131">
        <v>2.15</v>
      </c>
      <c r="D46" s="131">
        <v>0.15</v>
      </c>
      <c r="E46" s="140">
        <f t="shared" si="1"/>
        <v>0.23255813953488372</v>
      </c>
      <c r="F46" s="141">
        <f t="shared" si="2"/>
        <v>3.3333333333333335</v>
      </c>
      <c r="G46" s="140"/>
      <c r="H46" s="51"/>
      <c r="M46" s="50"/>
    </row>
    <row r="47" spans="2:13">
      <c r="B47" s="127">
        <v>55</v>
      </c>
      <c r="C47" s="50">
        <v>2.2799999999999998</v>
      </c>
      <c r="D47" s="50">
        <v>0.161</v>
      </c>
      <c r="E47" s="142">
        <f t="shared" si="1"/>
        <v>0.24122807017543862</v>
      </c>
      <c r="F47" s="143">
        <f t="shared" si="2"/>
        <v>3.4161490683229809</v>
      </c>
      <c r="G47" s="142"/>
      <c r="H47" s="51"/>
      <c r="M47" s="50"/>
    </row>
    <row r="48" spans="2:13">
      <c r="B48" s="130">
        <v>60</v>
      </c>
      <c r="C48" s="131">
        <v>2.4</v>
      </c>
      <c r="D48" s="131">
        <v>0.17299999999999999</v>
      </c>
      <c r="E48" s="140">
        <f t="shared" si="1"/>
        <v>0.25</v>
      </c>
      <c r="F48" s="141">
        <f t="shared" si="2"/>
        <v>3.4682080924855496</v>
      </c>
      <c r="G48" s="140"/>
      <c r="H48" s="51"/>
      <c r="M48" s="50"/>
    </row>
    <row r="49" spans="2:13">
      <c r="B49" s="127">
        <v>65</v>
      </c>
      <c r="C49" s="50">
        <v>2.4500000000000002</v>
      </c>
      <c r="D49" s="50">
        <v>0.184</v>
      </c>
      <c r="E49" s="142">
        <f t="shared" si="1"/>
        <v>0.26530612244897961</v>
      </c>
      <c r="F49" s="143">
        <f t="shared" si="2"/>
        <v>3.5326086956521743</v>
      </c>
      <c r="G49" s="142"/>
      <c r="H49" s="51"/>
      <c r="M49" s="50"/>
    </row>
    <row r="50" spans="2:13">
      <c r="B50" s="130">
        <v>70</v>
      </c>
      <c r="C50" s="131">
        <v>2.5</v>
      </c>
      <c r="D50" s="131">
        <v>0.19600000000000001</v>
      </c>
      <c r="E50" s="140">
        <f t="shared" si="1"/>
        <v>0.27999999999999997</v>
      </c>
      <c r="F50" s="141">
        <f t="shared" si="2"/>
        <v>3.5714285714285712</v>
      </c>
      <c r="G50" s="140"/>
      <c r="H50" s="51"/>
      <c r="M50" s="50"/>
    </row>
    <row r="51" spans="2:13">
      <c r="B51" s="127">
        <v>75</v>
      </c>
      <c r="C51" s="50">
        <v>2.5499999999999998</v>
      </c>
      <c r="D51" s="50">
        <v>0.20699999999999999</v>
      </c>
      <c r="E51" s="142">
        <f t="shared" si="1"/>
        <v>0.29411764705882354</v>
      </c>
      <c r="F51" s="143">
        <f t="shared" si="2"/>
        <v>3.623188405797102</v>
      </c>
      <c r="G51" s="142"/>
      <c r="H51" s="51"/>
      <c r="M51" s="50"/>
    </row>
    <row r="52" spans="2:13">
      <c r="B52" s="130">
        <v>80</v>
      </c>
      <c r="C52" s="131">
        <v>2.6</v>
      </c>
      <c r="D52" s="131">
        <v>0.222</v>
      </c>
      <c r="E52" s="140">
        <f t="shared" si="1"/>
        <v>0.30769230769230771</v>
      </c>
      <c r="F52" s="141">
        <f t="shared" si="2"/>
        <v>3.6036036036036041</v>
      </c>
      <c r="G52" s="140"/>
      <c r="H52" s="51"/>
      <c r="M52" s="50"/>
    </row>
    <row r="53" spans="2:13">
      <c r="B53" s="127">
        <v>85</v>
      </c>
      <c r="C53" s="50">
        <v>2.65</v>
      </c>
      <c r="D53" s="50">
        <v>0.23599999999999999</v>
      </c>
      <c r="E53" s="142">
        <f t="shared" si="1"/>
        <v>0.32075471698113206</v>
      </c>
      <c r="F53" s="143">
        <f t="shared" si="2"/>
        <v>3.6016949152542375</v>
      </c>
      <c r="G53" s="142"/>
      <c r="H53" s="51"/>
      <c r="M53" s="50"/>
    </row>
    <row r="54" spans="2:13">
      <c r="B54" s="130">
        <v>90</v>
      </c>
      <c r="C54" s="131">
        <v>2.7</v>
      </c>
      <c r="D54" s="131">
        <v>0.251</v>
      </c>
      <c r="E54" s="140">
        <f t="shared" si="1"/>
        <v>0.33333333333333331</v>
      </c>
      <c r="F54" s="141">
        <f t="shared" si="2"/>
        <v>3.5856573705179282</v>
      </c>
      <c r="G54" s="140"/>
      <c r="H54" s="51"/>
      <c r="M54" s="50"/>
    </row>
    <row r="55" spans="2:13">
      <c r="B55" s="127">
        <v>95</v>
      </c>
      <c r="C55" s="50">
        <v>2.75</v>
      </c>
      <c r="D55" s="50">
        <v>0.26600000000000001</v>
      </c>
      <c r="E55" s="142">
        <f t="shared" si="1"/>
        <v>0.34545454545454546</v>
      </c>
      <c r="F55" s="143">
        <f t="shared" si="2"/>
        <v>3.5714285714285712</v>
      </c>
      <c r="G55" s="142"/>
      <c r="H55" s="51"/>
      <c r="M55" s="50"/>
    </row>
    <row r="56" spans="2:13">
      <c r="B56" s="144">
        <v>100</v>
      </c>
      <c r="C56" s="145">
        <v>2.8</v>
      </c>
      <c r="D56" s="145">
        <v>0.28100000000000003</v>
      </c>
      <c r="E56" s="146">
        <f t="shared" si="1"/>
        <v>0.35714285714285715</v>
      </c>
      <c r="F56" s="147">
        <f t="shared" si="2"/>
        <v>3.5587188612099641</v>
      </c>
      <c r="G56" s="140"/>
      <c r="H56" s="51"/>
      <c r="M56" s="50"/>
    </row>
    <row r="57" spans="2:13">
      <c r="B57" s="50"/>
      <c r="C57" s="50"/>
      <c r="D57" s="50"/>
      <c r="E57" s="50"/>
      <c r="F57" s="50"/>
      <c r="G57" s="50"/>
      <c r="H57" s="51"/>
      <c r="M57" s="50"/>
    </row>
    <row r="58" spans="2:13">
      <c r="B58" s="50"/>
      <c r="C58" s="50"/>
      <c r="D58" s="50"/>
      <c r="E58" s="50"/>
      <c r="F58" s="50"/>
      <c r="G58" s="50"/>
      <c r="H58" s="51"/>
      <c r="M58" s="50"/>
    </row>
  </sheetData>
  <mergeCells count="13">
    <mergeCell ref="F33:F34"/>
    <mergeCell ref="B4:C5"/>
    <mergeCell ref="C33:C34"/>
    <mergeCell ref="D4:D5"/>
    <mergeCell ref="D21:D22"/>
    <mergeCell ref="D33:D34"/>
    <mergeCell ref="E21:E22"/>
    <mergeCell ref="E33:E34"/>
    <mergeCell ref="B2:E2"/>
    <mergeCell ref="B19:E19"/>
    <mergeCell ref="B31:F31"/>
    <mergeCell ref="B21:B22"/>
    <mergeCell ref="C21:C22"/>
  </mergeCells>
  <pageMargins left="0.7" right="0.7" top="0.75" bottom="0.75" header="0.3" footer="0.3"/>
  <pageSetup paperSize="9" orientation="portrait"/>
  <colBreaks count="1" manualBreakCount="1">
    <brk id="7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1:AH50"/>
  <sheetViews>
    <sheetView view="pageBreakPreview" zoomScale="60" zoomScaleNormal="70" workbookViewId="0">
      <selection activeCell="E26" sqref="E26"/>
    </sheetView>
  </sheetViews>
  <sheetFormatPr baseColWidth="10" defaultColWidth="11.44140625" defaultRowHeight="14.4"/>
  <cols>
    <col min="1" max="1" width="11.44140625" style="13"/>
    <col min="2" max="2" width="42.6640625" style="51" customWidth="1"/>
    <col min="3" max="3" width="9.77734375" style="51" bestFit="1" customWidth="1"/>
    <col min="4" max="4" width="25.44140625" style="51" bestFit="1" customWidth="1"/>
    <col min="5" max="8" width="11.44140625" style="51"/>
    <col min="9" max="9" width="12.88671875" style="51" customWidth="1"/>
    <col min="10" max="13" width="11.44140625" style="51"/>
    <col min="14" max="14" width="12.44140625" style="51" customWidth="1"/>
    <col min="15" max="32" width="11.44140625" style="51"/>
    <col min="33" max="33" width="11.33203125" style="51" customWidth="1"/>
    <col min="34" max="34" width="15" style="51" customWidth="1"/>
    <col min="35" max="16384" width="11.44140625" style="51"/>
  </cols>
  <sheetData>
    <row r="1" spans="1:34" ht="21.75" customHeight="1">
      <c r="A1" s="692" t="s">
        <v>349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2.75" customHeight="1">
      <c r="A2" s="713" t="s">
        <v>350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9"/>
      <c r="N2" s="707" t="s">
        <v>351</v>
      </c>
      <c r="O2" s="708"/>
      <c r="P2" s="708"/>
      <c r="Q2" s="708"/>
      <c r="R2" s="708"/>
      <c r="S2" s="708"/>
      <c r="T2" s="709"/>
      <c r="U2" s="701" t="s">
        <v>352</v>
      </c>
      <c r="V2" s="702"/>
      <c r="W2" s="702"/>
      <c r="X2" s="702"/>
      <c r="Y2" s="702"/>
      <c r="Z2" s="702"/>
      <c r="AA2" s="702"/>
      <c r="AB2" s="702"/>
      <c r="AC2" s="702"/>
      <c r="AD2" s="702"/>
      <c r="AE2" s="702"/>
      <c r="AF2" s="702"/>
      <c r="AG2" s="702"/>
      <c r="AH2" s="699" t="s">
        <v>353</v>
      </c>
    </row>
    <row r="3" spans="1:34" ht="12.75" customHeight="1">
      <c r="A3" s="714"/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711"/>
      <c r="M3" s="712"/>
      <c r="N3" s="710"/>
      <c r="O3" s="711"/>
      <c r="P3" s="711"/>
      <c r="Q3" s="711"/>
      <c r="R3" s="711"/>
      <c r="S3" s="711"/>
      <c r="T3" s="712"/>
      <c r="U3" s="706" t="s">
        <v>354</v>
      </c>
      <c r="V3" s="695" t="s">
        <v>355</v>
      </c>
      <c r="W3" s="695"/>
      <c r="X3" s="695"/>
      <c r="Y3" s="695"/>
      <c r="Z3" s="695" t="s">
        <v>356</v>
      </c>
      <c r="AA3" s="695"/>
      <c r="AB3" s="695"/>
      <c r="AC3" s="111" t="s">
        <v>357</v>
      </c>
      <c r="AD3" s="698" t="s">
        <v>961</v>
      </c>
      <c r="AE3" s="698" t="s">
        <v>964</v>
      </c>
      <c r="AF3" s="698" t="s">
        <v>962</v>
      </c>
      <c r="AG3" s="703" t="s">
        <v>963</v>
      </c>
      <c r="AH3" s="699"/>
    </row>
    <row r="4" spans="1:34" ht="43.2">
      <c r="A4" s="434" t="s">
        <v>359</v>
      </c>
      <c r="B4" s="100" t="s">
        <v>360</v>
      </c>
      <c r="C4" s="99" t="s">
        <v>361</v>
      </c>
      <c r="D4" s="100" t="s">
        <v>362</v>
      </c>
      <c r="E4" s="99" t="s">
        <v>363</v>
      </c>
      <c r="F4" s="99" t="s">
        <v>364</v>
      </c>
      <c r="G4" s="99" t="s">
        <v>253</v>
      </c>
      <c r="H4" s="99" t="s">
        <v>255</v>
      </c>
      <c r="I4" s="100" t="s">
        <v>365</v>
      </c>
      <c r="J4" s="99" t="s">
        <v>366</v>
      </c>
      <c r="K4" s="99" t="s">
        <v>367</v>
      </c>
      <c r="L4" s="99" t="s">
        <v>368</v>
      </c>
      <c r="M4" s="100" t="s">
        <v>369</v>
      </c>
      <c r="N4" s="100" t="s">
        <v>370</v>
      </c>
      <c r="O4" s="100" t="s">
        <v>371</v>
      </c>
      <c r="P4" s="100" t="s">
        <v>372</v>
      </c>
      <c r="Q4" s="100" t="s">
        <v>373</v>
      </c>
      <c r="R4" s="100" t="s">
        <v>374</v>
      </c>
      <c r="S4" s="103" t="s">
        <v>958</v>
      </c>
      <c r="T4" s="342" t="s">
        <v>959</v>
      </c>
      <c r="U4" s="706"/>
      <c r="V4" s="104" t="s">
        <v>376</v>
      </c>
      <c r="W4" s="104" t="s">
        <v>377</v>
      </c>
      <c r="X4" s="104" t="s">
        <v>378</v>
      </c>
      <c r="Y4" s="104" t="s">
        <v>379</v>
      </c>
      <c r="Z4" s="104" t="s">
        <v>380</v>
      </c>
      <c r="AA4" s="104" t="s">
        <v>381</v>
      </c>
      <c r="AB4" s="104" t="s">
        <v>382</v>
      </c>
      <c r="AC4" s="104" t="s">
        <v>383</v>
      </c>
      <c r="AD4" s="698"/>
      <c r="AE4" s="698"/>
      <c r="AF4" s="698"/>
      <c r="AG4" s="703"/>
      <c r="AH4" s="699"/>
    </row>
    <row r="5" spans="1:34" ht="15" customHeight="1">
      <c r="A5" s="441" t="s">
        <v>384</v>
      </c>
      <c r="B5" s="442"/>
      <c r="C5" s="443"/>
      <c r="D5" s="430"/>
      <c r="E5" s="432"/>
      <c r="F5" s="432"/>
      <c r="G5" s="432">
        <f>'A. Resumen Costes Personal'!D19</f>
        <v>2023</v>
      </c>
      <c r="H5" s="432">
        <f>'A. Resumen Costes Personal'!D20</f>
        <v>2027</v>
      </c>
      <c r="I5" s="430" t="s">
        <v>11</v>
      </c>
      <c r="J5" s="432" t="s">
        <v>13</v>
      </c>
      <c r="K5" s="432" t="s">
        <v>385</v>
      </c>
      <c r="L5" s="432"/>
      <c r="M5" s="430"/>
      <c r="N5" s="430" t="s">
        <v>386</v>
      </c>
      <c r="O5" s="430" t="s">
        <v>387</v>
      </c>
      <c r="P5" s="430" t="s">
        <v>241</v>
      </c>
      <c r="Q5" s="430" t="s">
        <v>388</v>
      </c>
      <c r="R5" s="430"/>
      <c r="S5" s="430" t="s">
        <v>389</v>
      </c>
      <c r="T5" s="430" t="s">
        <v>960</v>
      </c>
      <c r="U5" s="444"/>
      <c r="V5" s="433"/>
      <c r="W5" s="433"/>
      <c r="X5" s="433"/>
      <c r="Y5" s="433"/>
      <c r="Z5" s="433"/>
      <c r="AA5" s="445">
        <f>B.0.ConsumiblesMaquinaria!J24</f>
        <v>4.8</v>
      </c>
      <c r="AB5" s="433"/>
      <c r="AC5" s="446"/>
      <c r="AD5" s="447"/>
      <c r="AE5" s="447"/>
      <c r="AF5" s="447"/>
      <c r="AG5" s="447"/>
      <c r="AH5" s="700"/>
    </row>
    <row r="6" spans="1:34">
      <c r="A6" s="696" t="s">
        <v>390</v>
      </c>
      <c r="B6" s="697"/>
      <c r="C6" s="697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>
        <f>'B. Resumen Costes Veh_Maq'!D9</f>
        <v>0.05</v>
      </c>
      <c r="Q6" s="344">
        <v>0.03</v>
      </c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425"/>
    </row>
    <row r="7" spans="1:34" s="13" customFormat="1">
      <c r="A7" s="365">
        <v>0</v>
      </c>
      <c r="B7" s="366" t="s">
        <v>391</v>
      </c>
      <c r="C7" s="366" t="s">
        <v>392</v>
      </c>
      <c r="D7" s="366" t="s">
        <v>393</v>
      </c>
      <c r="E7" s="366" t="s">
        <v>394</v>
      </c>
      <c r="F7" s="366">
        <f>G7</f>
        <v>2023</v>
      </c>
      <c r="G7" s="366">
        <f>G$5</f>
        <v>2023</v>
      </c>
      <c r="H7" s="366">
        <f>H$5</f>
        <v>2027</v>
      </c>
      <c r="I7" s="367">
        <v>100000</v>
      </c>
      <c r="J7" s="367">
        <v>8</v>
      </c>
      <c r="K7" s="367">
        <f>H7-G7</f>
        <v>4</v>
      </c>
      <c r="L7" s="367"/>
      <c r="M7" s="367">
        <v>3</v>
      </c>
      <c r="N7" s="367">
        <f>I7*A7</f>
        <v>0</v>
      </c>
      <c r="O7" s="367">
        <f>IF(A7&gt;0,I7/J7,0)</f>
        <v>0</v>
      </c>
      <c r="P7" s="367">
        <f>O7*P$6</f>
        <v>0</v>
      </c>
      <c r="Q7" s="367">
        <f>O7*Q$6</f>
        <v>0</v>
      </c>
      <c r="R7" s="367">
        <f>O7*(J7-(K7+(G7-F7)))</f>
        <v>0</v>
      </c>
      <c r="S7" s="367">
        <f>IF(A7&gt;0,(O7+P7+Q7),0)</f>
        <v>0</v>
      </c>
      <c r="T7" s="368">
        <f>(IF(A7&gt;0,(O7+P7+Q7),0)*A7)</f>
        <v>0</v>
      </c>
      <c r="U7" s="375">
        <f t="shared" ref="U7:U18" si="0">20000</f>
        <v>20000</v>
      </c>
      <c r="V7" s="367">
        <v>25</v>
      </c>
      <c r="W7" s="367">
        <f>ROUND(U7*V7,2)/100</f>
        <v>5000</v>
      </c>
      <c r="X7" s="367">
        <f>+B.0.ConsumiblesMaquinaria!J$22</f>
        <v>1.8</v>
      </c>
      <c r="Y7" s="376">
        <f>IF(A7&gt;0,+ROUND(X7*W7/248,2),0)</f>
        <v>0</v>
      </c>
      <c r="Z7" s="377">
        <f>0.004738*U7*1.35</f>
        <v>127.92600000000002</v>
      </c>
      <c r="AA7" s="367">
        <f>AA$5</f>
        <v>4.8</v>
      </c>
      <c r="AB7" s="367">
        <f>IF(A7&gt;0,+ROUND(AA7*Z7/248,2),0)</f>
        <v>0</v>
      </c>
      <c r="AC7" s="367">
        <v>0.4</v>
      </c>
      <c r="AD7" s="367">
        <f>IF(A7&gt;0,+AB7+Y7+AC7,0)</f>
        <v>0</v>
      </c>
      <c r="AE7" s="367">
        <v>248</v>
      </c>
      <c r="AF7" s="367">
        <f>AD7*AE7</f>
        <v>0</v>
      </c>
      <c r="AG7" s="367">
        <f>AF7*A7</f>
        <v>0</v>
      </c>
      <c r="AH7" s="368">
        <f>T7+AG7</f>
        <v>0</v>
      </c>
    </row>
    <row r="8" spans="1:34" s="13" customFormat="1">
      <c r="A8" s="369">
        <v>1</v>
      </c>
      <c r="B8" s="347" t="s">
        <v>395</v>
      </c>
      <c r="C8" s="347" t="s">
        <v>392</v>
      </c>
      <c r="D8" s="347" t="s">
        <v>393</v>
      </c>
      <c r="E8" s="347" t="s">
        <v>396</v>
      </c>
      <c r="F8" s="347">
        <f t="shared" ref="F8:F18" si="1">G8</f>
        <v>2023</v>
      </c>
      <c r="G8" s="347">
        <f t="shared" ref="G8:H18" si="2">G$5</f>
        <v>2023</v>
      </c>
      <c r="H8" s="347">
        <f t="shared" si="2"/>
        <v>2027</v>
      </c>
      <c r="I8" s="348">
        <v>88125</v>
      </c>
      <c r="J8" s="348">
        <v>8</v>
      </c>
      <c r="K8" s="348">
        <f t="shared" ref="K8:K18" si="3">H8-G8</f>
        <v>4</v>
      </c>
      <c r="L8" s="348"/>
      <c r="M8" s="348">
        <v>3</v>
      </c>
      <c r="N8" s="348">
        <f t="shared" ref="N8:N18" si="4">I8*A8</f>
        <v>88125</v>
      </c>
      <c r="O8" s="348">
        <f t="shared" ref="O8:O18" si="5">IF(A8&gt;0,I8/J8,0)</f>
        <v>11015.625</v>
      </c>
      <c r="P8" s="348">
        <f t="shared" ref="P8:P18" si="6">O8*P$6</f>
        <v>550.78125</v>
      </c>
      <c r="Q8" s="348">
        <f t="shared" ref="Q8:Q18" si="7">O8*Q$6</f>
        <v>330.46875</v>
      </c>
      <c r="R8" s="348">
        <f t="shared" ref="R8:R18" si="8">O8*(J8-(K8+(G8-F8)))</f>
        <v>44062.5</v>
      </c>
      <c r="S8" s="348">
        <f>IF(A8&gt;0,(O8+P8+Q8),0)</f>
        <v>11896.875</v>
      </c>
      <c r="T8" s="370">
        <f t="shared" ref="T8:T48" si="9">(IF(A8&gt;0,(O8+P8+Q8),0)*A8)</f>
        <v>11896.875</v>
      </c>
      <c r="U8" s="378">
        <f t="shared" si="0"/>
        <v>20000</v>
      </c>
      <c r="V8" s="348">
        <v>16</v>
      </c>
      <c r="W8" s="348">
        <f t="shared" ref="W8:W18" si="10">ROUND(U8*V8,2)/100</f>
        <v>3200</v>
      </c>
      <c r="X8" s="348">
        <f>+B.0.ConsumiblesMaquinaria!J$22</f>
        <v>1.8</v>
      </c>
      <c r="Y8" s="348">
        <f t="shared" ref="Y8:Y18" si="11">IF(A8&gt;0,+ROUND(X8*W8/248,2),0)</f>
        <v>23.23</v>
      </c>
      <c r="Z8" s="350">
        <f>0.004738*U8*1.33</f>
        <v>126.03080000000001</v>
      </c>
      <c r="AA8" s="348">
        <f t="shared" ref="AA8:AA13" si="12">AA$5</f>
        <v>4.8</v>
      </c>
      <c r="AB8" s="348">
        <f t="shared" ref="AB8:AB18" si="13">IF(A8&gt;0,+ROUND(AA8*Z8/248,2),0)</f>
        <v>2.44</v>
      </c>
      <c r="AC8" s="348">
        <v>0.35249999999999998</v>
      </c>
      <c r="AD8" s="348">
        <f>IF(A8&gt;0,+AB8+Y8+AC8,0)</f>
        <v>26.022500000000001</v>
      </c>
      <c r="AE8" s="348">
        <v>248</v>
      </c>
      <c r="AF8" s="348">
        <f t="shared" ref="AF8:AF48" si="14">AD8*AE8</f>
        <v>6453.58</v>
      </c>
      <c r="AG8" s="348">
        <f t="shared" ref="AG8:AG18" si="15">AF8*A8</f>
        <v>6453.58</v>
      </c>
      <c r="AH8" s="370">
        <f t="shared" ref="AH8:AH18" si="16">T8+AG8</f>
        <v>18350.455000000002</v>
      </c>
    </row>
    <row r="9" spans="1:34" s="13" customFormat="1">
      <c r="A9" s="369">
        <v>0</v>
      </c>
      <c r="B9" s="347" t="s">
        <v>397</v>
      </c>
      <c r="C9" s="347" t="s">
        <v>392</v>
      </c>
      <c r="D9" s="347" t="s">
        <v>393</v>
      </c>
      <c r="E9" s="347" t="s">
        <v>398</v>
      </c>
      <c r="F9" s="347">
        <f t="shared" si="1"/>
        <v>2023</v>
      </c>
      <c r="G9" s="347">
        <f t="shared" si="2"/>
        <v>2023</v>
      </c>
      <c r="H9" s="347">
        <f t="shared" si="2"/>
        <v>2027</v>
      </c>
      <c r="I9" s="348">
        <v>81875</v>
      </c>
      <c r="J9" s="348">
        <v>8</v>
      </c>
      <c r="K9" s="348">
        <f t="shared" si="3"/>
        <v>4</v>
      </c>
      <c r="L9" s="348"/>
      <c r="M9" s="348">
        <v>3</v>
      </c>
      <c r="N9" s="348">
        <f t="shared" si="4"/>
        <v>0</v>
      </c>
      <c r="O9" s="348">
        <f t="shared" si="5"/>
        <v>0</v>
      </c>
      <c r="P9" s="348">
        <f t="shared" si="6"/>
        <v>0</v>
      </c>
      <c r="Q9" s="348">
        <f t="shared" si="7"/>
        <v>0</v>
      </c>
      <c r="R9" s="348">
        <f t="shared" si="8"/>
        <v>0</v>
      </c>
      <c r="S9" s="348">
        <f t="shared" ref="S9:S48" si="17">IF(A9&gt;0,(O9+P9+Q9),0)</f>
        <v>0</v>
      </c>
      <c r="T9" s="370">
        <f t="shared" si="9"/>
        <v>0</v>
      </c>
      <c r="U9" s="378">
        <f t="shared" si="0"/>
        <v>20000</v>
      </c>
      <c r="V9" s="348">
        <v>25</v>
      </c>
      <c r="W9" s="348">
        <f t="shared" si="10"/>
        <v>5000</v>
      </c>
      <c r="X9" s="348">
        <f>+B.0.ConsumiblesMaquinaria!J$22</f>
        <v>1.8</v>
      </c>
      <c r="Y9" s="348">
        <f t="shared" si="11"/>
        <v>0</v>
      </c>
      <c r="Z9" s="350">
        <f>0.004738*U9*1.31</f>
        <v>124.13560000000001</v>
      </c>
      <c r="AA9" s="348">
        <f t="shared" si="12"/>
        <v>4.8</v>
      </c>
      <c r="AB9" s="348">
        <f t="shared" si="13"/>
        <v>0</v>
      </c>
      <c r="AC9" s="348">
        <v>0.32750000000000001</v>
      </c>
      <c r="AD9" s="348">
        <f t="shared" ref="AD9:AD18" si="18">IF(A9&gt;0,+AB9+Y9+AC9,0)</f>
        <v>0</v>
      </c>
      <c r="AE9" s="348">
        <v>248</v>
      </c>
      <c r="AF9" s="348">
        <f t="shared" si="14"/>
        <v>0</v>
      </c>
      <c r="AG9" s="348">
        <f t="shared" si="15"/>
        <v>0</v>
      </c>
      <c r="AH9" s="370">
        <f t="shared" si="16"/>
        <v>0</v>
      </c>
    </row>
    <row r="10" spans="1:34" s="13" customFormat="1">
      <c r="A10" s="369">
        <v>0</v>
      </c>
      <c r="B10" s="347" t="s">
        <v>399</v>
      </c>
      <c r="C10" s="347" t="s">
        <v>392</v>
      </c>
      <c r="D10" s="347" t="s">
        <v>393</v>
      </c>
      <c r="E10" s="347" t="s">
        <v>400</v>
      </c>
      <c r="F10" s="347">
        <f t="shared" si="1"/>
        <v>2023</v>
      </c>
      <c r="G10" s="347">
        <f t="shared" si="2"/>
        <v>2023</v>
      </c>
      <c r="H10" s="347">
        <f t="shared" si="2"/>
        <v>2027</v>
      </c>
      <c r="I10" s="348">
        <v>84156.25</v>
      </c>
      <c r="J10" s="348">
        <v>8</v>
      </c>
      <c r="K10" s="348">
        <f t="shared" si="3"/>
        <v>4</v>
      </c>
      <c r="L10" s="348"/>
      <c r="M10" s="348">
        <v>3</v>
      </c>
      <c r="N10" s="348">
        <f t="shared" si="4"/>
        <v>0</v>
      </c>
      <c r="O10" s="349">
        <f t="shared" si="5"/>
        <v>0</v>
      </c>
      <c r="P10" s="348">
        <f t="shared" si="6"/>
        <v>0</v>
      </c>
      <c r="Q10" s="348">
        <f t="shared" si="7"/>
        <v>0</v>
      </c>
      <c r="R10" s="348">
        <f t="shared" si="8"/>
        <v>0</v>
      </c>
      <c r="S10" s="348">
        <f t="shared" si="17"/>
        <v>0</v>
      </c>
      <c r="T10" s="370">
        <f t="shared" si="9"/>
        <v>0</v>
      </c>
      <c r="U10" s="378">
        <f t="shared" si="0"/>
        <v>20000</v>
      </c>
      <c r="V10" s="348">
        <v>12</v>
      </c>
      <c r="W10" s="348">
        <f t="shared" si="10"/>
        <v>2400</v>
      </c>
      <c r="X10" s="348">
        <f>+B.0.ConsumiblesMaquinaria!J$22</f>
        <v>1.8</v>
      </c>
      <c r="Y10" s="348">
        <f t="shared" si="11"/>
        <v>0</v>
      </c>
      <c r="Z10" s="350">
        <f>0.004738*U10*1.1</f>
        <v>104.23600000000002</v>
      </c>
      <c r="AA10" s="348">
        <f t="shared" si="12"/>
        <v>4.8</v>
      </c>
      <c r="AB10" s="348">
        <f t="shared" si="13"/>
        <v>0</v>
      </c>
      <c r="AC10" s="348">
        <v>0.33662500000000001</v>
      </c>
      <c r="AD10" s="348">
        <f t="shared" si="18"/>
        <v>0</v>
      </c>
      <c r="AE10" s="348">
        <v>248</v>
      </c>
      <c r="AF10" s="348">
        <f t="shared" si="14"/>
        <v>0</v>
      </c>
      <c r="AG10" s="348">
        <f t="shared" si="15"/>
        <v>0</v>
      </c>
      <c r="AH10" s="370">
        <f t="shared" si="16"/>
        <v>0</v>
      </c>
    </row>
    <row r="11" spans="1:34" s="13" customFormat="1">
      <c r="A11" s="369">
        <v>0</v>
      </c>
      <c r="B11" s="347" t="s">
        <v>401</v>
      </c>
      <c r="C11" s="347" t="s">
        <v>392</v>
      </c>
      <c r="D11" s="347" t="s">
        <v>393</v>
      </c>
      <c r="E11" s="347" t="s">
        <v>402</v>
      </c>
      <c r="F11" s="347">
        <f t="shared" si="1"/>
        <v>2023</v>
      </c>
      <c r="G11" s="347">
        <f t="shared" si="2"/>
        <v>2023</v>
      </c>
      <c r="H11" s="347">
        <f t="shared" si="2"/>
        <v>2027</v>
      </c>
      <c r="I11" s="348">
        <v>62125</v>
      </c>
      <c r="J11" s="348">
        <v>8</v>
      </c>
      <c r="K11" s="348">
        <f t="shared" si="3"/>
        <v>4</v>
      </c>
      <c r="L11" s="348"/>
      <c r="M11" s="348">
        <v>3</v>
      </c>
      <c r="N11" s="348">
        <f t="shared" si="4"/>
        <v>0</v>
      </c>
      <c r="O11" s="348">
        <f t="shared" si="5"/>
        <v>0</v>
      </c>
      <c r="P11" s="348">
        <f t="shared" si="6"/>
        <v>0</v>
      </c>
      <c r="Q11" s="348">
        <f t="shared" si="7"/>
        <v>0</v>
      </c>
      <c r="R11" s="348">
        <f t="shared" si="8"/>
        <v>0</v>
      </c>
      <c r="S11" s="348">
        <f t="shared" si="17"/>
        <v>0</v>
      </c>
      <c r="T11" s="370">
        <f t="shared" si="9"/>
        <v>0</v>
      </c>
      <c r="U11" s="378">
        <f t="shared" si="0"/>
        <v>20000</v>
      </c>
      <c r="V11" s="348">
        <v>20</v>
      </c>
      <c r="W11" s="348">
        <f t="shared" si="10"/>
        <v>4000</v>
      </c>
      <c r="X11" s="348">
        <f>+B.0.ConsumiblesMaquinaria!J$22</f>
        <v>1.8</v>
      </c>
      <c r="Y11" s="348">
        <f t="shared" si="11"/>
        <v>0</v>
      </c>
      <c r="Z11" s="350">
        <f>0.004738*U11*1.33</f>
        <v>126.03080000000001</v>
      </c>
      <c r="AA11" s="348">
        <f t="shared" si="12"/>
        <v>4.8</v>
      </c>
      <c r="AB11" s="348">
        <f t="shared" si="13"/>
        <v>0</v>
      </c>
      <c r="AC11" s="348">
        <v>0.2485</v>
      </c>
      <c r="AD11" s="348">
        <f t="shared" si="18"/>
        <v>0</v>
      </c>
      <c r="AE11" s="348">
        <v>248</v>
      </c>
      <c r="AF11" s="348">
        <f t="shared" si="14"/>
        <v>0</v>
      </c>
      <c r="AG11" s="348">
        <f t="shared" si="15"/>
        <v>0</v>
      </c>
      <c r="AH11" s="370">
        <f t="shared" si="16"/>
        <v>0</v>
      </c>
    </row>
    <row r="12" spans="1:34" s="13" customFormat="1">
      <c r="A12" s="369">
        <v>0</v>
      </c>
      <c r="B12" s="347" t="s">
        <v>401</v>
      </c>
      <c r="C12" s="347" t="s">
        <v>392</v>
      </c>
      <c r="D12" s="347" t="s">
        <v>393</v>
      </c>
      <c r="E12" s="347" t="s">
        <v>400</v>
      </c>
      <c r="F12" s="347">
        <f t="shared" si="1"/>
        <v>2023</v>
      </c>
      <c r="G12" s="347">
        <f t="shared" si="2"/>
        <v>2023</v>
      </c>
      <c r="H12" s="347">
        <f t="shared" si="2"/>
        <v>2027</v>
      </c>
      <c r="I12" s="348">
        <v>53750</v>
      </c>
      <c r="J12" s="348">
        <v>8</v>
      </c>
      <c r="K12" s="348">
        <f t="shared" si="3"/>
        <v>4</v>
      </c>
      <c r="L12" s="348"/>
      <c r="M12" s="348">
        <v>3</v>
      </c>
      <c r="N12" s="348">
        <f t="shared" si="4"/>
        <v>0</v>
      </c>
      <c r="O12" s="348">
        <f t="shared" si="5"/>
        <v>0</v>
      </c>
      <c r="P12" s="348">
        <f t="shared" si="6"/>
        <v>0</v>
      </c>
      <c r="Q12" s="348">
        <f t="shared" si="7"/>
        <v>0</v>
      </c>
      <c r="R12" s="348">
        <f t="shared" si="8"/>
        <v>0</v>
      </c>
      <c r="S12" s="348">
        <f t="shared" si="17"/>
        <v>0</v>
      </c>
      <c r="T12" s="370">
        <f t="shared" si="9"/>
        <v>0</v>
      </c>
      <c r="U12" s="378">
        <f t="shared" si="0"/>
        <v>20000</v>
      </c>
      <c r="V12" s="348">
        <v>15</v>
      </c>
      <c r="W12" s="348">
        <f t="shared" si="10"/>
        <v>3000</v>
      </c>
      <c r="X12" s="348">
        <f>+B.0.ConsumiblesMaquinaria!J$22</f>
        <v>1.8</v>
      </c>
      <c r="Y12" s="348">
        <f t="shared" si="11"/>
        <v>0</v>
      </c>
      <c r="Z12" s="350">
        <f>0.004738*U12*1.1</f>
        <v>104.23600000000002</v>
      </c>
      <c r="AA12" s="348">
        <f t="shared" si="12"/>
        <v>4.8</v>
      </c>
      <c r="AB12" s="348">
        <f t="shared" si="13"/>
        <v>0</v>
      </c>
      <c r="AC12" s="348">
        <v>0.215</v>
      </c>
      <c r="AD12" s="348">
        <f t="shared" si="18"/>
        <v>0</v>
      </c>
      <c r="AE12" s="348">
        <v>248</v>
      </c>
      <c r="AF12" s="348">
        <f t="shared" si="14"/>
        <v>0</v>
      </c>
      <c r="AG12" s="348">
        <f t="shared" si="15"/>
        <v>0</v>
      </c>
      <c r="AH12" s="370">
        <f t="shared" si="16"/>
        <v>0</v>
      </c>
    </row>
    <row r="13" spans="1:34" s="13" customFormat="1">
      <c r="A13" s="369">
        <v>0</v>
      </c>
      <c r="B13" s="347" t="s">
        <v>401</v>
      </c>
      <c r="C13" s="347" t="s">
        <v>392</v>
      </c>
      <c r="D13" s="347" t="s">
        <v>393</v>
      </c>
      <c r="E13" s="347" t="s">
        <v>403</v>
      </c>
      <c r="F13" s="347">
        <f t="shared" si="1"/>
        <v>2023</v>
      </c>
      <c r="G13" s="347">
        <f t="shared" si="2"/>
        <v>2023</v>
      </c>
      <c r="H13" s="347">
        <f t="shared" si="2"/>
        <v>2027</v>
      </c>
      <c r="I13" s="348">
        <v>50075</v>
      </c>
      <c r="J13" s="348">
        <v>8</v>
      </c>
      <c r="K13" s="348">
        <f t="shared" si="3"/>
        <v>4</v>
      </c>
      <c r="L13" s="348"/>
      <c r="M13" s="348">
        <v>3</v>
      </c>
      <c r="N13" s="348">
        <f t="shared" si="4"/>
        <v>0</v>
      </c>
      <c r="O13" s="348">
        <f t="shared" si="5"/>
        <v>0</v>
      </c>
      <c r="P13" s="348">
        <f t="shared" si="6"/>
        <v>0</v>
      </c>
      <c r="Q13" s="348">
        <f t="shared" si="7"/>
        <v>0</v>
      </c>
      <c r="R13" s="348">
        <f t="shared" si="8"/>
        <v>0</v>
      </c>
      <c r="S13" s="348">
        <f t="shared" si="17"/>
        <v>0</v>
      </c>
      <c r="T13" s="370">
        <f t="shared" si="9"/>
        <v>0</v>
      </c>
      <c r="U13" s="378">
        <f t="shared" si="0"/>
        <v>20000</v>
      </c>
      <c r="V13" s="348">
        <v>14</v>
      </c>
      <c r="W13" s="348">
        <f t="shared" si="10"/>
        <v>2800</v>
      </c>
      <c r="X13" s="348">
        <f>+B.0.ConsumiblesMaquinaria!J$22</f>
        <v>1.8</v>
      </c>
      <c r="Y13" s="348">
        <f t="shared" si="11"/>
        <v>0</v>
      </c>
      <c r="Z13" s="350">
        <f>0.007738*U13*1.08</f>
        <v>167.14080000000001</v>
      </c>
      <c r="AA13" s="348">
        <f t="shared" si="12"/>
        <v>4.8</v>
      </c>
      <c r="AB13" s="348">
        <f t="shared" si="13"/>
        <v>0</v>
      </c>
      <c r="AC13" s="348">
        <v>0.20030000000000001</v>
      </c>
      <c r="AD13" s="348">
        <f t="shared" si="18"/>
        <v>0</v>
      </c>
      <c r="AE13" s="348">
        <v>248</v>
      </c>
      <c r="AF13" s="348">
        <f t="shared" si="14"/>
        <v>0</v>
      </c>
      <c r="AG13" s="348">
        <f t="shared" si="15"/>
        <v>0</v>
      </c>
      <c r="AH13" s="370">
        <f t="shared" si="16"/>
        <v>0</v>
      </c>
    </row>
    <row r="14" spans="1:34" s="13" customFormat="1">
      <c r="A14" s="369">
        <v>0</v>
      </c>
      <c r="B14" s="347" t="s">
        <v>404</v>
      </c>
      <c r="C14" s="347" t="s">
        <v>392</v>
      </c>
      <c r="D14" s="347" t="s">
        <v>393</v>
      </c>
      <c r="E14" s="347" t="s">
        <v>405</v>
      </c>
      <c r="F14" s="347">
        <f t="shared" si="1"/>
        <v>2023</v>
      </c>
      <c r="G14" s="347">
        <f t="shared" si="2"/>
        <v>2023</v>
      </c>
      <c r="H14" s="347">
        <f t="shared" si="2"/>
        <v>2027</v>
      </c>
      <c r="I14" s="348">
        <v>26875</v>
      </c>
      <c r="J14" s="348">
        <v>8</v>
      </c>
      <c r="K14" s="348">
        <f t="shared" si="3"/>
        <v>4</v>
      </c>
      <c r="L14" s="348"/>
      <c r="M14" s="348">
        <v>5</v>
      </c>
      <c r="N14" s="348">
        <f t="shared" si="4"/>
        <v>0</v>
      </c>
      <c r="O14" s="348">
        <f t="shared" si="5"/>
        <v>0</v>
      </c>
      <c r="P14" s="348">
        <f t="shared" si="6"/>
        <v>0</v>
      </c>
      <c r="Q14" s="348">
        <f t="shared" si="7"/>
        <v>0</v>
      </c>
      <c r="R14" s="348">
        <f t="shared" si="8"/>
        <v>0</v>
      </c>
      <c r="S14" s="348">
        <f t="shared" si="17"/>
        <v>0</v>
      </c>
      <c r="T14" s="370">
        <f t="shared" si="9"/>
        <v>0</v>
      </c>
      <c r="U14" s="378">
        <f t="shared" si="0"/>
        <v>20000</v>
      </c>
      <c r="V14" s="348">
        <v>17</v>
      </c>
      <c r="W14" s="348">
        <f t="shared" si="10"/>
        <v>3400</v>
      </c>
      <c r="X14" s="348">
        <f>+B.0.ConsumiblesMaquinaria!J$22</f>
        <v>1.8</v>
      </c>
      <c r="Y14" s="348">
        <f t="shared" si="11"/>
        <v>0</v>
      </c>
      <c r="Z14" s="350">
        <f>0.004738*U14*1.15</f>
        <v>108.974</v>
      </c>
      <c r="AA14" s="348">
        <f t="shared" ref="AA14:AA18" si="19">AA$5</f>
        <v>4.8</v>
      </c>
      <c r="AB14" s="348">
        <f t="shared" si="13"/>
        <v>0</v>
      </c>
      <c r="AC14" s="348">
        <v>0.1075</v>
      </c>
      <c r="AD14" s="348">
        <f t="shared" si="18"/>
        <v>0</v>
      </c>
      <c r="AE14" s="348">
        <v>248</v>
      </c>
      <c r="AF14" s="348">
        <f t="shared" si="14"/>
        <v>0</v>
      </c>
      <c r="AG14" s="348">
        <f t="shared" si="15"/>
        <v>0</v>
      </c>
      <c r="AH14" s="370">
        <f t="shared" si="16"/>
        <v>0</v>
      </c>
    </row>
    <row r="15" spans="1:34" s="13" customFormat="1">
      <c r="A15" s="369">
        <v>0</v>
      </c>
      <c r="B15" s="347" t="s">
        <v>406</v>
      </c>
      <c r="C15" s="347" t="s">
        <v>392</v>
      </c>
      <c r="D15" s="347" t="s">
        <v>393</v>
      </c>
      <c r="E15" s="347" t="s">
        <v>405</v>
      </c>
      <c r="F15" s="347">
        <f t="shared" si="1"/>
        <v>2023</v>
      </c>
      <c r="G15" s="347">
        <f t="shared" si="2"/>
        <v>2023</v>
      </c>
      <c r="H15" s="347">
        <f t="shared" si="2"/>
        <v>2027</v>
      </c>
      <c r="I15" s="348">
        <v>76250</v>
      </c>
      <c r="J15" s="348">
        <v>8</v>
      </c>
      <c r="K15" s="348">
        <f t="shared" si="3"/>
        <v>4</v>
      </c>
      <c r="L15" s="348"/>
      <c r="M15" s="348">
        <v>6</v>
      </c>
      <c r="N15" s="348">
        <f t="shared" si="4"/>
        <v>0</v>
      </c>
      <c r="O15" s="348">
        <f t="shared" si="5"/>
        <v>0</v>
      </c>
      <c r="P15" s="348">
        <f t="shared" si="6"/>
        <v>0</v>
      </c>
      <c r="Q15" s="348">
        <f t="shared" si="7"/>
        <v>0</v>
      </c>
      <c r="R15" s="348">
        <f t="shared" si="8"/>
        <v>0</v>
      </c>
      <c r="S15" s="348">
        <f t="shared" si="17"/>
        <v>0</v>
      </c>
      <c r="T15" s="370">
        <f t="shared" si="9"/>
        <v>0</v>
      </c>
      <c r="U15" s="378">
        <f t="shared" si="0"/>
        <v>20000</v>
      </c>
      <c r="V15" s="348">
        <v>17</v>
      </c>
      <c r="W15" s="348">
        <f t="shared" si="10"/>
        <v>3400</v>
      </c>
      <c r="X15" s="348">
        <f>+B.0.ConsumiblesMaquinaria!J$22</f>
        <v>1.8</v>
      </c>
      <c r="Y15" s="348">
        <f t="shared" si="11"/>
        <v>0</v>
      </c>
      <c r="Z15" s="350">
        <f>0.004738*U15*1.15</f>
        <v>108.974</v>
      </c>
      <c r="AA15" s="348">
        <f t="shared" si="19"/>
        <v>4.8</v>
      </c>
      <c r="AB15" s="348">
        <f t="shared" si="13"/>
        <v>0</v>
      </c>
      <c r="AC15" s="348">
        <v>0.30499999999999999</v>
      </c>
      <c r="AD15" s="348">
        <f t="shared" si="18"/>
        <v>0</v>
      </c>
      <c r="AE15" s="348">
        <v>248</v>
      </c>
      <c r="AF15" s="348">
        <f t="shared" si="14"/>
        <v>0</v>
      </c>
      <c r="AG15" s="348">
        <f t="shared" si="15"/>
        <v>0</v>
      </c>
      <c r="AH15" s="370">
        <f t="shared" si="16"/>
        <v>0</v>
      </c>
    </row>
    <row r="16" spans="1:34" s="13" customFormat="1">
      <c r="A16" s="369">
        <v>0</v>
      </c>
      <c r="B16" s="347" t="s">
        <v>407</v>
      </c>
      <c r="C16" s="347" t="s">
        <v>392</v>
      </c>
      <c r="D16" s="347" t="s">
        <v>408</v>
      </c>
      <c r="E16" s="347" t="s">
        <v>409</v>
      </c>
      <c r="F16" s="347">
        <f t="shared" si="1"/>
        <v>2023</v>
      </c>
      <c r="G16" s="347">
        <f t="shared" si="2"/>
        <v>2023</v>
      </c>
      <c r="H16" s="347">
        <f t="shared" si="2"/>
        <v>2027</v>
      </c>
      <c r="I16" s="348">
        <v>54375</v>
      </c>
      <c r="J16" s="348">
        <v>8</v>
      </c>
      <c r="K16" s="348">
        <f t="shared" si="3"/>
        <v>4</v>
      </c>
      <c r="L16" s="348"/>
      <c r="M16" s="348">
        <v>3</v>
      </c>
      <c r="N16" s="348">
        <f t="shared" si="4"/>
        <v>0</v>
      </c>
      <c r="O16" s="348">
        <f t="shared" si="5"/>
        <v>0</v>
      </c>
      <c r="P16" s="348">
        <f t="shared" si="6"/>
        <v>0</v>
      </c>
      <c r="Q16" s="348">
        <f t="shared" si="7"/>
        <v>0</v>
      </c>
      <c r="R16" s="348">
        <f t="shared" si="8"/>
        <v>0</v>
      </c>
      <c r="S16" s="348">
        <f t="shared" si="17"/>
        <v>0</v>
      </c>
      <c r="T16" s="370">
        <f t="shared" si="9"/>
        <v>0</v>
      </c>
      <c r="U16" s="378">
        <f t="shared" si="0"/>
        <v>20000</v>
      </c>
      <c r="V16" s="348">
        <v>15</v>
      </c>
      <c r="W16" s="348">
        <f t="shared" si="10"/>
        <v>3000</v>
      </c>
      <c r="X16" s="348">
        <f>+B.0.ConsumiblesMaquinaria!J$22</f>
        <v>1.8</v>
      </c>
      <c r="Y16" s="348">
        <f t="shared" si="11"/>
        <v>0</v>
      </c>
      <c r="Z16" s="350">
        <f>0.004738*U16*1.14</f>
        <v>108.0264</v>
      </c>
      <c r="AA16" s="348">
        <f t="shared" si="19"/>
        <v>4.8</v>
      </c>
      <c r="AB16" s="348">
        <f t="shared" si="13"/>
        <v>0</v>
      </c>
      <c r="AC16" s="348">
        <v>0.2175</v>
      </c>
      <c r="AD16" s="348">
        <f t="shared" si="18"/>
        <v>0</v>
      </c>
      <c r="AE16" s="348">
        <v>248</v>
      </c>
      <c r="AF16" s="348">
        <f t="shared" si="14"/>
        <v>0</v>
      </c>
      <c r="AG16" s="348">
        <f t="shared" si="15"/>
        <v>0</v>
      </c>
      <c r="AH16" s="370">
        <f t="shared" si="16"/>
        <v>0</v>
      </c>
    </row>
    <row r="17" spans="1:34" s="13" customFormat="1">
      <c r="A17" s="369">
        <v>0</v>
      </c>
      <c r="B17" s="347" t="s">
        <v>410</v>
      </c>
      <c r="C17" s="347" t="s">
        <v>392</v>
      </c>
      <c r="D17" s="347" t="s">
        <v>411</v>
      </c>
      <c r="E17" s="347" t="s">
        <v>412</v>
      </c>
      <c r="F17" s="347">
        <f t="shared" si="1"/>
        <v>2023</v>
      </c>
      <c r="G17" s="347">
        <f t="shared" si="2"/>
        <v>2023</v>
      </c>
      <c r="H17" s="347">
        <f t="shared" si="2"/>
        <v>2027</v>
      </c>
      <c r="I17" s="348">
        <v>102500</v>
      </c>
      <c r="J17" s="348">
        <v>8</v>
      </c>
      <c r="K17" s="348">
        <f t="shared" si="3"/>
        <v>4</v>
      </c>
      <c r="L17" s="348"/>
      <c r="M17" s="348">
        <v>3</v>
      </c>
      <c r="N17" s="348">
        <f t="shared" si="4"/>
        <v>0</v>
      </c>
      <c r="O17" s="348">
        <f t="shared" si="5"/>
        <v>0</v>
      </c>
      <c r="P17" s="348">
        <f t="shared" si="6"/>
        <v>0</v>
      </c>
      <c r="Q17" s="348">
        <f t="shared" si="7"/>
        <v>0</v>
      </c>
      <c r="R17" s="348">
        <f t="shared" si="8"/>
        <v>0</v>
      </c>
      <c r="S17" s="348">
        <f t="shared" si="17"/>
        <v>0</v>
      </c>
      <c r="T17" s="370">
        <f t="shared" si="9"/>
        <v>0</v>
      </c>
      <c r="U17" s="378">
        <f t="shared" si="0"/>
        <v>20000</v>
      </c>
      <c r="V17" s="348">
        <v>12</v>
      </c>
      <c r="W17" s="348">
        <f t="shared" si="10"/>
        <v>2400</v>
      </c>
      <c r="X17" s="348">
        <f>+B.0.ConsumiblesMaquinaria!J$22</f>
        <v>1.8</v>
      </c>
      <c r="Y17" s="348">
        <f t="shared" si="11"/>
        <v>0</v>
      </c>
      <c r="Z17" s="350">
        <f>0.004738*U17*1.11</f>
        <v>105.18360000000001</v>
      </c>
      <c r="AA17" s="348">
        <f t="shared" si="19"/>
        <v>4.8</v>
      </c>
      <c r="AB17" s="348">
        <f t="shared" si="13"/>
        <v>0</v>
      </c>
      <c r="AC17" s="348">
        <v>0.41</v>
      </c>
      <c r="AD17" s="348">
        <f t="shared" si="18"/>
        <v>0</v>
      </c>
      <c r="AE17" s="348">
        <v>248</v>
      </c>
      <c r="AF17" s="348">
        <f t="shared" si="14"/>
        <v>0</v>
      </c>
      <c r="AG17" s="348">
        <f t="shared" si="15"/>
        <v>0</v>
      </c>
      <c r="AH17" s="370">
        <f t="shared" si="16"/>
        <v>0</v>
      </c>
    </row>
    <row r="18" spans="1:34" s="13" customFormat="1">
      <c r="A18" s="371">
        <v>1</v>
      </c>
      <c r="B18" s="372" t="s">
        <v>413</v>
      </c>
      <c r="C18" s="372" t="s">
        <v>392</v>
      </c>
      <c r="D18" s="372" t="s">
        <v>414</v>
      </c>
      <c r="E18" s="372" t="s">
        <v>400</v>
      </c>
      <c r="F18" s="372">
        <f t="shared" si="1"/>
        <v>2023</v>
      </c>
      <c r="G18" s="372">
        <f t="shared" si="2"/>
        <v>2023</v>
      </c>
      <c r="H18" s="372">
        <f t="shared" si="2"/>
        <v>2027</v>
      </c>
      <c r="I18" s="373">
        <v>65000</v>
      </c>
      <c r="J18" s="373">
        <v>8</v>
      </c>
      <c r="K18" s="373">
        <f t="shared" si="3"/>
        <v>4</v>
      </c>
      <c r="L18" s="373"/>
      <c r="M18" s="373">
        <v>3</v>
      </c>
      <c r="N18" s="373">
        <f t="shared" si="4"/>
        <v>65000</v>
      </c>
      <c r="O18" s="373">
        <f t="shared" si="5"/>
        <v>8125</v>
      </c>
      <c r="P18" s="373">
        <f t="shared" si="6"/>
        <v>406.25</v>
      </c>
      <c r="Q18" s="373">
        <f t="shared" si="7"/>
        <v>243.75</v>
      </c>
      <c r="R18" s="373">
        <f t="shared" si="8"/>
        <v>32500</v>
      </c>
      <c r="S18" s="373">
        <f t="shared" si="17"/>
        <v>8775</v>
      </c>
      <c r="T18" s="374">
        <f t="shared" si="9"/>
        <v>8775</v>
      </c>
      <c r="U18" s="379">
        <f t="shared" si="0"/>
        <v>20000</v>
      </c>
      <c r="V18" s="373">
        <v>17</v>
      </c>
      <c r="W18" s="373">
        <f t="shared" si="10"/>
        <v>3400</v>
      </c>
      <c r="X18" s="373">
        <f>+B.0.ConsumiblesMaquinaria!J$22</f>
        <v>1.8</v>
      </c>
      <c r="Y18" s="373">
        <f t="shared" si="11"/>
        <v>24.68</v>
      </c>
      <c r="Z18" s="380">
        <f>0.004738*U18*1.1</f>
        <v>104.23600000000002</v>
      </c>
      <c r="AA18" s="373">
        <f t="shared" si="19"/>
        <v>4.8</v>
      </c>
      <c r="AB18" s="373">
        <f t="shared" si="13"/>
        <v>2.02</v>
      </c>
      <c r="AC18" s="373">
        <v>0.26</v>
      </c>
      <c r="AD18" s="373">
        <f t="shared" si="18"/>
        <v>26.96</v>
      </c>
      <c r="AE18" s="373">
        <v>248</v>
      </c>
      <c r="AF18" s="373">
        <f t="shared" si="14"/>
        <v>6686.08</v>
      </c>
      <c r="AG18" s="373">
        <f t="shared" si="15"/>
        <v>6686.08</v>
      </c>
      <c r="AH18" s="374">
        <f t="shared" si="16"/>
        <v>15461.08</v>
      </c>
    </row>
    <row r="19" spans="1:34">
      <c r="A19" s="704" t="s">
        <v>415</v>
      </c>
      <c r="B19" s="705" t="s">
        <v>415</v>
      </c>
      <c r="C19" s="705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425"/>
    </row>
    <row r="20" spans="1:34">
      <c r="A20" s="365">
        <v>4</v>
      </c>
      <c r="B20" s="392" t="s">
        <v>416</v>
      </c>
      <c r="C20" s="392" t="s">
        <v>417</v>
      </c>
      <c r="D20" s="392" t="s">
        <v>393</v>
      </c>
      <c r="E20" s="392" t="s">
        <v>418</v>
      </c>
      <c r="F20" s="366">
        <f t="shared" ref="F20:F26" si="20">G20</f>
        <v>2023</v>
      </c>
      <c r="G20" s="392">
        <f t="shared" ref="G20:H29" si="21">G$5</f>
        <v>2023</v>
      </c>
      <c r="H20" s="392">
        <f t="shared" si="21"/>
        <v>2027</v>
      </c>
      <c r="I20" s="382">
        <v>37250</v>
      </c>
      <c r="J20" s="382">
        <v>4</v>
      </c>
      <c r="K20" s="382">
        <f t="shared" ref="K20:K26" si="22">H20-G20</f>
        <v>4</v>
      </c>
      <c r="L20" s="382">
        <v>600</v>
      </c>
      <c r="M20" s="382">
        <v>4</v>
      </c>
      <c r="N20" s="382">
        <f t="shared" ref="N20:N26" si="23">I20*A20</f>
        <v>149000</v>
      </c>
      <c r="O20" s="382">
        <f t="shared" ref="O20:O26" si="24">IF(A20&gt;0,I20/J20,0)</f>
        <v>9312.5</v>
      </c>
      <c r="P20" s="382">
        <f t="shared" ref="P20:P26" si="25">O20*P$6</f>
        <v>465.625</v>
      </c>
      <c r="Q20" s="382">
        <f t="shared" ref="Q20:Q26" si="26">O20*Q$6</f>
        <v>279.375</v>
      </c>
      <c r="R20" s="382">
        <f t="shared" ref="R20:R26" si="27">O20*(J20-(K20+(G20-F20)))</f>
        <v>0</v>
      </c>
      <c r="S20" s="367">
        <f t="shared" si="17"/>
        <v>10057.5</v>
      </c>
      <c r="T20" s="368">
        <f t="shared" si="9"/>
        <v>40230</v>
      </c>
      <c r="U20" s="381">
        <v>10000</v>
      </c>
      <c r="V20" s="382">
        <v>0</v>
      </c>
      <c r="W20" s="382"/>
      <c r="X20" s="382">
        <v>0</v>
      </c>
      <c r="Y20" s="382">
        <f t="shared" ref="Y20:Y26" si="28">IF(A20&gt;0,+ROUND(X20*W20/248,2),0)</f>
        <v>0</v>
      </c>
      <c r="Z20" s="383">
        <f>0.003038*U20*0.7</f>
        <v>21.265999999999998</v>
      </c>
      <c r="AA20" s="382">
        <f t="shared" ref="AA20:AA26" si="29">AA$5</f>
        <v>4.8</v>
      </c>
      <c r="AB20" s="382">
        <f t="shared" ref="AB20:AB26" si="30">IF(A20&gt;0,+ROUND(AA20*Z20/248,2),0)</f>
        <v>0.41</v>
      </c>
      <c r="AC20" s="382">
        <v>0.14899999999999999</v>
      </c>
      <c r="AD20" s="382">
        <f>IF(A20&gt;0,+AB20+Y20+AC20,0)</f>
        <v>0.55899999999999994</v>
      </c>
      <c r="AE20" s="382">
        <v>248</v>
      </c>
      <c r="AF20" s="382">
        <f t="shared" si="14"/>
        <v>138.63199999999998</v>
      </c>
      <c r="AG20" s="382">
        <f t="shared" ref="AG20:AG26" si="31">AF20*A20</f>
        <v>554.52799999999991</v>
      </c>
      <c r="AH20" s="384">
        <f t="shared" ref="AH20:AH26" si="32">T20+AG20</f>
        <v>40784.527999999998</v>
      </c>
    </row>
    <row r="21" spans="1:34">
      <c r="A21" s="369">
        <v>0</v>
      </c>
      <c r="B21" s="351" t="s">
        <v>416</v>
      </c>
      <c r="C21" s="351" t="s">
        <v>419</v>
      </c>
      <c r="D21" s="351" t="s">
        <v>393</v>
      </c>
      <c r="E21" s="351" t="s">
        <v>418</v>
      </c>
      <c r="F21" s="347">
        <f t="shared" si="20"/>
        <v>2023</v>
      </c>
      <c r="G21" s="351">
        <f t="shared" si="21"/>
        <v>2023</v>
      </c>
      <c r="H21" s="351">
        <f t="shared" si="21"/>
        <v>2027</v>
      </c>
      <c r="I21" s="352">
        <v>75000</v>
      </c>
      <c r="J21" s="352">
        <v>8</v>
      </c>
      <c r="K21" s="352">
        <f t="shared" si="22"/>
        <v>4</v>
      </c>
      <c r="L21" s="352">
        <v>600</v>
      </c>
      <c r="M21" s="352">
        <v>3</v>
      </c>
      <c r="N21" s="348">
        <f t="shared" si="23"/>
        <v>0</v>
      </c>
      <c r="O21" s="348">
        <f t="shared" si="24"/>
        <v>0</v>
      </c>
      <c r="P21" s="348">
        <f t="shared" si="25"/>
        <v>0</v>
      </c>
      <c r="Q21" s="348">
        <f t="shared" si="26"/>
        <v>0</v>
      </c>
      <c r="R21" s="348">
        <f t="shared" si="27"/>
        <v>0</v>
      </c>
      <c r="S21" s="348">
        <f t="shared" si="17"/>
        <v>0</v>
      </c>
      <c r="T21" s="370">
        <f t="shared" si="9"/>
        <v>0</v>
      </c>
      <c r="U21" s="385">
        <v>20000</v>
      </c>
      <c r="V21" s="352">
        <v>3</v>
      </c>
      <c r="W21" s="352">
        <f t="shared" ref="W21:W26" si="33">ROUND(U21*V21,2)/100</f>
        <v>600</v>
      </c>
      <c r="X21" s="352">
        <f>+B.0.ConsumiblesMaquinaria!J$22</f>
        <v>1.8</v>
      </c>
      <c r="Y21" s="352">
        <f t="shared" si="28"/>
        <v>0</v>
      </c>
      <c r="Z21" s="353">
        <f>0.002038*U21</f>
        <v>40.76</v>
      </c>
      <c r="AA21" s="352">
        <f t="shared" si="29"/>
        <v>4.8</v>
      </c>
      <c r="AB21" s="352">
        <f t="shared" si="30"/>
        <v>0</v>
      </c>
      <c r="AC21" s="352">
        <v>0.3</v>
      </c>
      <c r="AD21" s="352">
        <f t="shared" ref="AD21:AD26" si="34">IF(A21&gt;0,+AB21+Y21+AC21,0)</f>
        <v>0</v>
      </c>
      <c r="AE21" s="352">
        <v>248</v>
      </c>
      <c r="AF21" s="352">
        <f t="shared" si="14"/>
        <v>0</v>
      </c>
      <c r="AG21" s="352">
        <f t="shared" si="31"/>
        <v>0</v>
      </c>
      <c r="AH21" s="386">
        <f t="shared" si="32"/>
        <v>0</v>
      </c>
    </row>
    <row r="22" spans="1:34">
      <c r="A22" s="369">
        <v>2</v>
      </c>
      <c r="B22" s="351" t="s">
        <v>416</v>
      </c>
      <c r="C22" s="351" t="s">
        <v>392</v>
      </c>
      <c r="D22" s="351" t="s">
        <v>393</v>
      </c>
      <c r="E22" s="351" t="s">
        <v>420</v>
      </c>
      <c r="F22" s="347">
        <f t="shared" si="20"/>
        <v>2023</v>
      </c>
      <c r="G22" s="351">
        <f t="shared" si="21"/>
        <v>2023</v>
      </c>
      <c r="H22" s="351">
        <f t="shared" si="21"/>
        <v>2027</v>
      </c>
      <c r="I22" s="352">
        <v>27500</v>
      </c>
      <c r="J22" s="352">
        <v>8</v>
      </c>
      <c r="K22" s="352">
        <f t="shared" si="22"/>
        <v>4</v>
      </c>
      <c r="L22" s="352">
        <v>500</v>
      </c>
      <c r="M22" s="352">
        <v>3</v>
      </c>
      <c r="N22" s="348">
        <f t="shared" si="23"/>
        <v>55000</v>
      </c>
      <c r="O22" s="348">
        <f t="shared" si="24"/>
        <v>3437.5</v>
      </c>
      <c r="P22" s="348">
        <f t="shared" si="25"/>
        <v>171.875</v>
      </c>
      <c r="Q22" s="348">
        <f t="shared" si="26"/>
        <v>103.125</v>
      </c>
      <c r="R22" s="348">
        <f t="shared" si="27"/>
        <v>13750</v>
      </c>
      <c r="S22" s="348">
        <f t="shared" si="17"/>
        <v>3712.5</v>
      </c>
      <c r="T22" s="370">
        <f t="shared" si="9"/>
        <v>7425</v>
      </c>
      <c r="U22" s="385">
        <f>20000</f>
        <v>20000</v>
      </c>
      <c r="V22" s="352">
        <v>12</v>
      </c>
      <c r="W22" s="352">
        <f t="shared" si="33"/>
        <v>2400</v>
      </c>
      <c r="X22" s="352">
        <f>+B.0.ConsumiblesMaquinaria!J$22</f>
        <v>1.8</v>
      </c>
      <c r="Y22" s="352">
        <f t="shared" si="28"/>
        <v>17.420000000000002</v>
      </c>
      <c r="Z22" s="353">
        <f>0.002038*U22*1.04</f>
        <v>42.3904</v>
      </c>
      <c r="AA22" s="352">
        <f t="shared" si="29"/>
        <v>4.8</v>
      </c>
      <c r="AB22" s="352">
        <f t="shared" si="30"/>
        <v>0.82</v>
      </c>
      <c r="AC22" s="352">
        <v>0.11</v>
      </c>
      <c r="AD22" s="352">
        <f t="shared" si="34"/>
        <v>18.350000000000001</v>
      </c>
      <c r="AE22" s="352">
        <v>248</v>
      </c>
      <c r="AF22" s="352">
        <f t="shared" si="14"/>
        <v>4550.8</v>
      </c>
      <c r="AG22" s="352">
        <f t="shared" si="31"/>
        <v>9101.6</v>
      </c>
      <c r="AH22" s="386">
        <f t="shared" si="32"/>
        <v>16526.599999999999</v>
      </c>
    </row>
    <row r="23" spans="1:34">
      <c r="A23" s="369">
        <v>2</v>
      </c>
      <c r="B23" s="354" t="s">
        <v>421</v>
      </c>
      <c r="C23" s="354" t="s">
        <v>392</v>
      </c>
      <c r="D23" s="351" t="s">
        <v>393</v>
      </c>
      <c r="E23" s="351" t="s">
        <v>422</v>
      </c>
      <c r="F23" s="347">
        <f t="shared" si="20"/>
        <v>2023</v>
      </c>
      <c r="G23" s="351">
        <f t="shared" si="21"/>
        <v>2023</v>
      </c>
      <c r="H23" s="351">
        <f t="shared" si="21"/>
        <v>2027</v>
      </c>
      <c r="I23" s="352">
        <v>31662.5</v>
      </c>
      <c r="J23" s="352">
        <v>8</v>
      </c>
      <c r="K23" s="352">
        <f t="shared" si="22"/>
        <v>4</v>
      </c>
      <c r="L23" s="352">
        <v>800</v>
      </c>
      <c r="M23" s="352">
        <v>6</v>
      </c>
      <c r="N23" s="348">
        <f t="shared" si="23"/>
        <v>63325</v>
      </c>
      <c r="O23" s="348">
        <f t="shared" si="24"/>
        <v>3957.8125</v>
      </c>
      <c r="P23" s="348">
        <f t="shared" si="25"/>
        <v>197.890625</v>
      </c>
      <c r="Q23" s="348">
        <f t="shared" si="26"/>
        <v>118.734375</v>
      </c>
      <c r="R23" s="348">
        <f t="shared" si="27"/>
        <v>15831.25</v>
      </c>
      <c r="S23" s="348">
        <f t="shared" si="17"/>
        <v>4274.4375</v>
      </c>
      <c r="T23" s="370">
        <f t="shared" si="9"/>
        <v>8548.875</v>
      </c>
      <c r="U23" s="385">
        <f>20000</f>
        <v>20000</v>
      </c>
      <c r="V23" s="352">
        <v>7.9</v>
      </c>
      <c r="W23" s="352">
        <f t="shared" si="33"/>
        <v>1580</v>
      </c>
      <c r="X23" s="352">
        <f>+B.0.ConsumiblesMaquinaria!J$22</f>
        <v>1.8</v>
      </c>
      <c r="Y23" s="352">
        <f t="shared" si="28"/>
        <v>11.47</v>
      </c>
      <c r="Z23" s="353">
        <f>0.002038*U23*1.04</f>
        <v>42.3904</v>
      </c>
      <c r="AA23" s="352">
        <f t="shared" si="29"/>
        <v>4.8</v>
      </c>
      <c r="AB23" s="352">
        <f t="shared" si="30"/>
        <v>0.82</v>
      </c>
      <c r="AC23" s="352">
        <v>1.1366000000000001</v>
      </c>
      <c r="AD23" s="352">
        <f t="shared" si="34"/>
        <v>13.426600000000001</v>
      </c>
      <c r="AE23" s="352">
        <v>248</v>
      </c>
      <c r="AF23" s="352">
        <f t="shared" si="14"/>
        <v>3329.7968000000001</v>
      </c>
      <c r="AG23" s="352">
        <f t="shared" si="31"/>
        <v>6659.5936000000002</v>
      </c>
      <c r="AH23" s="386">
        <f t="shared" si="32"/>
        <v>15208.4686</v>
      </c>
    </row>
    <row r="24" spans="1:34">
      <c r="A24" s="369">
        <v>0</v>
      </c>
      <c r="B24" s="354" t="s">
        <v>423</v>
      </c>
      <c r="C24" s="354" t="s">
        <v>392</v>
      </c>
      <c r="D24" s="351" t="s">
        <v>393</v>
      </c>
      <c r="E24" s="351" t="s">
        <v>424</v>
      </c>
      <c r="F24" s="347">
        <f t="shared" si="20"/>
        <v>2023</v>
      </c>
      <c r="G24" s="351">
        <f t="shared" si="21"/>
        <v>2023</v>
      </c>
      <c r="H24" s="351">
        <f t="shared" si="21"/>
        <v>2027</v>
      </c>
      <c r="I24" s="352">
        <v>32987.5</v>
      </c>
      <c r="J24" s="352">
        <v>8</v>
      </c>
      <c r="K24" s="352">
        <f t="shared" si="22"/>
        <v>4</v>
      </c>
      <c r="L24" s="352">
        <v>900</v>
      </c>
      <c r="M24" s="352">
        <v>9</v>
      </c>
      <c r="N24" s="348">
        <f t="shared" si="23"/>
        <v>0</v>
      </c>
      <c r="O24" s="348">
        <f t="shared" si="24"/>
        <v>0</v>
      </c>
      <c r="P24" s="348">
        <f t="shared" si="25"/>
        <v>0</v>
      </c>
      <c r="Q24" s="348">
        <f t="shared" si="26"/>
        <v>0</v>
      </c>
      <c r="R24" s="348">
        <f t="shared" si="27"/>
        <v>0</v>
      </c>
      <c r="S24" s="348">
        <f t="shared" si="17"/>
        <v>0</v>
      </c>
      <c r="T24" s="370">
        <f t="shared" si="9"/>
        <v>0</v>
      </c>
      <c r="U24" s="385">
        <f>20000</f>
        <v>20000</v>
      </c>
      <c r="V24" s="352">
        <v>7.9</v>
      </c>
      <c r="W24" s="352">
        <f t="shared" si="33"/>
        <v>1580</v>
      </c>
      <c r="X24" s="352">
        <f>+B.0.ConsumiblesMaquinaria!J$22</f>
        <v>1.8</v>
      </c>
      <c r="Y24" s="352">
        <f t="shared" si="28"/>
        <v>0</v>
      </c>
      <c r="Z24" s="353">
        <f>0.002038*U24*1.04</f>
        <v>42.3904</v>
      </c>
      <c r="AA24" s="352">
        <f t="shared" si="29"/>
        <v>4.8</v>
      </c>
      <c r="AB24" s="352">
        <f t="shared" si="30"/>
        <v>0</v>
      </c>
      <c r="AC24" s="352">
        <v>2.1366000000000001</v>
      </c>
      <c r="AD24" s="352">
        <f t="shared" si="34"/>
        <v>0</v>
      </c>
      <c r="AE24" s="352">
        <v>248</v>
      </c>
      <c r="AF24" s="352">
        <f t="shared" si="14"/>
        <v>0</v>
      </c>
      <c r="AG24" s="352">
        <f t="shared" si="31"/>
        <v>0</v>
      </c>
      <c r="AH24" s="386">
        <f t="shared" si="32"/>
        <v>0</v>
      </c>
    </row>
    <row r="25" spans="1:34">
      <c r="A25" s="369">
        <v>2</v>
      </c>
      <c r="B25" s="351" t="s">
        <v>425</v>
      </c>
      <c r="C25" s="351" t="s">
        <v>392</v>
      </c>
      <c r="D25" s="351" t="s">
        <v>393</v>
      </c>
      <c r="E25" s="351" t="s">
        <v>426</v>
      </c>
      <c r="F25" s="347">
        <f t="shared" si="20"/>
        <v>2023</v>
      </c>
      <c r="G25" s="351">
        <f t="shared" si="21"/>
        <v>2023</v>
      </c>
      <c r="H25" s="351">
        <f t="shared" si="21"/>
        <v>2027</v>
      </c>
      <c r="I25" s="352">
        <v>30000</v>
      </c>
      <c r="J25" s="352">
        <v>8</v>
      </c>
      <c r="K25" s="352">
        <f t="shared" si="22"/>
        <v>4</v>
      </c>
      <c r="L25" s="352">
        <v>1000</v>
      </c>
      <c r="M25" s="352">
        <v>3</v>
      </c>
      <c r="N25" s="348">
        <f t="shared" si="23"/>
        <v>60000</v>
      </c>
      <c r="O25" s="348">
        <f t="shared" si="24"/>
        <v>3750</v>
      </c>
      <c r="P25" s="348">
        <f t="shared" si="25"/>
        <v>187.5</v>
      </c>
      <c r="Q25" s="348">
        <f t="shared" si="26"/>
        <v>112.5</v>
      </c>
      <c r="R25" s="348">
        <f t="shared" si="27"/>
        <v>15000</v>
      </c>
      <c r="S25" s="348">
        <f t="shared" si="17"/>
        <v>4050</v>
      </c>
      <c r="T25" s="370">
        <f t="shared" si="9"/>
        <v>8100</v>
      </c>
      <c r="U25" s="385">
        <f>25000</f>
        <v>25000</v>
      </c>
      <c r="V25" s="352">
        <v>10</v>
      </c>
      <c r="W25" s="352">
        <f t="shared" si="33"/>
        <v>2500</v>
      </c>
      <c r="X25" s="352">
        <f>+B.0.ConsumiblesMaquinaria!J$22</f>
        <v>1.8</v>
      </c>
      <c r="Y25" s="352">
        <f t="shared" si="28"/>
        <v>18.149999999999999</v>
      </c>
      <c r="Z25" s="353">
        <f>0.003038*U25*1.05</f>
        <v>79.747500000000002</v>
      </c>
      <c r="AA25" s="352">
        <f t="shared" si="29"/>
        <v>4.8</v>
      </c>
      <c r="AB25" s="352">
        <f t="shared" si="30"/>
        <v>1.54</v>
      </c>
      <c r="AC25" s="355">
        <v>0.12</v>
      </c>
      <c r="AD25" s="352">
        <f t="shared" si="34"/>
        <v>19.809999999999999</v>
      </c>
      <c r="AE25" s="352">
        <v>248</v>
      </c>
      <c r="AF25" s="352">
        <f t="shared" si="14"/>
        <v>4912.88</v>
      </c>
      <c r="AG25" s="352">
        <f t="shared" si="31"/>
        <v>9825.76</v>
      </c>
      <c r="AH25" s="386">
        <f t="shared" si="32"/>
        <v>17925.760000000002</v>
      </c>
    </row>
    <row r="26" spans="1:34">
      <c r="A26" s="371">
        <v>1</v>
      </c>
      <c r="B26" s="393" t="s">
        <v>427</v>
      </c>
      <c r="C26" s="393" t="s">
        <v>392</v>
      </c>
      <c r="D26" s="393" t="s">
        <v>393</v>
      </c>
      <c r="E26" s="393" t="s">
        <v>426</v>
      </c>
      <c r="F26" s="372">
        <f t="shared" si="20"/>
        <v>2023</v>
      </c>
      <c r="G26" s="393">
        <f t="shared" si="21"/>
        <v>2023</v>
      </c>
      <c r="H26" s="393">
        <f t="shared" si="21"/>
        <v>2027</v>
      </c>
      <c r="I26" s="388">
        <v>37578.75</v>
      </c>
      <c r="J26" s="388">
        <v>8</v>
      </c>
      <c r="K26" s="388">
        <f t="shared" si="22"/>
        <v>4</v>
      </c>
      <c r="L26" s="388">
        <v>1100</v>
      </c>
      <c r="M26" s="388">
        <v>5</v>
      </c>
      <c r="N26" s="373">
        <f t="shared" si="23"/>
        <v>37578.75</v>
      </c>
      <c r="O26" s="373">
        <f t="shared" si="24"/>
        <v>4697.34375</v>
      </c>
      <c r="P26" s="373">
        <f t="shared" si="25"/>
        <v>234.8671875</v>
      </c>
      <c r="Q26" s="373">
        <f t="shared" si="26"/>
        <v>140.92031249999999</v>
      </c>
      <c r="R26" s="373">
        <f t="shared" si="27"/>
        <v>18789.375</v>
      </c>
      <c r="S26" s="373">
        <f t="shared" si="17"/>
        <v>5073.1312500000004</v>
      </c>
      <c r="T26" s="374">
        <f t="shared" si="9"/>
        <v>5073.1312500000004</v>
      </c>
      <c r="U26" s="387">
        <f>25000</f>
        <v>25000</v>
      </c>
      <c r="V26" s="388">
        <v>10</v>
      </c>
      <c r="W26" s="388">
        <f t="shared" si="33"/>
        <v>2500</v>
      </c>
      <c r="X26" s="388">
        <f>+B.0.ConsumiblesMaquinaria!J$22</f>
        <v>1.8</v>
      </c>
      <c r="Y26" s="388">
        <f t="shared" si="28"/>
        <v>18.149999999999999</v>
      </c>
      <c r="Z26" s="389">
        <f>0.003038*U26*1.05</f>
        <v>79.747500000000002</v>
      </c>
      <c r="AA26" s="388">
        <f t="shared" si="29"/>
        <v>4.8</v>
      </c>
      <c r="AB26" s="388">
        <f t="shared" si="30"/>
        <v>1.54</v>
      </c>
      <c r="AC26" s="388">
        <v>0.150315</v>
      </c>
      <c r="AD26" s="388">
        <f t="shared" si="34"/>
        <v>19.840314999999997</v>
      </c>
      <c r="AE26" s="388">
        <v>248</v>
      </c>
      <c r="AF26" s="388">
        <f t="shared" si="14"/>
        <v>4920.3981199999989</v>
      </c>
      <c r="AG26" s="388">
        <f t="shared" si="31"/>
        <v>4920.3981199999989</v>
      </c>
      <c r="AH26" s="390">
        <f t="shared" si="32"/>
        <v>9993.5293700000002</v>
      </c>
    </row>
    <row r="27" spans="1:34">
      <c r="A27" s="704" t="s">
        <v>428</v>
      </c>
      <c r="B27" s="705" t="s">
        <v>428</v>
      </c>
      <c r="C27" s="705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425"/>
    </row>
    <row r="28" spans="1:34">
      <c r="A28" s="365">
        <v>2</v>
      </c>
      <c r="B28" s="392" t="s">
        <v>429</v>
      </c>
      <c r="C28" s="392" t="s">
        <v>417</v>
      </c>
      <c r="D28" s="392" t="s">
        <v>393</v>
      </c>
      <c r="E28" s="392" t="s">
        <v>430</v>
      </c>
      <c r="F28" s="392">
        <f t="shared" ref="F28:F29" si="35">G28</f>
        <v>2023</v>
      </c>
      <c r="G28" s="392">
        <f t="shared" ref="G28:G29" si="36">G$5</f>
        <v>2023</v>
      </c>
      <c r="H28" s="392">
        <f t="shared" si="21"/>
        <v>2027</v>
      </c>
      <c r="I28" s="382">
        <v>72500</v>
      </c>
      <c r="J28" s="382">
        <v>8</v>
      </c>
      <c r="K28" s="382">
        <f t="shared" ref="K28:K48" si="37">H28-G28</f>
        <v>4</v>
      </c>
      <c r="L28" s="382">
        <v>500</v>
      </c>
      <c r="M28" s="382">
        <v>5</v>
      </c>
      <c r="N28" s="367">
        <f t="shared" ref="N28:N29" si="38">I28*A28</f>
        <v>145000</v>
      </c>
      <c r="O28" s="367">
        <f t="shared" ref="O28:O29" si="39">IF(A28&gt;0,I28/J28,0)</f>
        <v>9062.5</v>
      </c>
      <c r="P28" s="367">
        <f t="shared" ref="P28:P29" si="40">O28*P$6</f>
        <v>453.125</v>
      </c>
      <c r="Q28" s="367">
        <f t="shared" ref="Q28:Q29" si="41">O28*Q$6</f>
        <v>271.875</v>
      </c>
      <c r="R28" s="367">
        <f t="shared" ref="R28:R29" si="42">O28*(J28-(K28+(G28-F28)))</f>
        <v>36250</v>
      </c>
      <c r="S28" s="367">
        <f t="shared" si="17"/>
        <v>9787.5</v>
      </c>
      <c r="T28" s="368">
        <f t="shared" si="9"/>
        <v>19575</v>
      </c>
      <c r="U28" s="381">
        <v>25000</v>
      </c>
      <c r="V28" s="382">
        <v>0</v>
      </c>
      <c r="W28" s="382"/>
      <c r="X28" s="382">
        <v>0</v>
      </c>
      <c r="Y28" s="382">
        <f t="shared" ref="Y28:Y29" si="43">IF(A28&gt;0,+ROUND(X28*W28/248,2),0)</f>
        <v>0</v>
      </c>
      <c r="Z28" s="383">
        <f>0.003038*U28*0.7</f>
        <v>53.164999999999999</v>
      </c>
      <c r="AA28" s="382">
        <f t="shared" ref="AA28:AA29" si="44">AA$5</f>
        <v>4.8</v>
      </c>
      <c r="AB28" s="382">
        <f t="shared" ref="AB28:AB29" si="45">IF(A28&gt;0,+ROUND(AA28*Z28/248,2),0)</f>
        <v>1.03</v>
      </c>
      <c r="AC28" s="382">
        <v>0.28999999999999998</v>
      </c>
      <c r="AD28" s="382">
        <f t="shared" ref="AD28:AD29" si="46">IF(A28&gt;0,+AB28+Y28+AC28,0)</f>
        <v>1.32</v>
      </c>
      <c r="AE28" s="382">
        <v>248</v>
      </c>
      <c r="AF28" s="382">
        <f t="shared" si="14"/>
        <v>327.36</v>
      </c>
      <c r="AG28" s="382">
        <f t="shared" ref="AG28:AG29" si="47">AF28*A28</f>
        <v>654.72</v>
      </c>
      <c r="AH28" s="384">
        <f t="shared" ref="AH28:AH29" si="48">T28+AG28</f>
        <v>20229.72</v>
      </c>
    </row>
    <row r="29" spans="1:34">
      <c r="A29" s="371">
        <v>0</v>
      </c>
      <c r="B29" s="393" t="s">
        <v>429</v>
      </c>
      <c r="C29" s="393" t="s">
        <v>431</v>
      </c>
      <c r="D29" s="393" t="s">
        <v>393</v>
      </c>
      <c r="E29" s="393" t="s">
        <v>432</v>
      </c>
      <c r="F29" s="393">
        <f t="shared" si="35"/>
        <v>2023</v>
      </c>
      <c r="G29" s="393">
        <f t="shared" si="36"/>
        <v>2023</v>
      </c>
      <c r="H29" s="393">
        <f t="shared" si="21"/>
        <v>2027</v>
      </c>
      <c r="I29" s="388">
        <v>18662.5</v>
      </c>
      <c r="J29" s="388">
        <v>4</v>
      </c>
      <c r="K29" s="388">
        <f t="shared" si="37"/>
        <v>4</v>
      </c>
      <c r="L29" s="388">
        <v>400</v>
      </c>
      <c r="M29" s="388">
        <v>4</v>
      </c>
      <c r="N29" s="373">
        <f t="shared" si="38"/>
        <v>0</v>
      </c>
      <c r="O29" s="373">
        <f t="shared" si="39"/>
        <v>0</v>
      </c>
      <c r="P29" s="373">
        <f t="shared" si="40"/>
        <v>0</v>
      </c>
      <c r="Q29" s="373">
        <f t="shared" si="41"/>
        <v>0</v>
      </c>
      <c r="R29" s="373">
        <f t="shared" si="42"/>
        <v>0</v>
      </c>
      <c r="S29" s="373">
        <f t="shared" si="17"/>
        <v>0</v>
      </c>
      <c r="T29" s="374">
        <f t="shared" si="9"/>
        <v>0</v>
      </c>
      <c r="U29" s="387">
        <f>25000</f>
        <v>25000</v>
      </c>
      <c r="V29" s="388">
        <v>5.4</v>
      </c>
      <c r="W29" s="388">
        <f>ROUND(U29*V29,2)/100</f>
        <v>1350</v>
      </c>
      <c r="X29" s="388">
        <f>+B.0.ConsumiblesMaquinaria!J$22</f>
        <v>1.8</v>
      </c>
      <c r="Y29" s="388">
        <f t="shared" si="43"/>
        <v>0</v>
      </c>
      <c r="Z29" s="389">
        <f>0.002038*U29*1.02</f>
        <v>51.968999999999994</v>
      </c>
      <c r="AA29" s="388">
        <f t="shared" si="44"/>
        <v>4.8</v>
      </c>
      <c r="AB29" s="388">
        <f t="shared" si="45"/>
        <v>0</v>
      </c>
      <c r="AC29" s="391">
        <v>7.4649999999999994E-2</v>
      </c>
      <c r="AD29" s="388">
        <f t="shared" si="46"/>
        <v>0</v>
      </c>
      <c r="AE29" s="388">
        <v>248</v>
      </c>
      <c r="AF29" s="388">
        <f t="shared" si="14"/>
        <v>0</v>
      </c>
      <c r="AG29" s="388">
        <f t="shared" si="47"/>
        <v>0</v>
      </c>
      <c r="AH29" s="390">
        <f t="shared" si="48"/>
        <v>0</v>
      </c>
    </row>
    <row r="30" spans="1:34">
      <c r="A30" s="704" t="s">
        <v>433</v>
      </c>
      <c r="B30" s="705" t="s">
        <v>434</v>
      </c>
      <c r="C30" s="705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425"/>
    </row>
    <row r="31" spans="1:34">
      <c r="A31" s="365">
        <v>0</v>
      </c>
      <c r="B31" s="392" t="s">
        <v>435</v>
      </c>
      <c r="C31" s="392" t="s">
        <v>417</v>
      </c>
      <c r="D31" s="392" t="s">
        <v>436</v>
      </c>
      <c r="E31" s="392" t="s">
        <v>437</v>
      </c>
      <c r="F31" s="392">
        <f t="shared" ref="F31:F37" si="49">G31</f>
        <v>2023</v>
      </c>
      <c r="G31" s="392">
        <f t="shared" ref="G31:H37" si="50">G$5</f>
        <v>2023</v>
      </c>
      <c r="H31" s="392">
        <f t="shared" si="50"/>
        <v>2027</v>
      </c>
      <c r="I31" s="382">
        <v>9375</v>
      </c>
      <c r="J31" s="382">
        <v>4</v>
      </c>
      <c r="K31" s="382">
        <f t="shared" si="37"/>
        <v>4</v>
      </c>
      <c r="L31" s="382"/>
      <c r="M31" s="382">
        <v>2</v>
      </c>
      <c r="N31" s="367">
        <f t="shared" ref="N31:N37" si="51">I31*A31</f>
        <v>0</v>
      </c>
      <c r="O31" s="367">
        <f t="shared" ref="O31:O37" si="52">IF(A31&gt;0,I31/J31,0)</f>
        <v>0</v>
      </c>
      <c r="P31" s="367">
        <f t="shared" ref="P31:P37" si="53">O31*P$6</f>
        <v>0</v>
      </c>
      <c r="Q31" s="367">
        <f t="shared" ref="Q31:Q37" si="54">O31*Q$6</f>
        <v>0</v>
      </c>
      <c r="R31" s="367">
        <f t="shared" ref="R31:R37" si="55">O31*(J31-(K31+(G31-F31)))</f>
        <v>0</v>
      </c>
      <c r="S31" s="367">
        <f t="shared" si="17"/>
        <v>0</v>
      </c>
      <c r="T31" s="368">
        <f t="shared" si="9"/>
        <v>0</v>
      </c>
      <c r="U31" s="381">
        <v>5000</v>
      </c>
      <c r="V31" s="382">
        <v>0</v>
      </c>
      <c r="W31" s="382">
        <f>ROUND(U31*V31,2)/100</f>
        <v>0</v>
      </c>
      <c r="X31" s="382">
        <v>0</v>
      </c>
      <c r="Y31" s="382">
        <f t="shared" ref="Y31:Y37" si="56">IF(A31&gt;0,+ROUND(X31*W31/248,2),0)</f>
        <v>0</v>
      </c>
      <c r="Z31" s="383">
        <f>0.003038*U31*0.7</f>
        <v>10.632999999999999</v>
      </c>
      <c r="AA31" s="382">
        <f t="shared" ref="AA31:AA37" si="57">AA$5</f>
        <v>4.8</v>
      </c>
      <c r="AB31" s="382">
        <f t="shared" ref="AB31:AB37" si="58">IF(A31&gt;0,+ROUND(AA31*Z31/248,2),0)</f>
        <v>0</v>
      </c>
      <c r="AC31" s="382">
        <v>3.7499999999999999E-2</v>
      </c>
      <c r="AD31" s="382">
        <f t="shared" ref="AD31:AD37" si="59">IF(A31&gt;0,+AB31+Y31+AC31,0)</f>
        <v>0</v>
      </c>
      <c r="AE31" s="382">
        <v>248</v>
      </c>
      <c r="AF31" s="382">
        <f t="shared" si="14"/>
        <v>0</v>
      </c>
      <c r="AG31" s="382">
        <f t="shared" ref="AG31:AG37" si="60">AF31*A31</f>
        <v>0</v>
      </c>
      <c r="AH31" s="384">
        <f t="shared" ref="AH31:AH37" si="61">T31+AG31</f>
        <v>0</v>
      </c>
    </row>
    <row r="32" spans="1:34">
      <c r="A32" s="369">
        <v>2</v>
      </c>
      <c r="B32" s="351" t="s">
        <v>438</v>
      </c>
      <c r="C32" s="351" t="s">
        <v>417</v>
      </c>
      <c r="D32" s="351" t="s">
        <v>436</v>
      </c>
      <c r="E32" s="351" t="s">
        <v>439</v>
      </c>
      <c r="F32" s="351">
        <f t="shared" si="49"/>
        <v>2023</v>
      </c>
      <c r="G32" s="351">
        <f t="shared" si="50"/>
        <v>2023</v>
      </c>
      <c r="H32" s="351">
        <f t="shared" si="50"/>
        <v>2027</v>
      </c>
      <c r="I32" s="352">
        <v>21250</v>
      </c>
      <c r="J32" s="352">
        <v>4</v>
      </c>
      <c r="K32" s="352">
        <f t="shared" si="37"/>
        <v>4</v>
      </c>
      <c r="L32" s="352">
        <v>500</v>
      </c>
      <c r="M32" s="352">
        <v>5</v>
      </c>
      <c r="N32" s="348">
        <f t="shared" si="51"/>
        <v>42500</v>
      </c>
      <c r="O32" s="348">
        <f t="shared" si="52"/>
        <v>5312.5</v>
      </c>
      <c r="P32" s="348">
        <f t="shared" si="53"/>
        <v>265.625</v>
      </c>
      <c r="Q32" s="348">
        <f t="shared" si="54"/>
        <v>159.375</v>
      </c>
      <c r="R32" s="348">
        <f t="shared" si="55"/>
        <v>0</v>
      </c>
      <c r="S32" s="348">
        <f t="shared" si="17"/>
        <v>5737.5</v>
      </c>
      <c r="T32" s="370">
        <f t="shared" si="9"/>
        <v>11475</v>
      </c>
      <c r="U32" s="385">
        <f>15000</f>
        <v>15000</v>
      </c>
      <c r="V32" s="352"/>
      <c r="W32" s="352"/>
      <c r="X32" s="352">
        <v>0</v>
      </c>
      <c r="Y32" s="352">
        <f t="shared" si="56"/>
        <v>0</v>
      </c>
      <c r="Z32" s="353">
        <f>0.002038*U32*0.7</f>
        <v>21.398999999999997</v>
      </c>
      <c r="AA32" s="352">
        <f t="shared" si="57"/>
        <v>4.8</v>
      </c>
      <c r="AB32" s="352">
        <f t="shared" si="58"/>
        <v>0.41</v>
      </c>
      <c r="AC32" s="352">
        <v>8.5000000000000006E-2</v>
      </c>
      <c r="AD32" s="352">
        <f t="shared" si="59"/>
        <v>0.495</v>
      </c>
      <c r="AE32" s="352">
        <v>248</v>
      </c>
      <c r="AF32" s="352">
        <f t="shared" si="14"/>
        <v>122.76</v>
      </c>
      <c r="AG32" s="352">
        <f t="shared" si="60"/>
        <v>245.52</v>
      </c>
      <c r="AH32" s="386">
        <f t="shared" si="61"/>
        <v>11720.52</v>
      </c>
    </row>
    <row r="33" spans="1:34">
      <c r="A33" s="369">
        <v>0</v>
      </c>
      <c r="B33" s="351" t="s">
        <v>440</v>
      </c>
      <c r="C33" s="351" t="s">
        <v>419</v>
      </c>
      <c r="D33" s="351" t="s">
        <v>436</v>
      </c>
      <c r="E33" s="351" t="s">
        <v>432</v>
      </c>
      <c r="F33" s="351">
        <f t="shared" si="49"/>
        <v>2023</v>
      </c>
      <c r="G33" s="351">
        <f t="shared" si="50"/>
        <v>2023</v>
      </c>
      <c r="H33" s="351">
        <f t="shared" si="50"/>
        <v>2027</v>
      </c>
      <c r="I33" s="352">
        <v>31937.5</v>
      </c>
      <c r="J33" s="352">
        <v>4</v>
      </c>
      <c r="K33" s="352">
        <f t="shared" si="37"/>
        <v>4</v>
      </c>
      <c r="L33" s="352">
        <v>500</v>
      </c>
      <c r="M33" s="352">
        <v>5</v>
      </c>
      <c r="N33" s="348">
        <f t="shared" si="51"/>
        <v>0</v>
      </c>
      <c r="O33" s="348">
        <f t="shared" si="52"/>
        <v>0</v>
      </c>
      <c r="P33" s="348">
        <f t="shared" si="53"/>
        <v>0</v>
      </c>
      <c r="Q33" s="348">
        <f t="shared" si="54"/>
        <v>0</v>
      </c>
      <c r="R33" s="348">
        <f t="shared" si="55"/>
        <v>0</v>
      </c>
      <c r="S33" s="348">
        <f t="shared" si="17"/>
        <v>0</v>
      </c>
      <c r="T33" s="370">
        <f t="shared" si="9"/>
        <v>0</v>
      </c>
      <c r="U33" s="385">
        <f>20000</f>
        <v>20000</v>
      </c>
      <c r="V33" s="352">
        <v>4.3</v>
      </c>
      <c r="W33" s="352">
        <f>ROUND(U33*V33,2)/100</f>
        <v>860</v>
      </c>
      <c r="X33" s="352">
        <f>+B.0.ConsumiblesMaquinaria!J$22</f>
        <v>1.8</v>
      </c>
      <c r="Y33" s="352">
        <f t="shared" si="56"/>
        <v>0</v>
      </c>
      <c r="Z33" s="353">
        <f>0.002038*U33*0.9</f>
        <v>36.683999999999997</v>
      </c>
      <c r="AA33" s="352">
        <f t="shared" si="57"/>
        <v>4.8</v>
      </c>
      <c r="AB33" s="352">
        <f t="shared" si="58"/>
        <v>0</v>
      </c>
      <c r="AC33" s="352">
        <v>0.12775</v>
      </c>
      <c r="AD33" s="352">
        <f t="shared" si="59"/>
        <v>0</v>
      </c>
      <c r="AE33" s="352">
        <v>248</v>
      </c>
      <c r="AF33" s="352">
        <f t="shared" si="14"/>
        <v>0</v>
      </c>
      <c r="AG33" s="352">
        <f t="shared" si="60"/>
        <v>0</v>
      </c>
      <c r="AH33" s="386">
        <f t="shared" si="61"/>
        <v>0</v>
      </c>
    </row>
    <row r="34" spans="1:34">
      <c r="A34" s="369">
        <v>0</v>
      </c>
      <c r="B34" s="351" t="s">
        <v>441</v>
      </c>
      <c r="C34" s="351" t="s">
        <v>419</v>
      </c>
      <c r="D34" s="351" t="s">
        <v>436</v>
      </c>
      <c r="E34" s="351" t="s">
        <v>432</v>
      </c>
      <c r="F34" s="351">
        <f t="shared" si="49"/>
        <v>2023</v>
      </c>
      <c r="G34" s="351">
        <f t="shared" si="50"/>
        <v>2023</v>
      </c>
      <c r="H34" s="351">
        <f t="shared" si="50"/>
        <v>2027</v>
      </c>
      <c r="I34" s="352">
        <v>42500</v>
      </c>
      <c r="J34" s="352">
        <v>4</v>
      </c>
      <c r="K34" s="352">
        <f t="shared" si="37"/>
        <v>4</v>
      </c>
      <c r="L34" s="352">
        <v>600</v>
      </c>
      <c r="M34" s="352">
        <v>5</v>
      </c>
      <c r="N34" s="348">
        <f t="shared" si="51"/>
        <v>0</v>
      </c>
      <c r="O34" s="348">
        <f t="shared" si="52"/>
        <v>0</v>
      </c>
      <c r="P34" s="348">
        <f t="shared" si="53"/>
        <v>0</v>
      </c>
      <c r="Q34" s="348">
        <f t="shared" si="54"/>
        <v>0</v>
      </c>
      <c r="R34" s="348">
        <f t="shared" si="55"/>
        <v>0</v>
      </c>
      <c r="S34" s="348">
        <f t="shared" si="17"/>
        <v>0</v>
      </c>
      <c r="T34" s="370">
        <f t="shared" si="9"/>
        <v>0</v>
      </c>
      <c r="U34" s="385">
        <v>20000</v>
      </c>
      <c r="V34" s="352">
        <v>1.7</v>
      </c>
      <c r="W34" s="352">
        <f>ROUND(U34*V34,2)/100</f>
        <v>340</v>
      </c>
      <c r="X34" s="352">
        <f>+B.0.ConsumiblesMaquinaria!J$22</f>
        <v>1.8</v>
      </c>
      <c r="Y34" s="352">
        <f t="shared" si="56"/>
        <v>0</v>
      </c>
      <c r="Z34" s="353">
        <f>0.002038*U34*0.9</f>
        <v>36.683999999999997</v>
      </c>
      <c r="AA34" s="352">
        <f t="shared" si="57"/>
        <v>4.8</v>
      </c>
      <c r="AB34" s="352">
        <f t="shared" si="58"/>
        <v>0</v>
      </c>
      <c r="AC34" s="352">
        <v>0.12775</v>
      </c>
      <c r="AD34" s="352">
        <f t="shared" si="59"/>
        <v>0</v>
      </c>
      <c r="AE34" s="352">
        <v>248</v>
      </c>
      <c r="AF34" s="352">
        <f t="shared" si="14"/>
        <v>0</v>
      </c>
      <c r="AG34" s="352">
        <f t="shared" si="60"/>
        <v>0</v>
      </c>
      <c r="AH34" s="386">
        <f t="shared" si="61"/>
        <v>0</v>
      </c>
    </row>
    <row r="35" spans="1:34">
      <c r="A35" s="369">
        <v>0</v>
      </c>
      <c r="B35" s="351" t="s">
        <v>440</v>
      </c>
      <c r="C35" s="351" t="s">
        <v>392</v>
      </c>
      <c r="D35" s="351" t="s">
        <v>436</v>
      </c>
      <c r="E35" s="351" t="s">
        <v>432</v>
      </c>
      <c r="F35" s="351">
        <f t="shared" si="49"/>
        <v>2023</v>
      </c>
      <c r="G35" s="351">
        <f t="shared" si="50"/>
        <v>2023</v>
      </c>
      <c r="H35" s="351">
        <f t="shared" si="50"/>
        <v>2027</v>
      </c>
      <c r="I35" s="352">
        <v>17687.5</v>
      </c>
      <c r="J35" s="352">
        <v>4</v>
      </c>
      <c r="K35" s="352">
        <f t="shared" si="37"/>
        <v>4</v>
      </c>
      <c r="L35" s="352">
        <v>400</v>
      </c>
      <c r="M35" s="352">
        <v>5</v>
      </c>
      <c r="N35" s="348">
        <f t="shared" si="51"/>
        <v>0</v>
      </c>
      <c r="O35" s="348">
        <f t="shared" si="52"/>
        <v>0</v>
      </c>
      <c r="P35" s="348">
        <f t="shared" si="53"/>
        <v>0</v>
      </c>
      <c r="Q35" s="348">
        <f t="shared" si="54"/>
        <v>0</v>
      </c>
      <c r="R35" s="348">
        <f t="shared" si="55"/>
        <v>0</v>
      </c>
      <c r="S35" s="348">
        <f t="shared" si="17"/>
        <v>0</v>
      </c>
      <c r="T35" s="370">
        <f t="shared" si="9"/>
        <v>0</v>
      </c>
      <c r="U35" s="385">
        <f>20000</f>
        <v>20000</v>
      </c>
      <c r="V35" s="352">
        <v>4.4000000000000004</v>
      </c>
      <c r="W35" s="352">
        <f>ROUND(U35*V35,2)/100</f>
        <v>880</v>
      </c>
      <c r="X35" s="352">
        <f>+B.0.ConsumiblesMaquinaria!J$22</f>
        <v>1.8</v>
      </c>
      <c r="Y35" s="352">
        <f t="shared" si="56"/>
        <v>0</v>
      </c>
      <c r="Z35" s="353">
        <f>0.002038*U35</f>
        <v>40.76</v>
      </c>
      <c r="AA35" s="352">
        <f t="shared" si="57"/>
        <v>4.8</v>
      </c>
      <c r="AB35" s="352">
        <f t="shared" si="58"/>
        <v>0</v>
      </c>
      <c r="AC35" s="352">
        <v>7.0749999999999993E-2</v>
      </c>
      <c r="AD35" s="352">
        <f t="shared" si="59"/>
        <v>0</v>
      </c>
      <c r="AE35" s="352">
        <v>248</v>
      </c>
      <c r="AF35" s="352">
        <f t="shared" si="14"/>
        <v>0</v>
      </c>
      <c r="AG35" s="352">
        <f t="shared" si="60"/>
        <v>0</v>
      </c>
      <c r="AH35" s="386">
        <f t="shared" si="61"/>
        <v>0</v>
      </c>
    </row>
    <row r="36" spans="1:34">
      <c r="A36" s="369">
        <v>0</v>
      </c>
      <c r="B36" s="351" t="s">
        <v>442</v>
      </c>
      <c r="C36" s="351" t="s">
        <v>392</v>
      </c>
      <c r="D36" s="351" t="s">
        <v>436</v>
      </c>
      <c r="E36" s="351" t="s">
        <v>432</v>
      </c>
      <c r="F36" s="351">
        <f t="shared" si="49"/>
        <v>2023</v>
      </c>
      <c r="G36" s="351">
        <f t="shared" si="50"/>
        <v>2023</v>
      </c>
      <c r="H36" s="351">
        <f t="shared" si="50"/>
        <v>2027</v>
      </c>
      <c r="I36" s="352">
        <v>36187.5</v>
      </c>
      <c r="J36" s="352">
        <v>4</v>
      </c>
      <c r="K36" s="352">
        <f t="shared" si="37"/>
        <v>4</v>
      </c>
      <c r="L36" s="352">
        <v>700</v>
      </c>
      <c r="M36" s="352">
        <v>5</v>
      </c>
      <c r="N36" s="348">
        <f t="shared" si="51"/>
        <v>0</v>
      </c>
      <c r="O36" s="348">
        <f t="shared" si="52"/>
        <v>0</v>
      </c>
      <c r="P36" s="348">
        <f t="shared" si="53"/>
        <v>0</v>
      </c>
      <c r="Q36" s="348">
        <f t="shared" si="54"/>
        <v>0</v>
      </c>
      <c r="R36" s="348">
        <f t="shared" si="55"/>
        <v>0</v>
      </c>
      <c r="S36" s="348">
        <f t="shared" si="17"/>
        <v>0</v>
      </c>
      <c r="T36" s="370">
        <f t="shared" si="9"/>
        <v>0</v>
      </c>
      <c r="U36" s="385">
        <f>20000</f>
        <v>20000</v>
      </c>
      <c r="V36" s="352">
        <v>6.6</v>
      </c>
      <c r="W36" s="352">
        <f>ROUND(U36*V36,2)/100</f>
        <v>1320</v>
      </c>
      <c r="X36" s="352">
        <f>+B.0.ConsumiblesMaquinaria!J$22</f>
        <v>1.8</v>
      </c>
      <c r="Y36" s="352">
        <f t="shared" si="56"/>
        <v>0</v>
      </c>
      <c r="Z36" s="353">
        <f>0.002038*U36*1.05</f>
        <v>42.798000000000002</v>
      </c>
      <c r="AA36" s="352">
        <f t="shared" si="57"/>
        <v>4.8</v>
      </c>
      <c r="AB36" s="352">
        <f t="shared" si="58"/>
        <v>0</v>
      </c>
      <c r="AC36" s="352">
        <v>0.14474999999999999</v>
      </c>
      <c r="AD36" s="352">
        <f t="shared" si="59"/>
        <v>0</v>
      </c>
      <c r="AE36" s="352">
        <v>248</v>
      </c>
      <c r="AF36" s="352">
        <f t="shared" si="14"/>
        <v>0</v>
      </c>
      <c r="AG36" s="352">
        <f t="shared" si="60"/>
        <v>0</v>
      </c>
      <c r="AH36" s="386">
        <f t="shared" si="61"/>
        <v>0</v>
      </c>
    </row>
    <row r="37" spans="1:34">
      <c r="A37" s="371">
        <v>0</v>
      </c>
      <c r="B37" s="393" t="s">
        <v>443</v>
      </c>
      <c r="C37" s="393" t="s">
        <v>392</v>
      </c>
      <c r="D37" s="393" t="s">
        <v>436</v>
      </c>
      <c r="E37" s="393" t="s">
        <v>444</v>
      </c>
      <c r="F37" s="393">
        <f t="shared" si="49"/>
        <v>2023</v>
      </c>
      <c r="G37" s="393">
        <f t="shared" si="50"/>
        <v>2023</v>
      </c>
      <c r="H37" s="393">
        <f t="shared" si="50"/>
        <v>2027</v>
      </c>
      <c r="I37" s="388">
        <v>25887.5</v>
      </c>
      <c r="J37" s="388">
        <v>4</v>
      </c>
      <c r="K37" s="388">
        <f t="shared" si="37"/>
        <v>4</v>
      </c>
      <c r="L37" s="388">
        <v>800</v>
      </c>
      <c r="M37" s="388">
        <v>5</v>
      </c>
      <c r="N37" s="373">
        <f t="shared" si="51"/>
        <v>0</v>
      </c>
      <c r="O37" s="373">
        <f t="shared" si="52"/>
        <v>0</v>
      </c>
      <c r="P37" s="373">
        <f t="shared" si="53"/>
        <v>0</v>
      </c>
      <c r="Q37" s="373">
        <f t="shared" si="54"/>
        <v>0</v>
      </c>
      <c r="R37" s="373">
        <f t="shared" si="55"/>
        <v>0</v>
      </c>
      <c r="S37" s="373">
        <f t="shared" si="17"/>
        <v>0</v>
      </c>
      <c r="T37" s="374">
        <f t="shared" si="9"/>
        <v>0</v>
      </c>
      <c r="U37" s="387">
        <f>20000</f>
        <v>20000</v>
      </c>
      <c r="V37" s="388">
        <v>9.8000000000000007</v>
      </c>
      <c r="W37" s="388">
        <f>ROUND(U37*V37,2)/100</f>
        <v>1960</v>
      </c>
      <c r="X37" s="388">
        <f>+B.0.ConsumiblesMaquinaria!J$22</f>
        <v>1.8</v>
      </c>
      <c r="Y37" s="388">
        <f t="shared" si="56"/>
        <v>0</v>
      </c>
      <c r="Z37" s="389">
        <f>0.002038*U37*1.05</f>
        <v>42.798000000000002</v>
      </c>
      <c r="AA37" s="388">
        <f t="shared" si="57"/>
        <v>4.8</v>
      </c>
      <c r="AB37" s="388">
        <f t="shared" si="58"/>
        <v>0</v>
      </c>
      <c r="AC37" s="388">
        <v>0.10355</v>
      </c>
      <c r="AD37" s="388">
        <f t="shared" si="59"/>
        <v>0</v>
      </c>
      <c r="AE37" s="388">
        <v>248</v>
      </c>
      <c r="AF37" s="388">
        <f t="shared" si="14"/>
        <v>0</v>
      </c>
      <c r="AG37" s="388">
        <f t="shared" si="60"/>
        <v>0</v>
      </c>
      <c r="AH37" s="390">
        <f t="shared" si="61"/>
        <v>0</v>
      </c>
    </row>
    <row r="38" spans="1:34">
      <c r="A38" s="704" t="s">
        <v>445</v>
      </c>
      <c r="B38" s="705" t="s">
        <v>445</v>
      </c>
      <c r="C38" s="705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425"/>
    </row>
    <row r="39" spans="1:34">
      <c r="A39" s="365">
        <v>0</v>
      </c>
      <c r="B39" s="392" t="s">
        <v>446</v>
      </c>
      <c r="C39" s="392" t="s">
        <v>417</v>
      </c>
      <c r="D39" s="392" t="s">
        <v>393</v>
      </c>
      <c r="E39" s="392" t="s">
        <v>447</v>
      </c>
      <c r="F39" s="392">
        <f t="shared" ref="F39:F48" si="62">G39</f>
        <v>2023</v>
      </c>
      <c r="G39" s="392">
        <f t="shared" ref="G39:H48" si="63">G$5</f>
        <v>2023</v>
      </c>
      <c r="H39" s="392">
        <f t="shared" si="63"/>
        <v>2027</v>
      </c>
      <c r="I39" s="382">
        <v>7500</v>
      </c>
      <c r="J39" s="382">
        <v>4</v>
      </c>
      <c r="K39" s="382">
        <f t="shared" si="37"/>
        <v>4</v>
      </c>
      <c r="L39" s="382"/>
      <c r="M39" s="382">
        <v>2</v>
      </c>
      <c r="N39" s="367">
        <f t="shared" ref="N39:N48" si="64">I39*A39</f>
        <v>0</v>
      </c>
      <c r="O39" s="367">
        <f t="shared" ref="O39:O48" si="65">IF(A39&gt;0,I39/J39,0)</f>
        <v>0</v>
      </c>
      <c r="P39" s="367">
        <f t="shared" ref="P39:P48" si="66">O39*P$6</f>
        <v>0</v>
      </c>
      <c r="Q39" s="367">
        <f t="shared" ref="Q39:Q48" si="67">O39*Q$6</f>
        <v>0</v>
      </c>
      <c r="R39" s="367">
        <f t="shared" ref="R39:R48" si="68">O39*(J39-(K39+(G39-F39)))</f>
        <v>0</v>
      </c>
      <c r="S39" s="367">
        <f t="shared" si="17"/>
        <v>0</v>
      </c>
      <c r="T39" s="368">
        <f t="shared" si="9"/>
        <v>0</v>
      </c>
      <c r="U39" s="381">
        <f>12000</f>
        <v>12000</v>
      </c>
      <c r="V39" s="382">
        <v>3</v>
      </c>
      <c r="W39" s="382">
        <f>ROUND(U39*V39,2)/100</f>
        <v>360</v>
      </c>
      <c r="X39" s="382">
        <v>0</v>
      </c>
      <c r="Y39" s="382">
        <f t="shared" ref="Y39:Y48" si="69">IF(A39&gt;0,+ROUND(X39*W39/248,2),0)</f>
        <v>0</v>
      </c>
      <c r="Z39" s="383">
        <f>0.002038*U39</f>
        <v>24.456</v>
      </c>
      <c r="AA39" s="382">
        <f t="shared" ref="AA39:AA48" si="70">AA$5</f>
        <v>4.8</v>
      </c>
      <c r="AB39" s="382">
        <f t="shared" ref="AB39:AB48" si="71">IF(A39&gt;0,+ROUND(AA39*Z39/248,2),0)</f>
        <v>0</v>
      </c>
      <c r="AC39" s="382">
        <v>0.03</v>
      </c>
      <c r="AD39" s="382">
        <f t="shared" ref="AD39:AD48" si="72">IF(A39&gt;0,+AB39+Y39+AC39,0)</f>
        <v>0</v>
      </c>
      <c r="AE39" s="382">
        <v>248</v>
      </c>
      <c r="AF39" s="382">
        <f t="shared" si="14"/>
        <v>0</v>
      </c>
      <c r="AG39" s="382">
        <f t="shared" ref="AG39:AG48" si="73">AF39*A39</f>
        <v>0</v>
      </c>
      <c r="AH39" s="384">
        <f t="shared" ref="AH39:AH48" si="74">T39+AG39</f>
        <v>0</v>
      </c>
    </row>
    <row r="40" spans="1:34">
      <c r="A40" s="369">
        <v>0</v>
      </c>
      <c r="B40" s="351" t="s">
        <v>448</v>
      </c>
      <c r="C40" s="351" t="s">
        <v>417</v>
      </c>
      <c r="D40" s="351" t="s">
        <v>393</v>
      </c>
      <c r="E40" s="351" t="s">
        <v>449</v>
      </c>
      <c r="F40" s="351">
        <f t="shared" si="62"/>
        <v>2023</v>
      </c>
      <c r="G40" s="351">
        <f t="shared" si="63"/>
        <v>2023</v>
      </c>
      <c r="H40" s="351">
        <f t="shared" si="63"/>
        <v>2027</v>
      </c>
      <c r="I40" s="352">
        <v>37500</v>
      </c>
      <c r="J40" s="352">
        <v>8</v>
      </c>
      <c r="K40" s="352">
        <f t="shared" si="37"/>
        <v>4</v>
      </c>
      <c r="L40" s="352"/>
      <c r="M40" s="352">
        <v>2</v>
      </c>
      <c r="N40" s="348">
        <f t="shared" si="64"/>
        <v>0</v>
      </c>
      <c r="O40" s="348">
        <f t="shared" si="65"/>
        <v>0</v>
      </c>
      <c r="P40" s="348">
        <f t="shared" si="66"/>
        <v>0</v>
      </c>
      <c r="Q40" s="348">
        <f t="shared" si="67"/>
        <v>0</v>
      </c>
      <c r="R40" s="348">
        <f t="shared" si="68"/>
        <v>0</v>
      </c>
      <c r="S40" s="348">
        <f t="shared" si="17"/>
        <v>0</v>
      </c>
      <c r="T40" s="370">
        <f t="shared" si="9"/>
        <v>0</v>
      </c>
      <c r="U40" s="385">
        <f>15000</f>
        <v>15000</v>
      </c>
      <c r="V40" s="352"/>
      <c r="W40" s="352"/>
      <c r="X40" s="352">
        <v>0</v>
      </c>
      <c r="Y40" s="352">
        <f t="shared" si="69"/>
        <v>0</v>
      </c>
      <c r="Z40" s="353">
        <f>0.003038*U40*0.7</f>
        <v>31.898999999999997</v>
      </c>
      <c r="AA40" s="352">
        <f t="shared" si="70"/>
        <v>4.8</v>
      </c>
      <c r="AB40" s="352">
        <f t="shared" si="71"/>
        <v>0</v>
      </c>
      <c r="AC40" s="352">
        <v>0.15</v>
      </c>
      <c r="AD40" s="352">
        <f t="shared" si="72"/>
        <v>0</v>
      </c>
      <c r="AE40" s="352">
        <v>248</v>
      </c>
      <c r="AF40" s="352">
        <f t="shared" si="14"/>
        <v>0</v>
      </c>
      <c r="AG40" s="352">
        <f t="shared" si="73"/>
        <v>0</v>
      </c>
      <c r="AH40" s="386">
        <f t="shared" si="74"/>
        <v>0</v>
      </c>
    </row>
    <row r="41" spans="1:34">
      <c r="A41" s="369">
        <v>0</v>
      </c>
      <c r="B41" s="351" t="s">
        <v>450</v>
      </c>
      <c r="C41" s="351" t="s">
        <v>417</v>
      </c>
      <c r="D41" s="351" t="s">
        <v>451</v>
      </c>
      <c r="E41" s="351" t="s">
        <v>452</v>
      </c>
      <c r="F41" s="351">
        <f t="shared" si="62"/>
        <v>2023</v>
      </c>
      <c r="G41" s="351">
        <f t="shared" si="63"/>
        <v>2023</v>
      </c>
      <c r="H41" s="351">
        <f t="shared" si="63"/>
        <v>2027</v>
      </c>
      <c r="I41" s="352">
        <v>47500</v>
      </c>
      <c r="J41" s="352">
        <v>8</v>
      </c>
      <c r="K41" s="352">
        <f t="shared" si="37"/>
        <v>4</v>
      </c>
      <c r="L41" s="352"/>
      <c r="M41" s="352">
        <v>2</v>
      </c>
      <c r="N41" s="348">
        <f t="shared" si="64"/>
        <v>0</v>
      </c>
      <c r="O41" s="348">
        <f t="shared" si="65"/>
        <v>0</v>
      </c>
      <c r="P41" s="348">
        <f t="shared" si="66"/>
        <v>0</v>
      </c>
      <c r="Q41" s="348">
        <f t="shared" si="67"/>
        <v>0</v>
      </c>
      <c r="R41" s="348">
        <f t="shared" si="68"/>
        <v>0</v>
      </c>
      <c r="S41" s="348">
        <f t="shared" si="17"/>
        <v>0</v>
      </c>
      <c r="T41" s="370">
        <f t="shared" si="9"/>
        <v>0</v>
      </c>
      <c r="U41" s="385">
        <v>10000</v>
      </c>
      <c r="V41" s="352">
        <v>0</v>
      </c>
      <c r="W41" s="352"/>
      <c r="X41" s="352">
        <v>0</v>
      </c>
      <c r="Y41" s="353">
        <f t="shared" si="69"/>
        <v>0</v>
      </c>
      <c r="Z41" s="352">
        <f>0.003038*U41*0.7</f>
        <v>21.265999999999998</v>
      </c>
      <c r="AA41" s="352">
        <f t="shared" si="70"/>
        <v>4.8</v>
      </c>
      <c r="AB41" s="352">
        <f t="shared" si="71"/>
        <v>0</v>
      </c>
      <c r="AC41" s="352">
        <v>0.19</v>
      </c>
      <c r="AD41" s="352">
        <f t="shared" si="72"/>
        <v>0</v>
      </c>
      <c r="AE41" s="352">
        <v>248</v>
      </c>
      <c r="AF41" s="352">
        <f t="shared" si="14"/>
        <v>0</v>
      </c>
      <c r="AG41" s="352">
        <f t="shared" si="73"/>
        <v>0</v>
      </c>
      <c r="AH41" s="386">
        <f t="shared" si="74"/>
        <v>0</v>
      </c>
    </row>
    <row r="42" spans="1:34">
      <c r="A42" s="369">
        <v>1</v>
      </c>
      <c r="B42" s="351" t="s">
        <v>453</v>
      </c>
      <c r="C42" s="351" t="s">
        <v>417</v>
      </c>
      <c r="D42" s="351" t="s">
        <v>393</v>
      </c>
      <c r="E42" s="351" t="s">
        <v>418</v>
      </c>
      <c r="F42" s="351">
        <f t="shared" si="62"/>
        <v>2023</v>
      </c>
      <c r="G42" s="351">
        <f t="shared" si="63"/>
        <v>2023</v>
      </c>
      <c r="H42" s="351">
        <f t="shared" si="63"/>
        <v>2027</v>
      </c>
      <c r="I42" s="352">
        <v>36250</v>
      </c>
      <c r="J42" s="352">
        <v>4</v>
      </c>
      <c r="K42" s="352">
        <f t="shared" si="37"/>
        <v>4</v>
      </c>
      <c r="L42" s="352"/>
      <c r="M42" s="352">
        <v>4</v>
      </c>
      <c r="N42" s="348">
        <f t="shared" si="64"/>
        <v>36250</v>
      </c>
      <c r="O42" s="348">
        <f t="shared" si="65"/>
        <v>9062.5</v>
      </c>
      <c r="P42" s="348">
        <f t="shared" si="66"/>
        <v>453.125</v>
      </c>
      <c r="Q42" s="348">
        <f t="shared" si="67"/>
        <v>271.875</v>
      </c>
      <c r="R42" s="348">
        <f t="shared" si="68"/>
        <v>0</v>
      </c>
      <c r="S42" s="348">
        <f t="shared" si="17"/>
        <v>9787.5</v>
      </c>
      <c r="T42" s="370">
        <f t="shared" si="9"/>
        <v>9787.5</v>
      </c>
      <c r="U42" s="385">
        <v>10000</v>
      </c>
      <c r="V42" s="352">
        <v>0</v>
      </c>
      <c r="W42" s="352"/>
      <c r="X42" s="352">
        <v>0</v>
      </c>
      <c r="Y42" s="353">
        <f t="shared" si="69"/>
        <v>0</v>
      </c>
      <c r="Z42" s="352">
        <f>0.003038*U42*0.7</f>
        <v>21.265999999999998</v>
      </c>
      <c r="AA42" s="352">
        <f t="shared" si="70"/>
        <v>4.8</v>
      </c>
      <c r="AB42" s="352">
        <f t="shared" si="71"/>
        <v>0.41</v>
      </c>
      <c r="AC42" s="352">
        <v>0.14499999999999999</v>
      </c>
      <c r="AD42" s="352">
        <f t="shared" si="72"/>
        <v>0.55499999999999994</v>
      </c>
      <c r="AE42" s="352">
        <v>248</v>
      </c>
      <c r="AF42" s="352">
        <f t="shared" si="14"/>
        <v>137.63999999999999</v>
      </c>
      <c r="AG42" s="352">
        <f t="shared" si="73"/>
        <v>137.63999999999999</v>
      </c>
      <c r="AH42" s="386">
        <f t="shared" si="74"/>
        <v>9925.14</v>
      </c>
    </row>
    <row r="43" spans="1:34">
      <c r="A43" s="369">
        <v>0</v>
      </c>
      <c r="B43" s="351" t="s">
        <v>448</v>
      </c>
      <c r="C43" s="351" t="s">
        <v>454</v>
      </c>
      <c r="D43" s="351" t="s">
        <v>393</v>
      </c>
      <c r="E43" s="351" t="s">
        <v>455</v>
      </c>
      <c r="F43" s="351">
        <f t="shared" si="62"/>
        <v>2023</v>
      </c>
      <c r="G43" s="351">
        <f t="shared" si="63"/>
        <v>2023</v>
      </c>
      <c r="H43" s="351">
        <f t="shared" si="63"/>
        <v>2027</v>
      </c>
      <c r="I43" s="352">
        <v>15125</v>
      </c>
      <c r="J43" s="352">
        <v>8</v>
      </c>
      <c r="K43" s="352">
        <f t="shared" si="37"/>
        <v>4</v>
      </c>
      <c r="L43" s="352"/>
      <c r="M43" s="352">
        <v>2</v>
      </c>
      <c r="N43" s="348">
        <f t="shared" si="64"/>
        <v>0</v>
      </c>
      <c r="O43" s="348">
        <f t="shared" si="65"/>
        <v>0</v>
      </c>
      <c r="P43" s="348">
        <f t="shared" si="66"/>
        <v>0</v>
      </c>
      <c r="Q43" s="348">
        <f t="shared" si="67"/>
        <v>0</v>
      </c>
      <c r="R43" s="348">
        <f t="shared" si="68"/>
        <v>0</v>
      </c>
      <c r="S43" s="348">
        <f t="shared" si="17"/>
        <v>0</v>
      </c>
      <c r="T43" s="370">
        <f t="shared" si="9"/>
        <v>0</v>
      </c>
      <c r="U43" s="385">
        <f>25000</f>
        <v>25000</v>
      </c>
      <c r="V43" s="352">
        <v>15</v>
      </c>
      <c r="W43" s="352">
        <f>ROUND(U43*V43,2)/100</f>
        <v>3750</v>
      </c>
      <c r="X43" s="352">
        <f>+B.0.ConsumiblesMaquinaria!J$25</f>
        <v>1.1000000000000001</v>
      </c>
      <c r="Y43" s="352">
        <f t="shared" si="69"/>
        <v>0</v>
      </c>
      <c r="Z43" s="353">
        <f>0.003038*U43*1.05</f>
        <v>79.747500000000002</v>
      </c>
      <c r="AA43" s="352">
        <f t="shared" si="70"/>
        <v>4.8</v>
      </c>
      <c r="AB43" s="352">
        <f t="shared" si="71"/>
        <v>0</v>
      </c>
      <c r="AC43" s="352">
        <v>6.0499999999999998E-2</v>
      </c>
      <c r="AD43" s="352">
        <f t="shared" si="72"/>
        <v>0</v>
      </c>
      <c r="AE43" s="352">
        <v>248</v>
      </c>
      <c r="AF43" s="352">
        <f t="shared" si="14"/>
        <v>0</v>
      </c>
      <c r="AG43" s="352">
        <f t="shared" si="73"/>
        <v>0</v>
      </c>
      <c r="AH43" s="386">
        <f t="shared" si="74"/>
        <v>0</v>
      </c>
    </row>
    <row r="44" spans="1:34">
      <c r="A44" s="369">
        <v>0</v>
      </c>
      <c r="B44" s="351" t="s">
        <v>456</v>
      </c>
      <c r="C44" s="351" t="s">
        <v>454</v>
      </c>
      <c r="D44" s="351" t="s">
        <v>393</v>
      </c>
      <c r="E44" s="351" t="s">
        <v>455</v>
      </c>
      <c r="F44" s="351">
        <f t="shared" si="62"/>
        <v>2023</v>
      </c>
      <c r="G44" s="351">
        <f t="shared" si="63"/>
        <v>2023</v>
      </c>
      <c r="H44" s="351">
        <f t="shared" si="63"/>
        <v>2027</v>
      </c>
      <c r="I44" s="352">
        <v>15125</v>
      </c>
      <c r="J44" s="352">
        <v>8</v>
      </c>
      <c r="K44" s="352">
        <f t="shared" si="37"/>
        <v>4</v>
      </c>
      <c r="L44" s="352"/>
      <c r="M44" s="352">
        <v>2</v>
      </c>
      <c r="N44" s="348">
        <f t="shared" si="64"/>
        <v>0</v>
      </c>
      <c r="O44" s="348">
        <f t="shared" si="65"/>
        <v>0</v>
      </c>
      <c r="P44" s="348">
        <f t="shared" si="66"/>
        <v>0</v>
      </c>
      <c r="Q44" s="348">
        <f t="shared" si="67"/>
        <v>0</v>
      </c>
      <c r="R44" s="348">
        <f t="shared" si="68"/>
        <v>0</v>
      </c>
      <c r="S44" s="348">
        <f t="shared" si="17"/>
        <v>0</v>
      </c>
      <c r="T44" s="370">
        <f t="shared" si="9"/>
        <v>0</v>
      </c>
      <c r="U44" s="385">
        <f>25000</f>
        <v>25000</v>
      </c>
      <c r="V44" s="352">
        <v>15</v>
      </c>
      <c r="W44" s="352">
        <f>ROUND(U44*V44,2)/100</f>
        <v>3750</v>
      </c>
      <c r="X44" s="352">
        <f>+B.0.ConsumiblesMaquinaria!J$25</f>
        <v>1.1000000000000001</v>
      </c>
      <c r="Y44" s="352">
        <f t="shared" si="69"/>
        <v>0</v>
      </c>
      <c r="Z44" s="353">
        <f>0.003038*U44*1.05</f>
        <v>79.747500000000002</v>
      </c>
      <c r="AA44" s="352">
        <f t="shared" si="70"/>
        <v>4.8</v>
      </c>
      <c r="AB44" s="352">
        <f t="shared" si="71"/>
        <v>0</v>
      </c>
      <c r="AC44" s="352">
        <v>6.0499999999999998E-2</v>
      </c>
      <c r="AD44" s="352">
        <f t="shared" si="72"/>
        <v>0</v>
      </c>
      <c r="AE44" s="352">
        <v>248</v>
      </c>
      <c r="AF44" s="352">
        <f t="shared" si="14"/>
        <v>0</v>
      </c>
      <c r="AG44" s="352">
        <f t="shared" si="73"/>
        <v>0</v>
      </c>
      <c r="AH44" s="386">
        <f t="shared" si="74"/>
        <v>0</v>
      </c>
    </row>
    <row r="45" spans="1:34">
      <c r="A45" s="369">
        <v>1</v>
      </c>
      <c r="B45" s="351" t="s">
        <v>457</v>
      </c>
      <c r="C45" s="351" t="s">
        <v>392</v>
      </c>
      <c r="D45" s="351" t="s">
        <v>458</v>
      </c>
      <c r="E45" s="351" t="s">
        <v>459</v>
      </c>
      <c r="F45" s="351">
        <f t="shared" si="62"/>
        <v>2023</v>
      </c>
      <c r="G45" s="351">
        <f t="shared" si="63"/>
        <v>2023</v>
      </c>
      <c r="H45" s="351">
        <f t="shared" si="63"/>
        <v>2027</v>
      </c>
      <c r="I45" s="352">
        <v>62500</v>
      </c>
      <c r="J45" s="352">
        <v>8</v>
      </c>
      <c r="K45" s="352">
        <f t="shared" si="37"/>
        <v>4</v>
      </c>
      <c r="L45" s="352"/>
      <c r="M45" s="352">
        <v>3</v>
      </c>
      <c r="N45" s="348">
        <f t="shared" si="64"/>
        <v>62500</v>
      </c>
      <c r="O45" s="348">
        <f t="shared" si="65"/>
        <v>7812.5</v>
      </c>
      <c r="P45" s="348">
        <f t="shared" si="66"/>
        <v>390.625</v>
      </c>
      <c r="Q45" s="348">
        <f t="shared" si="67"/>
        <v>234.375</v>
      </c>
      <c r="R45" s="348">
        <f t="shared" si="68"/>
        <v>31250</v>
      </c>
      <c r="S45" s="348">
        <f t="shared" si="17"/>
        <v>8437.5</v>
      </c>
      <c r="T45" s="370">
        <f t="shared" si="9"/>
        <v>8437.5</v>
      </c>
      <c r="U45" s="385">
        <f>12000</f>
        <v>12000</v>
      </c>
      <c r="V45" s="352">
        <v>15</v>
      </c>
      <c r="W45" s="352">
        <f>ROUND(U45*V45,2)/100</f>
        <v>1800</v>
      </c>
      <c r="X45" s="352">
        <f>+B.0.ConsumiblesMaquinaria!J$22</f>
        <v>1.8</v>
      </c>
      <c r="Y45" s="352">
        <f t="shared" si="69"/>
        <v>13.06</v>
      </c>
      <c r="Z45" s="353">
        <f>0.003338*U45*1.07</f>
        <v>42.859920000000002</v>
      </c>
      <c r="AA45" s="352">
        <f t="shared" si="70"/>
        <v>4.8</v>
      </c>
      <c r="AB45" s="352">
        <f t="shared" si="71"/>
        <v>0.83</v>
      </c>
      <c r="AC45" s="352">
        <v>0.25</v>
      </c>
      <c r="AD45" s="352">
        <f t="shared" si="72"/>
        <v>14.14</v>
      </c>
      <c r="AE45" s="352">
        <v>248</v>
      </c>
      <c r="AF45" s="352">
        <f t="shared" si="14"/>
        <v>3506.7200000000003</v>
      </c>
      <c r="AG45" s="352">
        <f t="shared" si="73"/>
        <v>3506.7200000000003</v>
      </c>
      <c r="AH45" s="386">
        <f t="shared" si="74"/>
        <v>11944.220000000001</v>
      </c>
    </row>
    <row r="46" spans="1:34">
      <c r="A46" s="369">
        <v>0</v>
      </c>
      <c r="B46" s="347" t="s">
        <v>448</v>
      </c>
      <c r="C46" s="347" t="s">
        <v>431</v>
      </c>
      <c r="D46" s="347" t="s">
        <v>460</v>
      </c>
      <c r="E46" s="347" t="s">
        <v>461</v>
      </c>
      <c r="F46" s="351">
        <f t="shared" si="62"/>
        <v>2023</v>
      </c>
      <c r="G46" s="347">
        <f t="shared" si="63"/>
        <v>2023</v>
      </c>
      <c r="H46" s="347">
        <f t="shared" si="63"/>
        <v>2027</v>
      </c>
      <c r="I46" s="348">
        <v>50000</v>
      </c>
      <c r="J46" s="348">
        <v>4</v>
      </c>
      <c r="K46" s="348">
        <f t="shared" si="37"/>
        <v>4</v>
      </c>
      <c r="L46" s="348"/>
      <c r="M46" s="348">
        <v>2</v>
      </c>
      <c r="N46" s="348">
        <f t="shared" si="64"/>
        <v>0</v>
      </c>
      <c r="O46" s="348">
        <f t="shared" si="65"/>
        <v>0</v>
      </c>
      <c r="P46" s="348">
        <f t="shared" si="66"/>
        <v>0</v>
      </c>
      <c r="Q46" s="348">
        <f t="shared" si="67"/>
        <v>0</v>
      </c>
      <c r="R46" s="348">
        <f t="shared" si="68"/>
        <v>0</v>
      </c>
      <c r="S46" s="348">
        <f t="shared" si="17"/>
        <v>0</v>
      </c>
      <c r="T46" s="370">
        <f t="shared" si="9"/>
        <v>0</v>
      </c>
      <c r="U46" s="378">
        <f>15000</f>
        <v>15000</v>
      </c>
      <c r="V46" s="352"/>
      <c r="W46" s="352"/>
      <c r="X46" s="352">
        <f>+B.0.ConsumiblesMaquinaria!J$22</f>
        <v>1.8</v>
      </c>
      <c r="Y46" s="352">
        <f t="shared" si="69"/>
        <v>0</v>
      </c>
      <c r="Z46" s="353">
        <f>0.003038*U46*0.7</f>
        <v>31.898999999999997</v>
      </c>
      <c r="AA46" s="352">
        <f t="shared" si="70"/>
        <v>4.8</v>
      </c>
      <c r="AB46" s="352">
        <f t="shared" si="71"/>
        <v>0</v>
      </c>
      <c r="AC46" s="352">
        <v>0.2</v>
      </c>
      <c r="AD46" s="352">
        <f t="shared" si="72"/>
        <v>0</v>
      </c>
      <c r="AE46" s="352">
        <v>248</v>
      </c>
      <c r="AF46" s="352">
        <f t="shared" si="14"/>
        <v>0</v>
      </c>
      <c r="AG46" s="352">
        <f t="shared" si="73"/>
        <v>0</v>
      </c>
      <c r="AH46" s="386">
        <f t="shared" si="74"/>
        <v>0</v>
      </c>
    </row>
    <row r="47" spans="1:34">
      <c r="A47" s="369">
        <v>0</v>
      </c>
      <c r="B47" s="351" t="s">
        <v>448</v>
      </c>
      <c r="C47" s="351" t="s">
        <v>431</v>
      </c>
      <c r="D47" s="351" t="s">
        <v>393</v>
      </c>
      <c r="E47" s="351" t="s">
        <v>455</v>
      </c>
      <c r="F47" s="351">
        <f t="shared" si="62"/>
        <v>2023</v>
      </c>
      <c r="G47" s="351">
        <f t="shared" si="63"/>
        <v>2023</v>
      </c>
      <c r="H47" s="351">
        <f t="shared" si="63"/>
        <v>2027</v>
      </c>
      <c r="I47" s="352">
        <v>12500</v>
      </c>
      <c r="J47" s="352">
        <v>8</v>
      </c>
      <c r="K47" s="352">
        <f t="shared" si="37"/>
        <v>4</v>
      </c>
      <c r="L47" s="352"/>
      <c r="M47" s="352">
        <v>2</v>
      </c>
      <c r="N47" s="348">
        <f t="shared" si="64"/>
        <v>0</v>
      </c>
      <c r="O47" s="348">
        <f t="shared" si="65"/>
        <v>0</v>
      </c>
      <c r="P47" s="348">
        <f t="shared" si="66"/>
        <v>0</v>
      </c>
      <c r="Q47" s="348">
        <f t="shared" si="67"/>
        <v>0</v>
      </c>
      <c r="R47" s="348">
        <f t="shared" si="68"/>
        <v>0</v>
      </c>
      <c r="S47" s="348">
        <f t="shared" si="17"/>
        <v>0</v>
      </c>
      <c r="T47" s="370">
        <f t="shared" si="9"/>
        <v>0</v>
      </c>
      <c r="U47" s="385">
        <f>25000</f>
        <v>25000</v>
      </c>
      <c r="V47" s="352">
        <v>8.6</v>
      </c>
      <c r="W47" s="352">
        <f>ROUND(U47*V47,2)/100</f>
        <v>2150</v>
      </c>
      <c r="X47" s="352">
        <f>+B.0.ConsumiblesMaquinaria!J$22</f>
        <v>1.8</v>
      </c>
      <c r="Y47" s="352">
        <f t="shared" si="69"/>
        <v>0</v>
      </c>
      <c r="Z47" s="353">
        <f>0.003038*U47*1.05</f>
        <v>79.747500000000002</v>
      </c>
      <c r="AA47" s="352">
        <f t="shared" si="70"/>
        <v>4.8</v>
      </c>
      <c r="AB47" s="352">
        <f t="shared" si="71"/>
        <v>0</v>
      </c>
      <c r="AC47" s="352">
        <v>0.05</v>
      </c>
      <c r="AD47" s="352">
        <f t="shared" si="72"/>
        <v>0</v>
      </c>
      <c r="AE47" s="352">
        <v>248</v>
      </c>
      <c r="AF47" s="352">
        <f t="shared" si="14"/>
        <v>0</v>
      </c>
      <c r="AG47" s="352">
        <f t="shared" si="73"/>
        <v>0</v>
      </c>
      <c r="AH47" s="386">
        <f t="shared" si="74"/>
        <v>0</v>
      </c>
    </row>
    <row r="48" spans="1:34">
      <c r="A48" s="371">
        <v>0</v>
      </c>
      <c r="B48" s="393" t="s">
        <v>456</v>
      </c>
      <c r="C48" s="393" t="s">
        <v>431</v>
      </c>
      <c r="D48" s="393" t="s">
        <v>393</v>
      </c>
      <c r="E48" s="393" t="s">
        <v>462</v>
      </c>
      <c r="F48" s="393">
        <f t="shared" si="62"/>
        <v>2023</v>
      </c>
      <c r="G48" s="393">
        <f t="shared" si="63"/>
        <v>2023</v>
      </c>
      <c r="H48" s="393">
        <f t="shared" si="63"/>
        <v>2027</v>
      </c>
      <c r="I48" s="388">
        <v>43750</v>
      </c>
      <c r="J48" s="388">
        <v>8</v>
      </c>
      <c r="K48" s="388">
        <f t="shared" si="37"/>
        <v>4</v>
      </c>
      <c r="L48" s="388"/>
      <c r="M48" s="388">
        <v>2</v>
      </c>
      <c r="N48" s="373">
        <f t="shared" si="64"/>
        <v>0</v>
      </c>
      <c r="O48" s="373">
        <f t="shared" si="65"/>
        <v>0</v>
      </c>
      <c r="P48" s="373">
        <f t="shared" si="66"/>
        <v>0</v>
      </c>
      <c r="Q48" s="373">
        <f t="shared" si="67"/>
        <v>0</v>
      </c>
      <c r="R48" s="373">
        <f t="shared" si="68"/>
        <v>0</v>
      </c>
      <c r="S48" s="373">
        <f t="shared" si="17"/>
        <v>0</v>
      </c>
      <c r="T48" s="374">
        <f t="shared" si="9"/>
        <v>0</v>
      </c>
      <c r="U48" s="387">
        <f>25000</f>
        <v>25000</v>
      </c>
      <c r="V48" s="388">
        <v>8</v>
      </c>
      <c r="W48" s="388">
        <f>ROUND(U48*V48,2)/100</f>
        <v>2000</v>
      </c>
      <c r="X48" s="388">
        <f>+B.0.ConsumiblesMaquinaria!J$22</f>
        <v>1.8</v>
      </c>
      <c r="Y48" s="388">
        <f t="shared" si="69"/>
        <v>0</v>
      </c>
      <c r="Z48" s="389">
        <f>0.002038*U48*1.02</f>
        <v>51.968999999999994</v>
      </c>
      <c r="AA48" s="388">
        <f t="shared" si="70"/>
        <v>4.8</v>
      </c>
      <c r="AB48" s="388">
        <f t="shared" si="71"/>
        <v>0</v>
      </c>
      <c r="AC48" s="388">
        <v>0.17499999999999999</v>
      </c>
      <c r="AD48" s="388">
        <f t="shared" si="72"/>
        <v>0</v>
      </c>
      <c r="AE48" s="388">
        <v>248</v>
      </c>
      <c r="AF48" s="388">
        <f t="shared" si="14"/>
        <v>0</v>
      </c>
      <c r="AG48" s="388">
        <f t="shared" si="73"/>
        <v>0</v>
      </c>
      <c r="AH48" s="390">
        <f t="shared" si="74"/>
        <v>0</v>
      </c>
    </row>
    <row r="49" spans="1:34" ht="6.75" customHeight="1">
      <c r="A49" s="43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7"/>
    </row>
    <row r="50" spans="1:34">
      <c r="A50" s="438" t="s">
        <v>463</v>
      </c>
      <c r="B50" s="439"/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39"/>
      <c r="AE50" s="439"/>
      <c r="AF50" s="439"/>
      <c r="AG50" s="439"/>
      <c r="AH50" s="440">
        <f>SUM(AH7:AH48)</f>
        <v>188070.02096999998</v>
      </c>
    </row>
  </sheetData>
  <mergeCells count="17">
    <mergeCell ref="A19:C19"/>
    <mergeCell ref="A27:C27"/>
    <mergeCell ref="A30:C30"/>
    <mergeCell ref="A38:C38"/>
    <mergeCell ref="U3:U4"/>
    <mergeCell ref="N2:T3"/>
    <mergeCell ref="A2:M3"/>
    <mergeCell ref="A1:AH1"/>
    <mergeCell ref="V3:Y3"/>
    <mergeCell ref="Z3:AB3"/>
    <mergeCell ref="A6:C6"/>
    <mergeCell ref="AD3:AD4"/>
    <mergeCell ref="AH2:AH5"/>
    <mergeCell ref="AF3:AF4"/>
    <mergeCell ref="U2:AG2"/>
    <mergeCell ref="AG3:AG4"/>
    <mergeCell ref="AE3:AE4"/>
  </mergeCells>
  <conditionalFormatting sqref="N7:T9 N10 P10:T10 N11:T18">
    <cfRule type="cellIs" dxfId="40" priority="22" operator="equal">
      <formula>0</formula>
    </cfRule>
  </conditionalFormatting>
  <conditionalFormatting sqref="AH8 AH19 AH27 AH30 AH38">
    <cfRule type="cellIs" dxfId="39" priority="17" operator="equal">
      <formula>0</formula>
    </cfRule>
  </conditionalFormatting>
  <conditionalFormatting sqref="T20">
    <cfRule type="cellIs" dxfId="38" priority="16" operator="equal">
      <formula>0</formula>
    </cfRule>
  </conditionalFormatting>
  <conditionalFormatting sqref="S20">
    <cfRule type="cellIs" dxfId="37" priority="12" operator="equal">
      <formula>0</formula>
    </cfRule>
  </conditionalFormatting>
  <conditionalFormatting sqref="N21:T25">
    <cfRule type="cellIs" dxfId="36" priority="6" operator="equal">
      <formula>0</formula>
    </cfRule>
  </conditionalFormatting>
  <conditionalFormatting sqref="V8:AH48 V7:X7 Z7:AH7">
    <cfRule type="cellIs" dxfId="35" priority="8" operator="equal">
      <formula>0</formula>
    </cfRule>
  </conditionalFormatting>
  <conditionalFormatting sqref="N26:T26">
    <cfRule type="cellIs" dxfId="34" priority="7" operator="equal">
      <formula>0</formula>
    </cfRule>
  </conditionalFormatting>
  <conditionalFormatting sqref="N28:T29">
    <cfRule type="cellIs" dxfId="33" priority="5" operator="equal">
      <formula>0</formula>
    </cfRule>
  </conditionalFormatting>
  <conditionalFormatting sqref="N31:T37">
    <cfRule type="cellIs" dxfId="32" priority="4" operator="equal">
      <formula>0</formula>
    </cfRule>
  </conditionalFormatting>
  <conditionalFormatting sqref="N39:T48">
    <cfRule type="cellIs" dxfId="31" priority="3" operator="equal">
      <formula>0</formula>
    </cfRule>
  </conditionalFormatting>
  <conditionalFormatting sqref="O10">
    <cfRule type="cellIs" dxfId="30" priority="2" operator="equal">
      <formula>0</formula>
    </cfRule>
  </conditionalFormatting>
  <conditionalFormatting sqref="Y7">
    <cfRule type="cellIs" dxfId="29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8" scale="48" orientation="landscape" r:id="rId1"/>
  <rowBreaks count="1" manualBreakCount="1">
    <brk id="29" max="16383" man="1"/>
  </rowBreaks>
  <colBreaks count="1" manualBreakCount="1">
    <brk id="20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1454817346722"/>
  </sheetPr>
  <dimension ref="A1:AJ104"/>
  <sheetViews>
    <sheetView zoomScale="40" zoomScaleNormal="40" workbookViewId="0">
      <selection activeCell="F18" sqref="F18"/>
    </sheetView>
  </sheetViews>
  <sheetFormatPr baseColWidth="10" defaultColWidth="11.44140625" defaultRowHeight="14.4"/>
  <cols>
    <col min="1" max="1" width="8.6640625" style="51" customWidth="1"/>
    <col min="2" max="2" width="45.5546875" style="51" customWidth="1"/>
    <col min="3" max="3" width="11.44140625" style="51"/>
    <col min="4" max="4" width="29.6640625" style="51" customWidth="1"/>
    <col min="5" max="19" width="11.44140625" style="51"/>
    <col min="20" max="20" width="14.33203125" style="51" customWidth="1"/>
    <col min="21" max="16384" width="11.44140625" style="51"/>
  </cols>
  <sheetData>
    <row r="1" spans="1:36" ht="24.75" customHeight="1">
      <c r="A1" s="720" t="s">
        <v>464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1"/>
      <c r="AD1" s="721"/>
      <c r="AE1" s="721"/>
      <c r="AF1" s="721"/>
      <c r="AG1" s="721"/>
      <c r="AH1" s="722"/>
      <c r="AI1" s="105">
        <v>5</v>
      </c>
      <c r="AJ1" s="108" t="s">
        <v>465</v>
      </c>
    </row>
    <row r="2" spans="1:36" ht="12.75" customHeight="1">
      <c r="A2" s="713" t="s">
        <v>350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7" t="s">
        <v>351</v>
      </c>
      <c r="O2" s="708"/>
      <c r="P2" s="708"/>
      <c r="Q2" s="708"/>
      <c r="R2" s="708"/>
      <c r="S2" s="708"/>
      <c r="T2" s="709"/>
      <c r="U2" s="723" t="s">
        <v>352</v>
      </c>
      <c r="V2" s="724"/>
      <c r="W2" s="724"/>
      <c r="X2" s="724"/>
      <c r="Y2" s="724"/>
      <c r="Z2" s="724"/>
      <c r="AA2" s="724"/>
      <c r="AB2" s="724"/>
      <c r="AC2" s="724"/>
      <c r="AD2" s="724"/>
      <c r="AE2" s="724"/>
      <c r="AF2" s="343"/>
      <c r="AG2" s="343"/>
      <c r="AH2" s="729" t="s">
        <v>353</v>
      </c>
      <c r="AI2" s="105">
        <v>1.25</v>
      </c>
      <c r="AJ2" s="109" t="s">
        <v>466</v>
      </c>
    </row>
    <row r="3" spans="1:36" ht="43.2" customHeight="1">
      <c r="A3" s="731" t="s">
        <v>359</v>
      </c>
      <c r="B3" s="725" t="s">
        <v>360</v>
      </c>
      <c r="C3" s="733" t="s">
        <v>361</v>
      </c>
      <c r="D3" s="725" t="s">
        <v>467</v>
      </c>
      <c r="E3" s="727" t="s">
        <v>468</v>
      </c>
      <c r="F3" s="725" t="s">
        <v>368</v>
      </c>
      <c r="G3" s="727" t="s">
        <v>469</v>
      </c>
      <c r="H3" s="725" t="s">
        <v>470</v>
      </c>
      <c r="I3" s="99" t="s">
        <v>364</v>
      </c>
      <c r="J3" s="99" t="s">
        <v>253</v>
      </c>
      <c r="K3" s="99" t="s">
        <v>255</v>
      </c>
      <c r="L3" s="99" t="s">
        <v>367</v>
      </c>
      <c r="M3" s="727" t="s">
        <v>471</v>
      </c>
      <c r="N3" s="718" t="s">
        <v>370</v>
      </c>
      <c r="O3" s="718" t="s">
        <v>371</v>
      </c>
      <c r="P3" s="718" t="s">
        <v>372</v>
      </c>
      <c r="Q3" s="718" t="s">
        <v>373</v>
      </c>
      <c r="R3" s="718" t="s">
        <v>374</v>
      </c>
      <c r="S3" s="719" t="s">
        <v>375</v>
      </c>
      <c r="T3" s="716" t="s">
        <v>959</v>
      </c>
      <c r="U3" s="695" t="s">
        <v>356</v>
      </c>
      <c r="V3" s="695"/>
      <c r="W3" s="695"/>
      <c r="X3" s="695"/>
      <c r="Y3" s="695" t="s">
        <v>355</v>
      </c>
      <c r="Z3" s="695"/>
      <c r="AA3" s="695"/>
      <c r="AB3" s="695"/>
      <c r="AC3" s="345" t="s">
        <v>357</v>
      </c>
      <c r="AD3" s="698" t="s">
        <v>358</v>
      </c>
      <c r="AE3" s="698" t="s">
        <v>472</v>
      </c>
      <c r="AF3" s="698" t="s">
        <v>962</v>
      </c>
      <c r="AG3" s="716" t="s">
        <v>963</v>
      </c>
      <c r="AH3" s="729"/>
    </row>
    <row r="4" spans="1:36" ht="33.75" customHeight="1">
      <c r="A4" s="732"/>
      <c r="B4" s="726"/>
      <c r="C4" s="734"/>
      <c r="D4" s="726"/>
      <c r="E4" s="728"/>
      <c r="F4" s="726"/>
      <c r="G4" s="728"/>
      <c r="H4" s="726"/>
      <c r="I4" s="428"/>
      <c r="J4" s="428">
        <f>B.1.Vehículos!G5</f>
        <v>2023</v>
      </c>
      <c r="K4" s="428">
        <f>B.1.Vehículos!H5</f>
        <v>2027</v>
      </c>
      <c r="L4" s="428">
        <f>K4-J4</f>
        <v>4</v>
      </c>
      <c r="M4" s="728"/>
      <c r="N4" s="718"/>
      <c r="O4" s="718"/>
      <c r="P4" s="718"/>
      <c r="Q4" s="718"/>
      <c r="R4" s="718"/>
      <c r="S4" s="719"/>
      <c r="T4" s="716"/>
      <c r="U4" s="104" t="s">
        <v>473</v>
      </c>
      <c r="V4" s="104" t="s">
        <v>474</v>
      </c>
      <c r="W4" s="104" t="s">
        <v>381</v>
      </c>
      <c r="X4" s="104" t="s">
        <v>382</v>
      </c>
      <c r="Y4" s="104" t="s">
        <v>475</v>
      </c>
      <c r="Z4" s="104" t="s">
        <v>476</v>
      </c>
      <c r="AA4" s="104" t="s">
        <v>477</v>
      </c>
      <c r="AB4" s="104" t="s">
        <v>478</v>
      </c>
      <c r="AC4" s="346" t="s">
        <v>383</v>
      </c>
      <c r="AD4" s="698"/>
      <c r="AE4" s="698"/>
      <c r="AF4" s="698"/>
      <c r="AG4" s="716"/>
      <c r="AH4" s="729"/>
    </row>
    <row r="5" spans="1:36">
      <c r="A5" s="429" t="s">
        <v>384</v>
      </c>
      <c r="B5" s="430"/>
      <c r="C5" s="431"/>
      <c r="D5" s="430"/>
      <c r="E5" s="432" t="s">
        <v>11</v>
      </c>
      <c r="F5" s="430"/>
      <c r="G5" s="432"/>
      <c r="H5" s="430" t="s">
        <v>13</v>
      </c>
      <c r="I5" s="432"/>
      <c r="J5" s="432"/>
      <c r="K5" s="432"/>
      <c r="L5" s="432" t="s">
        <v>385</v>
      </c>
      <c r="M5" s="432"/>
      <c r="N5" s="430" t="s">
        <v>386</v>
      </c>
      <c r="O5" s="430" t="s">
        <v>387</v>
      </c>
      <c r="P5" s="430" t="s">
        <v>241</v>
      </c>
      <c r="Q5" s="430" t="s">
        <v>388</v>
      </c>
      <c r="R5" s="430"/>
      <c r="S5" s="430" t="s">
        <v>389</v>
      </c>
      <c r="T5" s="430" t="s">
        <v>960</v>
      </c>
      <c r="U5" s="433"/>
      <c r="V5" s="433"/>
      <c r="W5" s="433"/>
      <c r="X5" s="433"/>
      <c r="Y5" s="433"/>
      <c r="Z5" s="433"/>
      <c r="AA5" s="433"/>
      <c r="AB5" s="433"/>
      <c r="AC5" s="433"/>
      <c r="AD5" s="715"/>
      <c r="AE5" s="715"/>
      <c r="AF5" s="715"/>
      <c r="AG5" s="717"/>
      <c r="AH5" s="730"/>
    </row>
    <row r="6" spans="1:36" ht="15" customHeight="1">
      <c r="A6" s="735" t="s">
        <v>479</v>
      </c>
      <c r="B6" s="736"/>
      <c r="C6" s="736"/>
      <c r="D6" s="736"/>
      <c r="E6" s="736"/>
      <c r="F6" s="736"/>
      <c r="G6" s="98"/>
      <c r="H6" s="98"/>
      <c r="I6" s="98"/>
      <c r="J6" s="98"/>
      <c r="K6" s="98"/>
      <c r="L6" s="98"/>
      <c r="M6" s="98"/>
      <c r="N6" s="98"/>
      <c r="O6" s="98"/>
      <c r="P6" s="98">
        <f>'B. Resumen Costes Veh_Maq'!D9</f>
        <v>0.05</v>
      </c>
      <c r="Q6" s="98">
        <v>0.03</v>
      </c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106">
        <v>1E-4</v>
      </c>
      <c r="AD6" s="344"/>
      <c r="AE6" s="344"/>
      <c r="AF6" s="344"/>
      <c r="AG6" s="344"/>
      <c r="AH6" s="107"/>
    </row>
    <row r="7" spans="1:36">
      <c r="A7" s="394">
        <v>2</v>
      </c>
      <c r="B7" s="395" t="s">
        <v>480</v>
      </c>
      <c r="C7" s="396" t="s">
        <v>481</v>
      </c>
      <c r="D7" s="396" t="s">
        <v>482</v>
      </c>
      <c r="E7" s="397">
        <v>1653.75</v>
      </c>
      <c r="F7" s="398"/>
      <c r="G7" s="397">
        <f>22*8*AI$1</f>
        <v>880</v>
      </c>
      <c r="H7" s="398">
        <v>4</v>
      </c>
      <c r="I7" s="398"/>
      <c r="J7" s="399">
        <f>J$4</f>
        <v>2023</v>
      </c>
      <c r="K7" s="399">
        <f>K$4</f>
        <v>2027</v>
      </c>
      <c r="L7" s="399">
        <f>L$4</f>
        <v>4</v>
      </c>
      <c r="M7" s="397">
        <v>6.5999999046325701</v>
      </c>
      <c r="N7" s="397">
        <f>E7*A7</f>
        <v>3307.5</v>
      </c>
      <c r="O7" s="397">
        <f>IF(A7&gt;0,E7/H7,0)</f>
        <v>413.4375</v>
      </c>
      <c r="P7" s="397">
        <f>O7*P$6</f>
        <v>20.671875</v>
      </c>
      <c r="Q7" s="397">
        <f>O7*Q$6</f>
        <v>12.403124999999999</v>
      </c>
      <c r="R7" s="400">
        <f>IF((H7-L7)&lt;0,0,(O7*(H7-(L7))))</f>
        <v>0</v>
      </c>
      <c r="S7" s="400">
        <f>IF(A7&gt;0,(O7+P7+Q7),0)</f>
        <v>446.51249999999999</v>
      </c>
      <c r="T7" s="401">
        <f>(O7+P7+Q7)*A7</f>
        <v>893.02499999999998</v>
      </c>
      <c r="U7" s="412">
        <f>VLOOKUP(M7,B.0.ConsumiblesMaquinaria!C$7:D$16,2)</f>
        <v>3.5000000000000003E-2</v>
      </c>
      <c r="V7" s="398">
        <f>IF(A7&gt;0,+G7*U7,0)</f>
        <v>30.800000000000004</v>
      </c>
      <c r="W7" s="398">
        <f>+B.0.ConsumiblesMaquinaria!J$23</f>
        <v>9.879999999999999</v>
      </c>
      <c r="X7" s="398">
        <f>IF(A7&gt;0,+ROUND(U7*AI$1*W7,4),0)</f>
        <v>1.7290000000000001</v>
      </c>
      <c r="Y7" s="397">
        <f>0.9*Y$102</f>
        <v>0.72000000000000008</v>
      </c>
      <c r="Z7" s="397">
        <f>IF(A7&gt;0,ROUND(Y7*G7,2),0)</f>
        <v>633.6</v>
      </c>
      <c r="AA7" s="398">
        <f>+B.0.ConsumiblesMaquinaria!J$22</f>
        <v>1.8</v>
      </c>
      <c r="AB7" s="398">
        <f>IF(A7&gt;0,+ROUND(Y7*AI$1*AA7,4),0)</f>
        <v>6.48</v>
      </c>
      <c r="AC7" s="413">
        <f>IF(A7&gt;0,E7*AC$6,0)</f>
        <v>0.16537499999999999</v>
      </c>
      <c r="AD7" s="398">
        <f>IF(A7&gt;0,(SUM(AB7:AC7)+X7),0)</f>
        <v>8.3743750000000006</v>
      </c>
      <c r="AE7" s="399">
        <v>180</v>
      </c>
      <c r="AF7" s="397">
        <f>AE7*AD7</f>
        <v>1507.3875</v>
      </c>
      <c r="AG7" s="414">
        <f>AF7*A7</f>
        <v>3014.7750000000001</v>
      </c>
      <c r="AH7" s="415">
        <f>AG7+T7</f>
        <v>3907.8</v>
      </c>
    </row>
    <row r="8" spans="1:36">
      <c r="A8" s="402">
        <v>2</v>
      </c>
      <c r="B8" s="356" t="s">
        <v>483</v>
      </c>
      <c r="C8" s="357" t="s">
        <v>481</v>
      </c>
      <c r="D8" s="357" t="s">
        <v>482</v>
      </c>
      <c r="E8" s="358">
        <v>2289.8124694824101</v>
      </c>
      <c r="F8" s="359"/>
      <c r="G8" s="358">
        <f t="shared" ref="G8:G46" si="0">22*8*AI$1</f>
        <v>880</v>
      </c>
      <c r="H8" s="359">
        <v>2</v>
      </c>
      <c r="I8" s="359"/>
      <c r="J8" s="360">
        <f t="shared" ref="J8:L25" si="1">J$4</f>
        <v>2023</v>
      </c>
      <c r="K8" s="360">
        <f t="shared" si="1"/>
        <v>2027</v>
      </c>
      <c r="L8" s="360">
        <f t="shared" si="1"/>
        <v>4</v>
      </c>
      <c r="M8" s="358">
        <v>6.5999999046325701</v>
      </c>
      <c r="N8" s="358">
        <f t="shared" ref="N8:N71" si="2">E8*A8</f>
        <v>4579.6249389648201</v>
      </c>
      <c r="O8" s="358">
        <f t="shared" ref="O8:O25" si="3">IF(A8&gt;0,E8/H8,0)</f>
        <v>1144.906234741205</v>
      </c>
      <c r="P8" s="358">
        <f t="shared" ref="P8:P71" si="4">O8*P$6</f>
        <v>57.245311737060256</v>
      </c>
      <c r="Q8" s="358">
        <f t="shared" ref="Q8:Q71" si="5">O8*Q$6</f>
        <v>34.34718704223615</v>
      </c>
      <c r="R8" s="361">
        <f t="shared" ref="R8:R71" si="6">IF((H8-L8)&lt;0,0,(O8*(H8-(L8))))</f>
        <v>0</v>
      </c>
      <c r="S8" s="361">
        <f t="shared" ref="S8:S25" si="7">IF(A8&gt;0,(O8+P8+Q8),0)</f>
        <v>1236.4987335205014</v>
      </c>
      <c r="T8" s="403">
        <f t="shared" ref="T8:T25" si="8">(O8+P8+Q8)*A8</f>
        <v>2472.9974670410029</v>
      </c>
      <c r="U8" s="416">
        <f>VLOOKUP(M8,B.0.ConsumiblesMaquinaria!C$7:D$16,2)</f>
        <v>3.5000000000000003E-2</v>
      </c>
      <c r="V8" s="359">
        <f t="shared" ref="V8:V71" si="9">IF(A8&gt;0,+G8*U8,0)</f>
        <v>30.800000000000004</v>
      </c>
      <c r="W8" s="359">
        <f>+B.0.ConsumiblesMaquinaria!J$23</f>
        <v>9.879999999999999</v>
      </c>
      <c r="X8" s="359">
        <f t="shared" ref="X8:X25" si="10">+ROUND(U8*AI$1*W8,2)</f>
        <v>1.73</v>
      </c>
      <c r="Y8" s="358">
        <f>1*Y$102</f>
        <v>0.8</v>
      </c>
      <c r="Z8" s="358">
        <f t="shared" ref="Z8:Z71" si="11">IF(A8&gt;0,ROUND(Y8*G8,2),0)</f>
        <v>704</v>
      </c>
      <c r="AA8" s="359">
        <f>+B.0.ConsumiblesMaquinaria!J$22</f>
        <v>1.8</v>
      </c>
      <c r="AB8" s="359">
        <f t="shared" ref="AB8:AB71" si="12">IF(A8&gt;0,+ROUND(Y8*AI$1*AA8,4),0)</f>
        <v>7.2</v>
      </c>
      <c r="AC8" s="363">
        <f t="shared" ref="AC8:AC71" si="13">IF(A8&gt;0,E8*AC$6,0)</f>
        <v>0.22898124694824101</v>
      </c>
      <c r="AD8" s="359">
        <f t="shared" ref="AD8:AD25" si="14">IF(A8&gt;0,(SUM(AB8:AC8)+X8),0)</f>
        <v>9.1589812469482403</v>
      </c>
      <c r="AE8" s="360">
        <v>180</v>
      </c>
      <c r="AF8" s="358">
        <f t="shared" ref="AF8:AF25" si="15">AE8*AD8</f>
        <v>1648.6166244506833</v>
      </c>
      <c r="AG8" s="362">
        <f t="shared" ref="AG8:AG25" si="16">AF8*A8</f>
        <v>3297.2332489013666</v>
      </c>
      <c r="AH8" s="417">
        <f t="shared" ref="AH8:AH25" si="17">AG8+T8</f>
        <v>5770.230715942369</v>
      </c>
    </row>
    <row r="9" spans="1:36">
      <c r="A9" s="402">
        <v>2</v>
      </c>
      <c r="B9" s="356" t="s">
        <v>484</v>
      </c>
      <c r="C9" s="357" t="s">
        <v>481</v>
      </c>
      <c r="D9" s="357" t="s">
        <v>482</v>
      </c>
      <c r="E9" s="358">
        <v>6147.0373535156295</v>
      </c>
      <c r="F9" s="359"/>
      <c r="G9" s="358">
        <f t="shared" si="0"/>
        <v>880</v>
      </c>
      <c r="H9" s="359">
        <v>4</v>
      </c>
      <c r="I9" s="359"/>
      <c r="J9" s="360">
        <f t="shared" si="1"/>
        <v>2023</v>
      </c>
      <c r="K9" s="360">
        <f t="shared" si="1"/>
        <v>2027</v>
      </c>
      <c r="L9" s="360">
        <f t="shared" si="1"/>
        <v>4</v>
      </c>
      <c r="M9" s="358">
        <v>13</v>
      </c>
      <c r="N9" s="358">
        <f t="shared" si="2"/>
        <v>12294.074707031259</v>
      </c>
      <c r="O9" s="358">
        <f t="shared" si="3"/>
        <v>1536.7593383789074</v>
      </c>
      <c r="P9" s="358">
        <f t="shared" si="4"/>
        <v>76.837966918945369</v>
      </c>
      <c r="Q9" s="358">
        <f t="shared" si="5"/>
        <v>46.10278015136722</v>
      </c>
      <c r="R9" s="361">
        <f t="shared" si="6"/>
        <v>0</v>
      </c>
      <c r="S9" s="361">
        <f t="shared" si="7"/>
        <v>1659.7000854492198</v>
      </c>
      <c r="T9" s="403">
        <f t="shared" si="8"/>
        <v>3319.4001708984397</v>
      </c>
      <c r="U9" s="416">
        <f>VLOOKUP(M9,B.0.ConsumiblesMaquinaria!C$7:D$16,2)</f>
        <v>3.5000000000000003E-2</v>
      </c>
      <c r="V9" s="359">
        <f t="shared" si="9"/>
        <v>30.800000000000004</v>
      </c>
      <c r="W9" s="359">
        <f>+B.0.ConsumiblesMaquinaria!J$23</f>
        <v>9.879999999999999</v>
      </c>
      <c r="X9" s="359">
        <f t="shared" si="10"/>
        <v>1.73</v>
      </c>
      <c r="Y9" s="358">
        <f>1.2*Y$102</f>
        <v>0.96</v>
      </c>
      <c r="Z9" s="358">
        <f t="shared" si="11"/>
        <v>844.8</v>
      </c>
      <c r="AA9" s="359">
        <f>+B.0.ConsumiblesMaquinaria!J$22</f>
        <v>1.8</v>
      </c>
      <c r="AB9" s="359">
        <f t="shared" si="12"/>
        <v>8.64</v>
      </c>
      <c r="AC9" s="363">
        <f t="shared" si="13"/>
        <v>0.61470373535156297</v>
      </c>
      <c r="AD9" s="359">
        <f t="shared" si="14"/>
        <v>10.984703735351564</v>
      </c>
      <c r="AE9" s="360">
        <v>180</v>
      </c>
      <c r="AF9" s="358">
        <f t="shared" si="15"/>
        <v>1977.2466723632815</v>
      </c>
      <c r="AG9" s="362">
        <f t="shared" si="16"/>
        <v>3954.493344726563</v>
      </c>
      <c r="AH9" s="417">
        <f t="shared" si="17"/>
        <v>7273.8935156250027</v>
      </c>
    </row>
    <row r="10" spans="1:36">
      <c r="A10" s="402">
        <v>0</v>
      </c>
      <c r="B10" s="356" t="s">
        <v>485</v>
      </c>
      <c r="C10" s="357" t="s">
        <v>481</v>
      </c>
      <c r="D10" s="357" t="s">
        <v>482</v>
      </c>
      <c r="E10" s="358">
        <v>8062.5</v>
      </c>
      <c r="F10" s="359"/>
      <c r="G10" s="358">
        <f t="shared" si="0"/>
        <v>880</v>
      </c>
      <c r="H10" s="359">
        <v>4</v>
      </c>
      <c r="I10" s="359"/>
      <c r="J10" s="360">
        <f t="shared" si="1"/>
        <v>2023</v>
      </c>
      <c r="K10" s="360">
        <f t="shared" si="1"/>
        <v>2027</v>
      </c>
      <c r="L10" s="360">
        <f t="shared" si="1"/>
        <v>4</v>
      </c>
      <c r="M10" s="358">
        <v>12.5</v>
      </c>
      <c r="N10" s="358">
        <f t="shared" si="2"/>
        <v>0</v>
      </c>
      <c r="O10" s="358">
        <f t="shared" si="3"/>
        <v>0</v>
      </c>
      <c r="P10" s="358">
        <f t="shared" si="4"/>
        <v>0</v>
      </c>
      <c r="Q10" s="358">
        <f t="shared" si="5"/>
        <v>0</v>
      </c>
      <c r="R10" s="361">
        <f t="shared" si="6"/>
        <v>0</v>
      </c>
      <c r="S10" s="361">
        <f t="shared" si="7"/>
        <v>0</v>
      </c>
      <c r="T10" s="403">
        <f t="shared" si="8"/>
        <v>0</v>
      </c>
      <c r="U10" s="416">
        <f>VLOOKUP(M10,B.0.ConsumiblesMaquinaria!C$7:D$16,2)</f>
        <v>3.5000000000000003E-2</v>
      </c>
      <c r="V10" s="359">
        <f t="shared" si="9"/>
        <v>0</v>
      </c>
      <c r="W10" s="359">
        <f>+B.0.ConsumiblesMaquinaria!J$23</f>
        <v>9.879999999999999</v>
      </c>
      <c r="X10" s="359">
        <f t="shared" si="10"/>
        <v>1.73</v>
      </c>
      <c r="Y10" s="358">
        <f>1.2*Y$102</f>
        <v>0.96</v>
      </c>
      <c r="Z10" s="358">
        <f t="shared" si="11"/>
        <v>0</v>
      </c>
      <c r="AA10" s="359">
        <f>+B.0.ConsumiblesMaquinaria!J$22</f>
        <v>1.8</v>
      </c>
      <c r="AB10" s="359">
        <f t="shared" si="12"/>
        <v>0</v>
      </c>
      <c r="AC10" s="363">
        <f t="shared" si="13"/>
        <v>0</v>
      </c>
      <c r="AD10" s="359">
        <f t="shared" si="14"/>
        <v>0</v>
      </c>
      <c r="AE10" s="360">
        <v>180</v>
      </c>
      <c r="AF10" s="358">
        <f t="shared" si="15"/>
        <v>0</v>
      </c>
      <c r="AG10" s="362">
        <f t="shared" si="16"/>
        <v>0</v>
      </c>
      <c r="AH10" s="417">
        <f t="shared" si="17"/>
        <v>0</v>
      </c>
    </row>
    <row r="11" spans="1:36">
      <c r="A11" s="402">
        <v>1</v>
      </c>
      <c r="B11" s="356" t="s">
        <v>486</v>
      </c>
      <c r="C11" s="357" t="s">
        <v>481</v>
      </c>
      <c r="D11" s="357" t="s">
        <v>482</v>
      </c>
      <c r="E11" s="358">
        <v>8125</v>
      </c>
      <c r="F11" s="359"/>
      <c r="G11" s="358">
        <f t="shared" si="0"/>
        <v>880</v>
      </c>
      <c r="H11" s="359">
        <v>4</v>
      </c>
      <c r="I11" s="359"/>
      <c r="J11" s="360">
        <f t="shared" si="1"/>
        <v>2023</v>
      </c>
      <c r="K11" s="360">
        <f t="shared" si="1"/>
        <v>2027</v>
      </c>
      <c r="L11" s="360">
        <f t="shared" si="1"/>
        <v>4</v>
      </c>
      <c r="M11" s="358">
        <v>23</v>
      </c>
      <c r="N11" s="358">
        <f t="shared" si="2"/>
        <v>8125</v>
      </c>
      <c r="O11" s="358">
        <f t="shared" si="3"/>
        <v>2031.25</v>
      </c>
      <c r="P11" s="358">
        <f t="shared" si="4"/>
        <v>101.5625</v>
      </c>
      <c r="Q11" s="358">
        <f t="shared" si="5"/>
        <v>60.9375</v>
      </c>
      <c r="R11" s="361">
        <f t="shared" si="6"/>
        <v>0</v>
      </c>
      <c r="S11" s="361">
        <f t="shared" si="7"/>
        <v>2193.75</v>
      </c>
      <c r="T11" s="403">
        <f t="shared" si="8"/>
        <v>2193.75</v>
      </c>
      <c r="U11" s="416">
        <f>VLOOKUP(M11,B.0.ConsumiblesMaquinaria!C$7:D$16,2)</f>
        <v>3.9E-2</v>
      </c>
      <c r="V11" s="359">
        <f t="shared" si="9"/>
        <v>34.32</v>
      </c>
      <c r="W11" s="359">
        <f>+B.0.ConsumiblesMaquinaria!J$23</f>
        <v>9.879999999999999</v>
      </c>
      <c r="X11" s="359">
        <f>+ROUND(U11*AI$1*W11,2)</f>
        <v>1.93</v>
      </c>
      <c r="Y11" s="358">
        <f>2*Y$102</f>
        <v>1.6</v>
      </c>
      <c r="Z11" s="358">
        <f t="shared" si="11"/>
        <v>1408</v>
      </c>
      <c r="AA11" s="359">
        <f>+B.0.ConsumiblesMaquinaria!J$22</f>
        <v>1.8</v>
      </c>
      <c r="AB11" s="359">
        <f t="shared" si="12"/>
        <v>14.4</v>
      </c>
      <c r="AC11" s="363">
        <f t="shared" si="13"/>
        <v>0.8125</v>
      </c>
      <c r="AD11" s="359">
        <f t="shared" si="14"/>
        <v>17.142500000000002</v>
      </c>
      <c r="AE11" s="360">
        <v>180</v>
      </c>
      <c r="AF11" s="358">
        <f t="shared" si="15"/>
        <v>3085.6500000000005</v>
      </c>
      <c r="AG11" s="362">
        <f t="shared" si="16"/>
        <v>3085.6500000000005</v>
      </c>
      <c r="AH11" s="417">
        <f t="shared" si="17"/>
        <v>5279.4000000000005</v>
      </c>
    </row>
    <row r="12" spans="1:36">
      <c r="A12" s="402">
        <v>1</v>
      </c>
      <c r="B12" s="356" t="s">
        <v>487</v>
      </c>
      <c r="C12" s="357" t="s">
        <v>481</v>
      </c>
      <c r="D12" s="357" t="s">
        <v>488</v>
      </c>
      <c r="E12" s="358">
        <v>15250</v>
      </c>
      <c r="F12" s="359"/>
      <c r="G12" s="358">
        <f t="shared" si="0"/>
        <v>880</v>
      </c>
      <c r="H12" s="359">
        <v>4</v>
      </c>
      <c r="I12" s="359"/>
      <c r="J12" s="360">
        <f t="shared" si="1"/>
        <v>2023</v>
      </c>
      <c r="K12" s="360">
        <f t="shared" si="1"/>
        <v>2027</v>
      </c>
      <c r="L12" s="360">
        <f t="shared" si="1"/>
        <v>4</v>
      </c>
      <c r="M12" s="358">
        <v>27</v>
      </c>
      <c r="N12" s="358">
        <f t="shared" si="2"/>
        <v>15250</v>
      </c>
      <c r="O12" s="358">
        <f t="shared" si="3"/>
        <v>3812.5</v>
      </c>
      <c r="P12" s="358">
        <f t="shared" si="4"/>
        <v>190.625</v>
      </c>
      <c r="Q12" s="358">
        <f t="shared" si="5"/>
        <v>114.375</v>
      </c>
      <c r="R12" s="361">
        <f t="shared" si="6"/>
        <v>0</v>
      </c>
      <c r="S12" s="361">
        <f t="shared" si="7"/>
        <v>4117.5</v>
      </c>
      <c r="T12" s="403">
        <f t="shared" si="8"/>
        <v>4117.5</v>
      </c>
      <c r="U12" s="416">
        <f>VLOOKUP(M12,B.0.ConsumiblesMaquinaria!C$7:D$16,2)</f>
        <v>3.9E-2</v>
      </c>
      <c r="V12" s="359">
        <f t="shared" si="9"/>
        <v>34.32</v>
      </c>
      <c r="W12" s="359">
        <f>+B.0.ConsumiblesMaquinaria!J$23</f>
        <v>9.879999999999999</v>
      </c>
      <c r="X12" s="359">
        <f t="shared" si="10"/>
        <v>1.93</v>
      </c>
      <c r="Y12" s="358">
        <f>1.5*Y$102</f>
        <v>1.2000000000000002</v>
      </c>
      <c r="Z12" s="358">
        <f t="shared" si="11"/>
        <v>1056</v>
      </c>
      <c r="AA12" s="359">
        <f>+B.0.ConsumiblesMaquinaria!J$22</f>
        <v>1.8</v>
      </c>
      <c r="AB12" s="359">
        <f t="shared" si="12"/>
        <v>10.8</v>
      </c>
      <c r="AC12" s="363">
        <f t="shared" si="13"/>
        <v>1.5250000000000001</v>
      </c>
      <c r="AD12" s="359">
        <f t="shared" si="14"/>
        <v>14.255000000000001</v>
      </c>
      <c r="AE12" s="360">
        <v>180</v>
      </c>
      <c r="AF12" s="358">
        <f t="shared" si="15"/>
        <v>2565.9</v>
      </c>
      <c r="AG12" s="362">
        <f t="shared" si="16"/>
        <v>2565.9</v>
      </c>
      <c r="AH12" s="417">
        <f t="shared" si="17"/>
        <v>6683.4</v>
      </c>
    </row>
    <row r="13" spans="1:36">
      <c r="A13" s="402">
        <v>0</v>
      </c>
      <c r="B13" s="356" t="s">
        <v>489</v>
      </c>
      <c r="C13" s="357" t="s">
        <v>481</v>
      </c>
      <c r="D13" s="357" t="s">
        <v>490</v>
      </c>
      <c r="E13" s="358">
        <v>17645</v>
      </c>
      <c r="F13" s="359"/>
      <c r="G13" s="358">
        <f t="shared" si="0"/>
        <v>880</v>
      </c>
      <c r="H13" s="359">
        <v>8</v>
      </c>
      <c r="I13" s="359"/>
      <c r="J13" s="360">
        <f t="shared" si="1"/>
        <v>2023</v>
      </c>
      <c r="K13" s="360">
        <f t="shared" si="1"/>
        <v>2027</v>
      </c>
      <c r="L13" s="360">
        <f t="shared" si="1"/>
        <v>4</v>
      </c>
      <c r="M13" s="358">
        <v>24</v>
      </c>
      <c r="N13" s="358">
        <f t="shared" si="2"/>
        <v>0</v>
      </c>
      <c r="O13" s="358">
        <f t="shared" si="3"/>
        <v>0</v>
      </c>
      <c r="P13" s="358">
        <f t="shared" si="4"/>
        <v>0</v>
      </c>
      <c r="Q13" s="358">
        <f t="shared" si="5"/>
        <v>0</v>
      </c>
      <c r="R13" s="361">
        <f t="shared" si="6"/>
        <v>0</v>
      </c>
      <c r="S13" s="361">
        <f t="shared" si="7"/>
        <v>0</v>
      </c>
      <c r="T13" s="403">
        <f t="shared" si="8"/>
        <v>0</v>
      </c>
      <c r="U13" s="416">
        <f>VLOOKUP(M13,B.0.ConsumiblesMaquinaria!C$7:D$16,2)</f>
        <v>3.9E-2</v>
      </c>
      <c r="V13" s="359">
        <f t="shared" si="9"/>
        <v>0</v>
      </c>
      <c r="W13" s="359">
        <f>+B.0.ConsumiblesMaquinaria!J$23</f>
        <v>9.879999999999999</v>
      </c>
      <c r="X13" s="359">
        <f t="shared" si="10"/>
        <v>1.93</v>
      </c>
      <c r="Y13" s="358">
        <f>3.29999995231628*Y$102</f>
        <v>2.6399999618530243</v>
      </c>
      <c r="Z13" s="358">
        <f t="shared" si="11"/>
        <v>0</v>
      </c>
      <c r="AA13" s="359">
        <f>+B.0.ConsumiblesMaquinaria!J$22</f>
        <v>1.8</v>
      </c>
      <c r="AB13" s="359">
        <f t="shared" si="12"/>
        <v>0</v>
      </c>
      <c r="AC13" s="363">
        <f t="shared" si="13"/>
        <v>0</v>
      </c>
      <c r="AD13" s="359">
        <f t="shared" si="14"/>
        <v>0</v>
      </c>
      <c r="AE13" s="360">
        <v>180</v>
      </c>
      <c r="AF13" s="358">
        <f t="shared" si="15"/>
        <v>0</v>
      </c>
      <c r="AG13" s="362">
        <f t="shared" si="16"/>
        <v>0</v>
      </c>
      <c r="AH13" s="417">
        <f t="shared" si="17"/>
        <v>0</v>
      </c>
    </row>
    <row r="14" spans="1:36">
      <c r="A14" s="402">
        <v>0</v>
      </c>
      <c r="B14" s="356" t="s">
        <v>491</v>
      </c>
      <c r="C14" s="357" t="s">
        <v>492</v>
      </c>
      <c r="D14" s="357" t="s">
        <v>493</v>
      </c>
      <c r="E14" s="358">
        <v>6250</v>
      </c>
      <c r="F14" s="359"/>
      <c r="G14" s="358">
        <f t="shared" si="0"/>
        <v>880</v>
      </c>
      <c r="H14" s="359">
        <v>8</v>
      </c>
      <c r="I14" s="359"/>
      <c r="J14" s="360">
        <f t="shared" si="1"/>
        <v>2023</v>
      </c>
      <c r="K14" s="360">
        <f t="shared" si="1"/>
        <v>2027</v>
      </c>
      <c r="L14" s="360">
        <f t="shared" si="1"/>
        <v>4</v>
      </c>
      <c r="M14" s="358">
        <v>7</v>
      </c>
      <c r="N14" s="358">
        <f t="shared" si="2"/>
        <v>0</v>
      </c>
      <c r="O14" s="358">
        <f t="shared" si="3"/>
        <v>0</v>
      </c>
      <c r="P14" s="358">
        <f t="shared" si="4"/>
        <v>0</v>
      </c>
      <c r="Q14" s="358">
        <f t="shared" si="5"/>
        <v>0</v>
      </c>
      <c r="R14" s="361">
        <f t="shared" si="6"/>
        <v>0</v>
      </c>
      <c r="S14" s="361">
        <f t="shared" si="7"/>
        <v>0</v>
      </c>
      <c r="T14" s="403">
        <f t="shared" si="8"/>
        <v>0</v>
      </c>
      <c r="U14" s="416">
        <f>VLOOKUP(M14,B.0.ConsumiblesMaquinaria!C$7:D$16,2)</f>
        <v>3.5000000000000003E-2</v>
      </c>
      <c r="V14" s="359">
        <f t="shared" si="9"/>
        <v>0</v>
      </c>
      <c r="W14" s="359">
        <f>+B.0.ConsumiblesMaquinaria!J$24</f>
        <v>4.8</v>
      </c>
      <c r="X14" s="359">
        <f t="shared" si="10"/>
        <v>0.84</v>
      </c>
      <c r="Y14" s="358">
        <f>1*Y$102</f>
        <v>0.8</v>
      </c>
      <c r="Z14" s="358">
        <f t="shared" si="11"/>
        <v>0</v>
      </c>
      <c r="AA14" s="359">
        <f>+B.0.ConsumiblesMaquinaria!J$22</f>
        <v>1.8</v>
      </c>
      <c r="AB14" s="359">
        <f t="shared" si="12"/>
        <v>0</v>
      </c>
      <c r="AC14" s="363">
        <f t="shared" si="13"/>
        <v>0</v>
      </c>
      <c r="AD14" s="359">
        <f t="shared" si="14"/>
        <v>0</v>
      </c>
      <c r="AE14" s="360">
        <v>180</v>
      </c>
      <c r="AF14" s="358">
        <f t="shared" si="15"/>
        <v>0</v>
      </c>
      <c r="AG14" s="362">
        <f t="shared" si="16"/>
        <v>0</v>
      </c>
      <c r="AH14" s="417">
        <f t="shared" si="17"/>
        <v>0</v>
      </c>
    </row>
    <row r="15" spans="1:36">
      <c r="A15" s="402">
        <v>1</v>
      </c>
      <c r="B15" s="356" t="s">
        <v>494</v>
      </c>
      <c r="C15" s="357" t="s">
        <v>492</v>
      </c>
      <c r="D15" s="357" t="s">
        <v>495</v>
      </c>
      <c r="E15" s="358">
        <v>15000</v>
      </c>
      <c r="F15" s="359"/>
      <c r="G15" s="358">
        <f t="shared" si="0"/>
        <v>880</v>
      </c>
      <c r="H15" s="359">
        <v>8</v>
      </c>
      <c r="I15" s="359"/>
      <c r="J15" s="360">
        <f t="shared" si="1"/>
        <v>2023</v>
      </c>
      <c r="K15" s="360">
        <f t="shared" si="1"/>
        <v>2027</v>
      </c>
      <c r="L15" s="360">
        <f t="shared" si="1"/>
        <v>4</v>
      </c>
      <c r="M15" s="358">
        <v>15</v>
      </c>
      <c r="N15" s="358">
        <f t="shared" si="2"/>
        <v>15000</v>
      </c>
      <c r="O15" s="358">
        <f t="shared" si="3"/>
        <v>1875</v>
      </c>
      <c r="P15" s="358">
        <f t="shared" si="4"/>
        <v>93.75</v>
      </c>
      <c r="Q15" s="358">
        <f t="shared" si="5"/>
        <v>56.25</v>
      </c>
      <c r="R15" s="361">
        <f t="shared" si="6"/>
        <v>7500</v>
      </c>
      <c r="S15" s="361">
        <f t="shared" si="7"/>
        <v>2025</v>
      </c>
      <c r="T15" s="403">
        <f t="shared" si="8"/>
        <v>2025</v>
      </c>
      <c r="U15" s="416">
        <f>VLOOKUP(M15,B.0.ConsumiblesMaquinaria!C$7:D$16,2)</f>
        <v>3.5000000000000003E-2</v>
      </c>
      <c r="V15" s="359">
        <f t="shared" si="9"/>
        <v>30.800000000000004</v>
      </c>
      <c r="W15" s="359">
        <f>+B.0.ConsumiblesMaquinaria!J$24</f>
        <v>4.8</v>
      </c>
      <c r="X15" s="359">
        <f t="shared" si="10"/>
        <v>0.84</v>
      </c>
      <c r="Y15" s="358">
        <f>1*Y$102</f>
        <v>0.8</v>
      </c>
      <c r="Z15" s="358">
        <f t="shared" si="11"/>
        <v>704</v>
      </c>
      <c r="AA15" s="359">
        <f>+B.0.ConsumiblesMaquinaria!J$22</f>
        <v>1.8</v>
      </c>
      <c r="AB15" s="359">
        <f t="shared" si="12"/>
        <v>7.2</v>
      </c>
      <c r="AC15" s="363">
        <f t="shared" si="13"/>
        <v>1.5</v>
      </c>
      <c r="AD15" s="359">
        <f t="shared" si="14"/>
        <v>9.5399999999999991</v>
      </c>
      <c r="AE15" s="360">
        <v>180</v>
      </c>
      <c r="AF15" s="358">
        <f t="shared" si="15"/>
        <v>1717.1999999999998</v>
      </c>
      <c r="AG15" s="362">
        <f t="shared" si="16"/>
        <v>1717.1999999999998</v>
      </c>
      <c r="AH15" s="417">
        <f t="shared" si="17"/>
        <v>3742.2</v>
      </c>
    </row>
    <row r="16" spans="1:36">
      <c r="A16" s="402">
        <v>10</v>
      </c>
      <c r="B16" s="356" t="s">
        <v>496</v>
      </c>
      <c r="C16" s="357" t="s">
        <v>492</v>
      </c>
      <c r="D16" s="357" t="s">
        <v>497</v>
      </c>
      <c r="E16" s="358">
        <v>805</v>
      </c>
      <c r="F16" s="359"/>
      <c r="G16" s="358">
        <f t="shared" si="0"/>
        <v>880</v>
      </c>
      <c r="H16" s="359">
        <v>4</v>
      </c>
      <c r="I16" s="359"/>
      <c r="J16" s="360">
        <f t="shared" si="1"/>
        <v>2023</v>
      </c>
      <c r="K16" s="360">
        <f t="shared" si="1"/>
        <v>2027</v>
      </c>
      <c r="L16" s="360">
        <f t="shared" si="1"/>
        <v>4</v>
      </c>
      <c r="M16" s="358">
        <v>1.8999999761581401</v>
      </c>
      <c r="N16" s="358">
        <f t="shared" si="2"/>
        <v>8050</v>
      </c>
      <c r="O16" s="358">
        <f t="shared" si="3"/>
        <v>201.25</v>
      </c>
      <c r="P16" s="358">
        <f t="shared" si="4"/>
        <v>10.0625</v>
      </c>
      <c r="Q16" s="358">
        <f t="shared" si="5"/>
        <v>6.0374999999999996</v>
      </c>
      <c r="R16" s="361">
        <f t="shared" si="6"/>
        <v>0</v>
      </c>
      <c r="S16" s="361">
        <f t="shared" si="7"/>
        <v>217.35</v>
      </c>
      <c r="T16" s="403">
        <f t="shared" si="8"/>
        <v>2173.5</v>
      </c>
      <c r="U16" s="416">
        <f>VLOOKUP(M16,B.0.ConsumiblesMaquinaria!C$7:D$16,2)</f>
        <v>3.5000000000000003E-2</v>
      </c>
      <c r="V16" s="359">
        <f t="shared" si="9"/>
        <v>30.800000000000004</v>
      </c>
      <c r="W16" s="359">
        <f>+B.0.ConsumiblesMaquinaria!J$24</f>
        <v>4.8</v>
      </c>
      <c r="X16" s="359">
        <f>+ROUND(U16*AI$1*W16,2)</f>
        <v>0.84</v>
      </c>
      <c r="Y16" s="358">
        <f>0.400000005960464*Y$102</f>
        <v>0.3200000047683712</v>
      </c>
      <c r="Z16" s="358">
        <f t="shared" si="11"/>
        <v>281.60000000000002</v>
      </c>
      <c r="AA16" s="359">
        <f>+B.0.ConsumiblesMaquinaria!J$22</f>
        <v>1.8</v>
      </c>
      <c r="AB16" s="359">
        <f t="shared" si="12"/>
        <v>2.88</v>
      </c>
      <c r="AC16" s="363">
        <f t="shared" si="13"/>
        <v>8.0500000000000002E-2</v>
      </c>
      <c r="AD16" s="359">
        <f t="shared" si="14"/>
        <v>3.8004999999999995</v>
      </c>
      <c r="AE16" s="360">
        <v>180</v>
      </c>
      <c r="AF16" s="358">
        <f t="shared" si="15"/>
        <v>684.08999999999992</v>
      </c>
      <c r="AG16" s="362">
        <f t="shared" si="16"/>
        <v>6840.9</v>
      </c>
      <c r="AH16" s="417">
        <f t="shared" si="17"/>
        <v>9014.4</v>
      </c>
    </row>
    <row r="17" spans="1:34">
      <c r="A17" s="402">
        <v>1</v>
      </c>
      <c r="B17" s="356" t="s">
        <v>498</v>
      </c>
      <c r="C17" s="357" t="s">
        <v>492</v>
      </c>
      <c r="D17" s="357" t="s">
        <v>499</v>
      </c>
      <c r="E17" s="358">
        <v>1062.5</v>
      </c>
      <c r="F17" s="359"/>
      <c r="G17" s="358">
        <f t="shared" si="0"/>
        <v>880</v>
      </c>
      <c r="H17" s="359">
        <v>2</v>
      </c>
      <c r="I17" s="359"/>
      <c r="J17" s="360">
        <f t="shared" si="1"/>
        <v>2023</v>
      </c>
      <c r="K17" s="360">
        <f t="shared" si="1"/>
        <v>2027</v>
      </c>
      <c r="L17" s="360">
        <f t="shared" si="1"/>
        <v>4</v>
      </c>
      <c r="M17" s="358">
        <v>3.8</v>
      </c>
      <c r="N17" s="358">
        <f t="shared" si="2"/>
        <v>1062.5</v>
      </c>
      <c r="O17" s="358">
        <f t="shared" si="3"/>
        <v>531.25</v>
      </c>
      <c r="P17" s="358">
        <f t="shared" si="4"/>
        <v>26.5625</v>
      </c>
      <c r="Q17" s="358">
        <f t="shared" si="5"/>
        <v>15.9375</v>
      </c>
      <c r="R17" s="361">
        <f t="shared" si="6"/>
        <v>0</v>
      </c>
      <c r="S17" s="361">
        <f t="shared" si="7"/>
        <v>573.75</v>
      </c>
      <c r="T17" s="403">
        <f t="shared" si="8"/>
        <v>573.75</v>
      </c>
      <c r="U17" s="416">
        <f>VLOOKUP(M17,B.0.ConsumiblesMaquinaria!C$7:D$16,2)</f>
        <v>3.5000000000000003E-2</v>
      </c>
      <c r="V17" s="359">
        <f t="shared" si="9"/>
        <v>30.800000000000004</v>
      </c>
      <c r="W17" s="359">
        <f>+B.0.ConsumiblesMaquinaria!J$24</f>
        <v>4.8</v>
      </c>
      <c r="X17" s="359">
        <f>+ROUND(U17*AI$1*W17,2)</f>
        <v>0.84</v>
      </c>
      <c r="Y17" s="358">
        <f>0.45*Y$102</f>
        <v>0.36000000000000004</v>
      </c>
      <c r="Z17" s="358">
        <f t="shared" si="11"/>
        <v>316.8</v>
      </c>
      <c r="AA17" s="359">
        <f>+B.0.ConsumiblesMaquinaria!J$22</f>
        <v>1.8</v>
      </c>
      <c r="AB17" s="359">
        <f t="shared" si="12"/>
        <v>3.24</v>
      </c>
      <c r="AC17" s="363">
        <f t="shared" si="13"/>
        <v>0.10625000000000001</v>
      </c>
      <c r="AD17" s="359">
        <f t="shared" si="14"/>
        <v>4.1862500000000002</v>
      </c>
      <c r="AE17" s="360">
        <v>180</v>
      </c>
      <c r="AF17" s="358">
        <f t="shared" si="15"/>
        <v>753.52500000000009</v>
      </c>
      <c r="AG17" s="362">
        <f t="shared" si="16"/>
        <v>753.52500000000009</v>
      </c>
      <c r="AH17" s="417">
        <f t="shared" si="17"/>
        <v>1327.2750000000001</v>
      </c>
    </row>
    <row r="18" spans="1:34">
      <c r="A18" s="402">
        <v>0</v>
      </c>
      <c r="B18" s="356" t="s">
        <v>500</v>
      </c>
      <c r="C18" s="357" t="s">
        <v>492</v>
      </c>
      <c r="D18" s="357" t="s">
        <v>501</v>
      </c>
      <c r="E18" s="358">
        <v>1061.25</v>
      </c>
      <c r="F18" s="359"/>
      <c r="G18" s="358">
        <f t="shared" si="0"/>
        <v>880</v>
      </c>
      <c r="H18" s="359">
        <v>4</v>
      </c>
      <c r="I18" s="359"/>
      <c r="J18" s="360">
        <f t="shared" si="1"/>
        <v>2023</v>
      </c>
      <c r="K18" s="360">
        <f t="shared" si="1"/>
        <v>2027</v>
      </c>
      <c r="L18" s="360">
        <f t="shared" si="1"/>
        <v>4</v>
      </c>
      <c r="M18" s="358">
        <v>3</v>
      </c>
      <c r="N18" s="358">
        <f t="shared" si="2"/>
        <v>0</v>
      </c>
      <c r="O18" s="358">
        <f t="shared" si="3"/>
        <v>0</v>
      </c>
      <c r="P18" s="358">
        <f t="shared" si="4"/>
        <v>0</v>
      </c>
      <c r="Q18" s="358">
        <f t="shared" si="5"/>
        <v>0</v>
      </c>
      <c r="R18" s="361">
        <f t="shared" si="6"/>
        <v>0</v>
      </c>
      <c r="S18" s="361">
        <f t="shared" si="7"/>
        <v>0</v>
      </c>
      <c r="T18" s="403">
        <f t="shared" si="8"/>
        <v>0</v>
      </c>
      <c r="U18" s="416">
        <f>VLOOKUP(M18,B.0.ConsumiblesMaquinaria!C$7:D$16,2)</f>
        <v>3.5000000000000003E-2</v>
      </c>
      <c r="V18" s="359">
        <f t="shared" si="9"/>
        <v>0</v>
      </c>
      <c r="W18" s="359">
        <f>+B.0.ConsumiblesMaquinaria!J$24</f>
        <v>4.8</v>
      </c>
      <c r="X18" s="359">
        <f t="shared" si="10"/>
        <v>0.84</v>
      </c>
      <c r="Y18" s="358">
        <f>0.600000023841857*Y$102</f>
        <v>0.48000001907348566</v>
      </c>
      <c r="Z18" s="358">
        <f t="shared" si="11"/>
        <v>0</v>
      </c>
      <c r="AA18" s="359">
        <f>+B.0.ConsumiblesMaquinaria!J$22</f>
        <v>1.8</v>
      </c>
      <c r="AB18" s="359">
        <f t="shared" si="12"/>
        <v>0</v>
      </c>
      <c r="AC18" s="363">
        <f t="shared" si="13"/>
        <v>0</v>
      </c>
      <c r="AD18" s="359">
        <f t="shared" si="14"/>
        <v>0</v>
      </c>
      <c r="AE18" s="360">
        <v>180</v>
      </c>
      <c r="AF18" s="358">
        <f t="shared" si="15"/>
        <v>0</v>
      </c>
      <c r="AG18" s="362">
        <f t="shared" si="16"/>
        <v>0</v>
      </c>
      <c r="AH18" s="417">
        <f t="shared" si="17"/>
        <v>0</v>
      </c>
    </row>
    <row r="19" spans="1:34">
      <c r="A19" s="402">
        <v>5</v>
      </c>
      <c r="B19" s="356" t="s">
        <v>502</v>
      </c>
      <c r="C19" s="357" t="s">
        <v>492</v>
      </c>
      <c r="D19" s="357" t="s">
        <v>503</v>
      </c>
      <c r="E19" s="358">
        <v>236.25</v>
      </c>
      <c r="F19" s="359"/>
      <c r="G19" s="358">
        <f t="shared" si="0"/>
        <v>880</v>
      </c>
      <c r="H19" s="359">
        <v>2</v>
      </c>
      <c r="I19" s="359"/>
      <c r="J19" s="360">
        <f t="shared" si="1"/>
        <v>2023</v>
      </c>
      <c r="K19" s="360">
        <f t="shared" si="1"/>
        <v>2027</v>
      </c>
      <c r="L19" s="360">
        <f t="shared" si="1"/>
        <v>4</v>
      </c>
      <c r="M19" s="358">
        <v>1</v>
      </c>
      <c r="N19" s="358">
        <f t="shared" si="2"/>
        <v>1181.25</v>
      </c>
      <c r="O19" s="358">
        <f t="shared" si="3"/>
        <v>118.125</v>
      </c>
      <c r="P19" s="358">
        <f t="shared" si="4"/>
        <v>5.90625</v>
      </c>
      <c r="Q19" s="358">
        <f t="shared" si="5"/>
        <v>3.5437499999999997</v>
      </c>
      <c r="R19" s="361">
        <f t="shared" si="6"/>
        <v>0</v>
      </c>
      <c r="S19" s="361">
        <f t="shared" si="7"/>
        <v>127.575</v>
      </c>
      <c r="T19" s="403">
        <f t="shared" si="8"/>
        <v>637.875</v>
      </c>
      <c r="U19" s="416">
        <f>VLOOKUP(M19,B.0.ConsumiblesMaquinaria!C$7:D$16,2)</f>
        <v>3.5000000000000003E-2</v>
      </c>
      <c r="V19" s="359">
        <f t="shared" si="9"/>
        <v>30.800000000000004</v>
      </c>
      <c r="W19" s="359">
        <f>+B.0.ConsumiblesMaquinaria!J$24</f>
        <v>4.8</v>
      </c>
      <c r="X19" s="359">
        <f t="shared" si="10"/>
        <v>0.84</v>
      </c>
      <c r="Y19" s="358">
        <f>0.400000005960464*Y$102</f>
        <v>0.3200000047683712</v>
      </c>
      <c r="Z19" s="358">
        <f t="shared" si="11"/>
        <v>281.60000000000002</v>
      </c>
      <c r="AA19" s="359">
        <f>+B.0.ConsumiblesMaquinaria!J$22</f>
        <v>1.8</v>
      </c>
      <c r="AB19" s="359">
        <f t="shared" si="12"/>
        <v>2.88</v>
      </c>
      <c r="AC19" s="363">
        <f t="shared" si="13"/>
        <v>2.3625E-2</v>
      </c>
      <c r="AD19" s="359">
        <f t="shared" si="14"/>
        <v>3.7436249999999998</v>
      </c>
      <c r="AE19" s="360">
        <v>180</v>
      </c>
      <c r="AF19" s="358">
        <f t="shared" si="15"/>
        <v>673.85249999999996</v>
      </c>
      <c r="AG19" s="362">
        <f t="shared" si="16"/>
        <v>3369.2624999999998</v>
      </c>
      <c r="AH19" s="417">
        <f t="shared" si="17"/>
        <v>4007.1374999999998</v>
      </c>
    </row>
    <row r="20" spans="1:34">
      <c r="A20" s="402">
        <v>0</v>
      </c>
      <c r="B20" s="356" t="s">
        <v>504</v>
      </c>
      <c r="C20" s="357" t="s">
        <v>492</v>
      </c>
      <c r="D20" s="357" t="s">
        <v>503</v>
      </c>
      <c r="E20" s="358">
        <v>1500</v>
      </c>
      <c r="F20" s="359"/>
      <c r="G20" s="358">
        <f>22*6*AI$1</f>
        <v>660</v>
      </c>
      <c r="H20" s="359">
        <v>6</v>
      </c>
      <c r="I20" s="359"/>
      <c r="J20" s="360">
        <f t="shared" si="1"/>
        <v>2023</v>
      </c>
      <c r="K20" s="360">
        <f t="shared" si="1"/>
        <v>2027</v>
      </c>
      <c r="L20" s="360">
        <f t="shared" si="1"/>
        <v>4</v>
      </c>
      <c r="M20" s="358">
        <v>1.5</v>
      </c>
      <c r="N20" s="358">
        <f t="shared" si="2"/>
        <v>0</v>
      </c>
      <c r="O20" s="358">
        <f t="shared" si="3"/>
        <v>0</v>
      </c>
      <c r="P20" s="358">
        <f t="shared" si="4"/>
        <v>0</v>
      </c>
      <c r="Q20" s="358">
        <f t="shared" si="5"/>
        <v>0</v>
      </c>
      <c r="R20" s="361">
        <f t="shared" si="6"/>
        <v>0</v>
      </c>
      <c r="S20" s="361">
        <f t="shared" si="7"/>
        <v>0</v>
      </c>
      <c r="T20" s="403">
        <f t="shared" si="8"/>
        <v>0</v>
      </c>
      <c r="U20" s="416">
        <f>VLOOKUP(M20,B.0.ConsumiblesMaquinaria!C$7:D$16,2)</f>
        <v>3.5000000000000003E-2</v>
      </c>
      <c r="V20" s="359">
        <f t="shared" si="9"/>
        <v>0</v>
      </c>
      <c r="W20" s="359">
        <f>+B.0.ConsumiblesMaquinaria!J$24</f>
        <v>4.8</v>
      </c>
      <c r="X20" s="359">
        <f>+ROUND(U20*AI$1*W20,2)</f>
        <v>0.84</v>
      </c>
      <c r="Y20" s="358">
        <f>1*Y$102</f>
        <v>0.8</v>
      </c>
      <c r="Z20" s="358">
        <f t="shared" si="11"/>
        <v>0</v>
      </c>
      <c r="AA20" s="359">
        <f>+B.0.ConsumiblesMaquinaria!J$22</f>
        <v>1.8</v>
      </c>
      <c r="AB20" s="359">
        <f t="shared" si="12"/>
        <v>0</v>
      </c>
      <c r="AC20" s="363">
        <f t="shared" si="13"/>
        <v>0</v>
      </c>
      <c r="AD20" s="359">
        <f t="shared" si="14"/>
        <v>0</v>
      </c>
      <c r="AE20" s="360">
        <v>180</v>
      </c>
      <c r="AF20" s="358">
        <f t="shared" si="15"/>
        <v>0</v>
      </c>
      <c r="AG20" s="362">
        <f t="shared" si="16"/>
        <v>0</v>
      </c>
      <c r="AH20" s="417">
        <f t="shared" si="17"/>
        <v>0</v>
      </c>
    </row>
    <row r="21" spans="1:34">
      <c r="A21" s="402">
        <v>0</v>
      </c>
      <c r="B21" s="356" t="s">
        <v>505</v>
      </c>
      <c r="C21" s="357" t="s">
        <v>492</v>
      </c>
      <c r="D21" s="357" t="s">
        <v>506</v>
      </c>
      <c r="E21" s="358">
        <v>7780</v>
      </c>
      <c r="F21" s="359"/>
      <c r="G21" s="358">
        <f>22*3*AI$1</f>
        <v>330</v>
      </c>
      <c r="H21" s="359">
        <v>8</v>
      </c>
      <c r="I21" s="359"/>
      <c r="J21" s="360">
        <f t="shared" si="1"/>
        <v>2023</v>
      </c>
      <c r="K21" s="360">
        <f t="shared" si="1"/>
        <v>2027</v>
      </c>
      <c r="L21" s="360">
        <f t="shared" si="1"/>
        <v>4</v>
      </c>
      <c r="M21" s="358">
        <v>6</v>
      </c>
      <c r="N21" s="358">
        <f t="shared" si="2"/>
        <v>0</v>
      </c>
      <c r="O21" s="358">
        <f t="shared" si="3"/>
        <v>0</v>
      </c>
      <c r="P21" s="358">
        <f t="shared" si="4"/>
        <v>0</v>
      </c>
      <c r="Q21" s="358">
        <f t="shared" si="5"/>
        <v>0</v>
      </c>
      <c r="R21" s="361">
        <f t="shared" si="6"/>
        <v>0</v>
      </c>
      <c r="S21" s="361">
        <f t="shared" si="7"/>
        <v>0</v>
      </c>
      <c r="T21" s="403">
        <f t="shared" si="8"/>
        <v>0</v>
      </c>
      <c r="U21" s="416">
        <f>VLOOKUP(M21,B.0.ConsumiblesMaquinaria!C$7:D$16,2)</f>
        <v>3.5000000000000003E-2</v>
      </c>
      <c r="V21" s="359">
        <f t="shared" si="9"/>
        <v>0</v>
      </c>
      <c r="W21" s="359">
        <f>+B.0.ConsumiblesMaquinaria!J$24</f>
        <v>4.8</v>
      </c>
      <c r="X21" s="359">
        <f t="shared" si="10"/>
        <v>0.84</v>
      </c>
      <c r="Y21" s="358">
        <f>0.400000005960464*Y$102</f>
        <v>0.3200000047683712</v>
      </c>
      <c r="Z21" s="358">
        <f t="shared" si="11"/>
        <v>0</v>
      </c>
      <c r="AA21" s="359">
        <f>+B.0.ConsumiblesMaquinaria!J$22</f>
        <v>1.8</v>
      </c>
      <c r="AB21" s="359">
        <f t="shared" si="12"/>
        <v>0</v>
      </c>
      <c r="AC21" s="363">
        <f t="shared" si="13"/>
        <v>0</v>
      </c>
      <c r="AD21" s="359">
        <f t="shared" si="14"/>
        <v>0</v>
      </c>
      <c r="AE21" s="360">
        <v>180</v>
      </c>
      <c r="AF21" s="358">
        <f t="shared" si="15"/>
        <v>0</v>
      </c>
      <c r="AG21" s="362">
        <f t="shared" si="16"/>
        <v>0</v>
      </c>
      <c r="AH21" s="417">
        <f t="shared" si="17"/>
        <v>0</v>
      </c>
    </row>
    <row r="22" spans="1:34">
      <c r="A22" s="402">
        <v>0</v>
      </c>
      <c r="B22" s="356" t="s">
        <v>507</v>
      </c>
      <c r="C22" s="357" t="s">
        <v>492</v>
      </c>
      <c r="D22" s="357" t="s">
        <v>508</v>
      </c>
      <c r="E22" s="358">
        <v>2625</v>
      </c>
      <c r="F22" s="359"/>
      <c r="G22" s="358">
        <f>22*3*AI$1</f>
        <v>330</v>
      </c>
      <c r="H22" s="359">
        <v>2</v>
      </c>
      <c r="I22" s="359"/>
      <c r="J22" s="360">
        <f t="shared" si="1"/>
        <v>2023</v>
      </c>
      <c r="K22" s="360">
        <f t="shared" si="1"/>
        <v>2027</v>
      </c>
      <c r="L22" s="360">
        <f t="shared" si="1"/>
        <v>4</v>
      </c>
      <c r="M22" s="358">
        <v>5</v>
      </c>
      <c r="N22" s="358">
        <f t="shared" si="2"/>
        <v>0</v>
      </c>
      <c r="O22" s="358">
        <f t="shared" si="3"/>
        <v>0</v>
      </c>
      <c r="P22" s="358">
        <f t="shared" si="4"/>
        <v>0</v>
      </c>
      <c r="Q22" s="358">
        <f t="shared" si="5"/>
        <v>0</v>
      </c>
      <c r="R22" s="361">
        <f t="shared" si="6"/>
        <v>0</v>
      </c>
      <c r="S22" s="361">
        <f t="shared" si="7"/>
        <v>0</v>
      </c>
      <c r="T22" s="403">
        <f t="shared" si="8"/>
        <v>0</v>
      </c>
      <c r="U22" s="416">
        <f>VLOOKUP(M22,B.0.ConsumiblesMaquinaria!C$7:D$16,2)</f>
        <v>3.5000000000000003E-2</v>
      </c>
      <c r="V22" s="359">
        <f t="shared" si="9"/>
        <v>0</v>
      </c>
      <c r="W22" s="359">
        <f>+B.0.ConsumiblesMaquinaria!J$24</f>
        <v>4.8</v>
      </c>
      <c r="X22" s="359">
        <f t="shared" si="10"/>
        <v>0.84</v>
      </c>
      <c r="Y22" s="358">
        <f>0.5*Y$102</f>
        <v>0.4</v>
      </c>
      <c r="Z22" s="358">
        <f t="shared" si="11"/>
        <v>0</v>
      </c>
      <c r="AA22" s="359">
        <f>+B.0.ConsumiblesMaquinaria!J$22</f>
        <v>1.8</v>
      </c>
      <c r="AB22" s="359">
        <f t="shared" si="12"/>
        <v>0</v>
      </c>
      <c r="AC22" s="363">
        <f t="shared" si="13"/>
        <v>0</v>
      </c>
      <c r="AD22" s="359">
        <f t="shared" si="14"/>
        <v>0</v>
      </c>
      <c r="AE22" s="360">
        <v>180</v>
      </c>
      <c r="AF22" s="358">
        <f t="shared" si="15"/>
        <v>0</v>
      </c>
      <c r="AG22" s="362">
        <f t="shared" si="16"/>
        <v>0</v>
      </c>
      <c r="AH22" s="417">
        <f t="shared" si="17"/>
        <v>0</v>
      </c>
    </row>
    <row r="23" spans="1:34">
      <c r="A23" s="402">
        <v>0</v>
      </c>
      <c r="B23" s="356" t="s">
        <v>509</v>
      </c>
      <c r="C23" s="357" t="s">
        <v>492</v>
      </c>
      <c r="D23" s="357" t="s">
        <v>482</v>
      </c>
      <c r="E23" s="358">
        <v>2625</v>
      </c>
      <c r="F23" s="359"/>
      <c r="G23" s="358">
        <f>22*4*AI$1</f>
        <v>440</v>
      </c>
      <c r="H23" s="359">
        <v>6</v>
      </c>
      <c r="I23" s="359"/>
      <c r="J23" s="360">
        <f t="shared" si="1"/>
        <v>2023</v>
      </c>
      <c r="K23" s="360">
        <f t="shared" si="1"/>
        <v>2027</v>
      </c>
      <c r="L23" s="360">
        <f t="shared" si="1"/>
        <v>4</v>
      </c>
      <c r="M23" s="358">
        <v>7</v>
      </c>
      <c r="N23" s="358">
        <f t="shared" si="2"/>
        <v>0</v>
      </c>
      <c r="O23" s="358">
        <f t="shared" si="3"/>
        <v>0</v>
      </c>
      <c r="P23" s="358">
        <f t="shared" si="4"/>
        <v>0</v>
      </c>
      <c r="Q23" s="358">
        <f t="shared" si="5"/>
        <v>0</v>
      </c>
      <c r="R23" s="361">
        <f t="shared" si="6"/>
        <v>0</v>
      </c>
      <c r="S23" s="361">
        <f t="shared" si="7"/>
        <v>0</v>
      </c>
      <c r="T23" s="403">
        <f t="shared" si="8"/>
        <v>0</v>
      </c>
      <c r="U23" s="416">
        <f>VLOOKUP(M23,B.0.ConsumiblesMaquinaria!C$7:D$16,2)</f>
        <v>3.5000000000000003E-2</v>
      </c>
      <c r="V23" s="359">
        <f t="shared" si="9"/>
        <v>0</v>
      </c>
      <c r="W23" s="359">
        <f>+B.0.ConsumiblesMaquinaria!J$24</f>
        <v>4.8</v>
      </c>
      <c r="X23" s="359">
        <f>+ROUND(U23*AI$1*W23,2)</f>
        <v>0.84</v>
      </c>
      <c r="Y23" s="358">
        <f>0.5*Y$102</f>
        <v>0.4</v>
      </c>
      <c r="Z23" s="358">
        <f t="shared" si="11"/>
        <v>0</v>
      </c>
      <c r="AA23" s="359">
        <f>+B.0.ConsumiblesMaquinaria!J$22</f>
        <v>1.8</v>
      </c>
      <c r="AB23" s="359">
        <f t="shared" si="12"/>
        <v>0</v>
      </c>
      <c r="AC23" s="363">
        <f t="shared" si="13"/>
        <v>0</v>
      </c>
      <c r="AD23" s="359">
        <f t="shared" si="14"/>
        <v>0</v>
      </c>
      <c r="AE23" s="360">
        <v>180</v>
      </c>
      <c r="AF23" s="358">
        <f t="shared" si="15"/>
        <v>0</v>
      </c>
      <c r="AG23" s="362">
        <f t="shared" si="16"/>
        <v>0</v>
      </c>
      <c r="AH23" s="417">
        <f t="shared" si="17"/>
        <v>0</v>
      </c>
    </row>
    <row r="24" spans="1:34">
      <c r="A24" s="402">
        <v>0</v>
      </c>
      <c r="B24" s="356" t="s">
        <v>510</v>
      </c>
      <c r="C24" s="357"/>
      <c r="D24" s="357" t="s">
        <v>511</v>
      </c>
      <c r="E24" s="358">
        <v>2187.5</v>
      </c>
      <c r="F24" s="359"/>
      <c r="G24" s="358">
        <f>22*2*AI$1</f>
        <v>220</v>
      </c>
      <c r="H24" s="359">
        <v>2</v>
      </c>
      <c r="I24" s="359"/>
      <c r="J24" s="360">
        <f t="shared" si="1"/>
        <v>2023</v>
      </c>
      <c r="K24" s="360">
        <f t="shared" si="1"/>
        <v>2027</v>
      </c>
      <c r="L24" s="360">
        <f t="shared" si="1"/>
        <v>4</v>
      </c>
      <c r="M24" s="358">
        <v>1</v>
      </c>
      <c r="N24" s="358">
        <f t="shared" si="2"/>
        <v>0</v>
      </c>
      <c r="O24" s="358">
        <f t="shared" si="3"/>
        <v>0</v>
      </c>
      <c r="P24" s="358">
        <f t="shared" si="4"/>
        <v>0</v>
      </c>
      <c r="Q24" s="358">
        <f t="shared" si="5"/>
        <v>0</v>
      </c>
      <c r="R24" s="361">
        <f t="shared" si="6"/>
        <v>0</v>
      </c>
      <c r="S24" s="361">
        <f t="shared" si="7"/>
        <v>0</v>
      </c>
      <c r="T24" s="403">
        <f t="shared" si="8"/>
        <v>0</v>
      </c>
      <c r="U24" s="416">
        <v>0</v>
      </c>
      <c r="V24" s="359">
        <f t="shared" si="9"/>
        <v>0</v>
      </c>
      <c r="W24" s="359">
        <v>0</v>
      </c>
      <c r="X24" s="359">
        <f t="shared" si="10"/>
        <v>0</v>
      </c>
      <c r="Y24" s="358">
        <f>1.5*Y$102</f>
        <v>1.2000000000000002</v>
      </c>
      <c r="Z24" s="358">
        <f t="shared" si="11"/>
        <v>0</v>
      </c>
      <c r="AA24" s="359">
        <f>+B.0.ConsumiblesMaquinaria!J$22</f>
        <v>1.8</v>
      </c>
      <c r="AB24" s="359">
        <f t="shared" si="12"/>
        <v>0</v>
      </c>
      <c r="AC24" s="363">
        <f t="shared" si="13"/>
        <v>0</v>
      </c>
      <c r="AD24" s="359">
        <f t="shared" si="14"/>
        <v>0</v>
      </c>
      <c r="AE24" s="360">
        <v>180</v>
      </c>
      <c r="AF24" s="358">
        <f t="shared" si="15"/>
        <v>0</v>
      </c>
      <c r="AG24" s="362">
        <f t="shared" si="16"/>
        <v>0</v>
      </c>
      <c r="AH24" s="417">
        <f t="shared" si="17"/>
        <v>0</v>
      </c>
    </row>
    <row r="25" spans="1:34">
      <c r="A25" s="404">
        <v>0</v>
      </c>
      <c r="B25" s="405" t="s">
        <v>512</v>
      </c>
      <c r="C25" s="406"/>
      <c r="D25" s="406" t="s">
        <v>513</v>
      </c>
      <c r="E25" s="407">
        <v>1112.5</v>
      </c>
      <c r="F25" s="408"/>
      <c r="G25" s="407">
        <f>22*2*AI$1</f>
        <v>220</v>
      </c>
      <c r="H25" s="408">
        <v>2</v>
      </c>
      <c r="I25" s="408"/>
      <c r="J25" s="409">
        <f t="shared" si="1"/>
        <v>2023</v>
      </c>
      <c r="K25" s="409">
        <f t="shared" si="1"/>
        <v>2027</v>
      </c>
      <c r="L25" s="409">
        <f t="shared" si="1"/>
        <v>4</v>
      </c>
      <c r="M25" s="407">
        <v>0</v>
      </c>
      <c r="N25" s="407">
        <f t="shared" si="2"/>
        <v>0</v>
      </c>
      <c r="O25" s="407">
        <f t="shared" si="3"/>
        <v>0</v>
      </c>
      <c r="P25" s="407">
        <f t="shared" si="4"/>
        <v>0</v>
      </c>
      <c r="Q25" s="407">
        <f t="shared" si="5"/>
        <v>0</v>
      </c>
      <c r="R25" s="410">
        <f t="shared" si="6"/>
        <v>0</v>
      </c>
      <c r="S25" s="410">
        <f t="shared" si="7"/>
        <v>0</v>
      </c>
      <c r="T25" s="411">
        <f t="shared" si="8"/>
        <v>0</v>
      </c>
      <c r="U25" s="418">
        <v>0</v>
      </c>
      <c r="V25" s="408">
        <f t="shared" si="9"/>
        <v>0</v>
      </c>
      <c r="W25" s="408">
        <v>0</v>
      </c>
      <c r="X25" s="408">
        <f t="shared" si="10"/>
        <v>0</v>
      </c>
      <c r="Y25" s="407">
        <f>0*Y$102</f>
        <v>0</v>
      </c>
      <c r="Z25" s="407">
        <f t="shared" si="11"/>
        <v>0</v>
      </c>
      <c r="AA25" s="408">
        <f>+B.0.ConsumiblesMaquinaria!J$22</f>
        <v>1.8</v>
      </c>
      <c r="AB25" s="408">
        <f t="shared" si="12"/>
        <v>0</v>
      </c>
      <c r="AC25" s="419">
        <f t="shared" si="13"/>
        <v>0</v>
      </c>
      <c r="AD25" s="408">
        <f t="shared" si="14"/>
        <v>0</v>
      </c>
      <c r="AE25" s="409">
        <v>180</v>
      </c>
      <c r="AF25" s="407">
        <f t="shared" si="15"/>
        <v>0</v>
      </c>
      <c r="AG25" s="420">
        <f t="shared" si="16"/>
        <v>0</v>
      </c>
      <c r="AH25" s="421">
        <f t="shared" si="17"/>
        <v>0</v>
      </c>
    </row>
    <row r="26" spans="1:34">
      <c r="A26" s="696" t="s">
        <v>514</v>
      </c>
      <c r="B26" s="697"/>
      <c r="C26" s="697"/>
      <c r="D26" s="344"/>
      <c r="E26" s="344"/>
      <c r="F26" s="344"/>
      <c r="G26" s="344"/>
      <c r="H26" s="344"/>
      <c r="I26" s="344"/>
      <c r="J26" s="424"/>
      <c r="K26" s="424"/>
      <c r="L26" s="42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425"/>
    </row>
    <row r="27" spans="1:34">
      <c r="A27" s="394">
        <v>0</v>
      </c>
      <c r="B27" s="395" t="s">
        <v>515</v>
      </c>
      <c r="C27" s="396" t="s">
        <v>481</v>
      </c>
      <c r="D27" s="396" t="s">
        <v>516</v>
      </c>
      <c r="E27" s="397">
        <v>862.5</v>
      </c>
      <c r="F27" s="398"/>
      <c r="G27" s="397">
        <f>22*4*AI$1</f>
        <v>440</v>
      </c>
      <c r="H27" s="398">
        <v>4</v>
      </c>
      <c r="I27" s="398"/>
      <c r="J27" s="399">
        <f t="shared" ref="J27:L30" si="18">J$4</f>
        <v>2023</v>
      </c>
      <c r="K27" s="399">
        <f t="shared" si="18"/>
        <v>2027</v>
      </c>
      <c r="L27" s="399">
        <f t="shared" si="18"/>
        <v>4</v>
      </c>
      <c r="M27" s="397">
        <v>2</v>
      </c>
      <c r="N27" s="397">
        <f t="shared" si="2"/>
        <v>0</v>
      </c>
      <c r="O27" s="397">
        <f t="shared" ref="O27:O30" si="19">IF(A27&gt;0,E27/H27,0)</f>
        <v>0</v>
      </c>
      <c r="P27" s="397">
        <f t="shared" si="4"/>
        <v>0</v>
      </c>
      <c r="Q27" s="397">
        <f t="shared" si="5"/>
        <v>0</v>
      </c>
      <c r="R27" s="400">
        <f t="shared" si="6"/>
        <v>0</v>
      </c>
      <c r="S27" s="400">
        <f t="shared" ref="S27:S30" si="20">IF(A27&gt;0,(O27+P27+Q27),0)</f>
        <v>0</v>
      </c>
      <c r="T27" s="401">
        <f t="shared" ref="T27:T30" si="21">(O27+P27+Q27)*A27</f>
        <v>0</v>
      </c>
      <c r="U27" s="412">
        <f>VLOOKUP(M27,B.0.ConsumiblesMaquinaria!C$7:D$16,2)</f>
        <v>3.5000000000000003E-2</v>
      </c>
      <c r="V27" s="398">
        <f t="shared" si="9"/>
        <v>0</v>
      </c>
      <c r="W27" s="398">
        <f>+B.0.ConsumiblesMaquinaria!J$23</f>
        <v>9.879999999999999</v>
      </c>
      <c r="X27" s="398">
        <f>+ROUND(U27*AI$1*W27,2)</f>
        <v>1.73</v>
      </c>
      <c r="Y27" s="397">
        <f>0.300000011920929*Y$102</f>
        <v>0.24000000953674322</v>
      </c>
      <c r="Z27" s="397">
        <f t="shared" si="11"/>
        <v>0</v>
      </c>
      <c r="AA27" s="398">
        <f>+B.0.ConsumiblesMaquinaria!J$22</f>
        <v>1.8</v>
      </c>
      <c r="AB27" s="398">
        <f t="shared" si="12"/>
        <v>0</v>
      </c>
      <c r="AC27" s="413">
        <f t="shared" si="13"/>
        <v>0</v>
      </c>
      <c r="AD27" s="398">
        <f t="shared" ref="AD27:AD30" si="22">IF(A27&gt;0,(SUM(AB27:AC27)+X27),0)</f>
        <v>0</v>
      </c>
      <c r="AE27" s="399">
        <v>90</v>
      </c>
      <c r="AF27" s="397">
        <f t="shared" ref="AF27:AF30" si="23">AE27*AD27</f>
        <v>0</v>
      </c>
      <c r="AG27" s="414">
        <f t="shared" ref="AG27:AG30" si="24">AF27*A27</f>
        <v>0</v>
      </c>
      <c r="AH27" s="415">
        <f t="shared" ref="AH27:AH30" si="25">AG27+T27</f>
        <v>0</v>
      </c>
    </row>
    <row r="28" spans="1:34">
      <c r="A28" s="402">
        <v>3</v>
      </c>
      <c r="B28" s="356" t="s">
        <v>517</v>
      </c>
      <c r="C28" s="357" t="s">
        <v>481</v>
      </c>
      <c r="D28" s="357" t="s">
        <v>518</v>
      </c>
      <c r="E28" s="358">
        <v>3200</v>
      </c>
      <c r="F28" s="359"/>
      <c r="G28" s="358">
        <f t="shared" si="0"/>
        <v>880</v>
      </c>
      <c r="H28" s="359">
        <v>8</v>
      </c>
      <c r="I28" s="359"/>
      <c r="J28" s="360">
        <f t="shared" si="18"/>
        <v>2023</v>
      </c>
      <c r="K28" s="360">
        <f t="shared" si="18"/>
        <v>2027</v>
      </c>
      <c r="L28" s="360">
        <f t="shared" si="18"/>
        <v>4</v>
      </c>
      <c r="M28" s="358">
        <v>5.5</v>
      </c>
      <c r="N28" s="358">
        <f t="shared" si="2"/>
        <v>9600</v>
      </c>
      <c r="O28" s="358">
        <f t="shared" si="19"/>
        <v>400</v>
      </c>
      <c r="P28" s="358">
        <f t="shared" si="4"/>
        <v>20</v>
      </c>
      <c r="Q28" s="358">
        <f t="shared" si="5"/>
        <v>12</v>
      </c>
      <c r="R28" s="361">
        <f t="shared" si="6"/>
        <v>1600</v>
      </c>
      <c r="S28" s="361">
        <f t="shared" si="20"/>
        <v>432</v>
      </c>
      <c r="T28" s="403">
        <f t="shared" si="21"/>
        <v>1296</v>
      </c>
      <c r="U28" s="416">
        <f>VLOOKUP(M28,B.0.ConsumiblesMaquinaria!C$7:D$16,2)</f>
        <v>3.5000000000000003E-2</v>
      </c>
      <c r="V28" s="359">
        <f t="shared" si="9"/>
        <v>30.800000000000004</v>
      </c>
      <c r="W28" s="359">
        <f>+B.0.ConsumiblesMaquinaria!J$23</f>
        <v>9.879999999999999</v>
      </c>
      <c r="X28" s="359">
        <f>+ROUND(U28*AI$1*W28,2)</f>
        <v>1.73</v>
      </c>
      <c r="Y28" s="358">
        <f>1.29999995231628*Y$102</f>
        <v>1.039999961853024</v>
      </c>
      <c r="Z28" s="358">
        <f t="shared" si="11"/>
        <v>915.2</v>
      </c>
      <c r="AA28" s="359">
        <f>+B.0.ConsumiblesMaquinaria!J$22</f>
        <v>1.8</v>
      </c>
      <c r="AB28" s="359">
        <f t="shared" si="12"/>
        <v>9.36</v>
      </c>
      <c r="AC28" s="363">
        <f t="shared" si="13"/>
        <v>0.32</v>
      </c>
      <c r="AD28" s="359">
        <f t="shared" si="22"/>
        <v>11.41</v>
      </c>
      <c r="AE28" s="360">
        <v>90</v>
      </c>
      <c r="AF28" s="358">
        <f t="shared" si="23"/>
        <v>1026.9000000000001</v>
      </c>
      <c r="AG28" s="362">
        <f t="shared" si="24"/>
        <v>3080.7000000000003</v>
      </c>
      <c r="AH28" s="417">
        <f t="shared" si="25"/>
        <v>4376.7000000000007</v>
      </c>
    </row>
    <row r="29" spans="1:34">
      <c r="A29" s="402">
        <v>1</v>
      </c>
      <c r="B29" s="356" t="s">
        <v>519</v>
      </c>
      <c r="C29" s="357" t="s">
        <v>481</v>
      </c>
      <c r="D29" s="357" t="s">
        <v>520</v>
      </c>
      <c r="E29" s="358">
        <v>4125</v>
      </c>
      <c r="F29" s="359"/>
      <c r="G29" s="358">
        <f t="shared" si="0"/>
        <v>880</v>
      </c>
      <c r="H29" s="359">
        <v>8</v>
      </c>
      <c r="I29" s="359"/>
      <c r="J29" s="360">
        <f t="shared" si="18"/>
        <v>2023</v>
      </c>
      <c r="K29" s="360">
        <f t="shared" si="18"/>
        <v>2027</v>
      </c>
      <c r="L29" s="360">
        <f t="shared" si="18"/>
        <v>4</v>
      </c>
      <c r="M29" s="358">
        <v>8</v>
      </c>
      <c r="N29" s="358">
        <f t="shared" si="2"/>
        <v>4125</v>
      </c>
      <c r="O29" s="358">
        <f t="shared" si="19"/>
        <v>515.625</v>
      </c>
      <c r="P29" s="358">
        <f t="shared" si="4"/>
        <v>25.78125</v>
      </c>
      <c r="Q29" s="358">
        <f t="shared" si="5"/>
        <v>15.46875</v>
      </c>
      <c r="R29" s="361">
        <f t="shared" si="6"/>
        <v>2062.5</v>
      </c>
      <c r="S29" s="361">
        <f t="shared" si="20"/>
        <v>556.875</v>
      </c>
      <c r="T29" s="403">
        <f t="shared" si="21"/>
        <v>556.875</v>
      </c>
      <c r="U29" s="416">
        <f>VLOOKUP(M29,B.0.ConsumiblesMaquinaria!C$7:D$16,2)</f>
        <v>3.5000000000000003E-2</v>
      </c>
      <c r="V29" s="359">
        <f t="shared" si="9"/>
        <v>30.800000000000004</v>
      </c>
      <c r="W29" s="359">
        <f>+B.0.ConsumiblesMaquinaria!J$23</f>
        <v>9.879999999999999</v>
      </c>
      <c r="X29" s="359">
        <f>+ROUND(U29*AI$1*W29,2)</f>
        <v>1.73</v>
      </c>
      <c r="Y29" s="358">
        <f>1.2*Y$102</f>
        <v>0.96</v>
      </c>
      <c r="Z29" s="358">
        <f t="shared" si="11"/>
        <v>844.8</v>
      </c>
      <c r="AA29" s="359">
        <f>+B.0.ConsumiblesMaquinaria!J$22</f>
        <v>1.8</v>
      </c>
      <c r="AB29" s="359">
        <f t="shared" si="12"/>
        <v>8.64</v>
      </c>
      <c r="AC29" s="363">
        <f t="shared" si="13"/>
        <v>0.41250000000000003</v>
      </c>
      <c r="AD29" s="359">
        <f t="shared" si="22"/>
        <v>10.782500000000001</v>
      </c>
      <c r="AE29" s="360">
        <v>90</v>
      </c>
      <c r="AF29" s="358">
        <f t="shared" si="23"/>
        <v>970.42500000000007</v>
      </c>
      <c r="AG29" s="362">
        <f t="shared" si="24"/>
        <v>970.42500000000007</v>
      </c>
      <c r="AH29" s="417">
        <f t="shared" si="25"/>
        <v>1527.3000000000002</v>
      </c>
    </row>
    <row r="30" spans="1:34">
      <c r="A30" s="404">
        <v>0</v>
      </c>
      <c r="B30" s="405" t="s">
        <v>521</v>
      </c>
      <c r="C30" s="406" t="s">
        <v>481</v>
      </c>
      <c r="D30" s="406" t="s">
        <v>445</v>
      </c>
      <c r="E30" s="407">
        <v>1968.75</v>
      </c>
      <c r="F30" s="408"/>
      <c r="G30" s="407">
        <f>22*4*AI$1</f>
        <v>440</v>
      </c>
      <c r="H30" s="408">
        <v>6</v>
      </c>
      <c r="I30" s="408"/>
      <c r="J30" s="409">
        <f t="shared" si="18"/>
        <v>2023</v>
      </c>
      <c r="K30" s="409">
        <f t="shared" si="18"/>
        <v>2027</v>
      </c>
      <c r="L30" s="409">
        <f t="shared" si="18"/>
        <v>4</v>
      </c>
      <c r="M30" s="407">
        <v>3</v>
      </c>
      <c r="N30" s="407">
        <f t="shared" si="2"/>
        <v>0</v>
      </c>
      <c r="O30" s="407">
        <f t="shared" si="19"/>
        <v>0</v>
      </c>
      <c r="P30" s="407">
        <f t="shared" si="4"/>
        <v>0</v>
      </c>
      <c r="Q30" s="407">
        <f t="shared" si="5"/>
        <v>0</v>
      </c>
      <c r="R30" s="410">
        <f t="shared" si="6"/>
        <v>0</v>
      </c>
      <c r="S30" s="410">
        <f t="shared" si="20"/>
        <v>0</v>
      </c>
      <c r="T30" s="411">
        <f t="shared" si="21"/>
        <v>0</v>
      </c>
      <c r="U30" s="422">
        <f>VLOOKUP(M30,B.0.ConsumiblesMaquinaria!C$7:D$16,2)</f>
        <v>3.5000000000000003E-2</v>
      </c>
      <c r="V30" s="408">
        <f t="shared" si="9"/>
        <v>0</v>
      </c>
      <c r="W30" s="408">
        <f>+B.0.ConsumiblesMaquinaria!J$23</f>
        <v>9.879999999999999</v>
      </c>
      <c r="X30" s="407">
        <f>+ROUND(U30*AI$1*W30,2)</f>
        <v>1.73</v>
      </c>
      <c r="Y30" s="407">
        <f>1.5*Y$102</f>
        <v>1.2000000000000002</v>
      </c>
      <c r="Z30" s="407">
        <f t="shared" si="11"/>
        <v>0</v>
      </c>
      <c r="AA30" s="408">
        <f>+B.0.ConsumiblesMaquinaria!J$22</f>
        <v>1.8</v>
      </c>
      <c r="AB30" s="408">
        <f t="shared" si="12"/>
        <v>0</v>
      </c>
      <c r="AC30" s="419">
        <f t="shared" si="13"/>
        <v>0</v>
      </c>
      <c r="AD30" s="408">
        <f t="shared" si="22"/>
        <v>0</v>
      </c>
      <c r="AE30" s="409">
        <v>90</v>
      </c>
      <c r="AF30" s="407">
        <f t="shared" si="23"/>
        <v>0</v>
      </c>
      <c r="AG30" s="420">
        <f t="shared" si="24"/>
        <v>0</v>
      </c>
      <c r="AH30" s="421">
        <f t="shared" si="25"/>
        <v>0</v>
      </c>
    </row>
    <row r="31" spans="1:34">
      <c r="A31" s="696" t="s">
        <v>522</v>
      </c>
      <c r="B31" s="697"/>
      <c r="C31" s="697"/>
      <c r="D31" s="344"/>
      <c r="E31" s="344"/>
      <c r="F31" s="344"/>
      <c r="G31" s="344"/>
      <c r="H31" s="344"/>
      <c r="I31" s="344"/>
      <c r="J31" s="424"/>
      <c r="K31" s="424"/>
      <c r="L31" s="42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425"/>
    </row>
    <row r="32" spans="1:34">
      <c r="A32" s="394">
        <v>0</v>
      </c>
      <c r="B32" s="395" t="s">
        <v>523</v>
      </c>
      <c r="C32" s="396" t="s">
        <v>417</v>
      </c>
      <c r="D32" s="396" t="s">
        <v>524</v>
      </c>
      <c r="E32" s="397">
        <v>411.25</v>
      </c>
      <c r="F32" s="398"/>
      <c r="G32" s="397">
        <f t="shared" si="0"/>
        <v>880</v>
      </c>
      <c r="H32" s="398">
        <v>4</v>
      </c>
      <c r="I32" s="398"/>
      <c r="J32" s="399">
        <f t="shared" ref="J32:L47" si="26">J$4</f>
        <v>2023</v>
      </c>
      <c r="K32" s="399">
        <f t="shared" si="26"/>
        <v>2027</v>
      </c>
      <c r="L32" s="399">
        <f t="shared" si="26"/>
        <v>4</v>
      </c>
      <c r="M32" s="397">
        <v>0</v>
      </c>
      <c r="N32" s="397">
        <f t="shared" si="2"/>
        <v>0</v>
      </c>
      <c r="O32" s="397">
        <f t="shared" ref="O32:O47" si="27">IF(A32&gt;0,E32/H32,0)</f>
        <v>0</v>
      </c>
      <c r="P32" s="397">
        <f t="shared" si="4"/>
        <v>0</v>
      </c>
      <c r="Q32" s="397">
        <f t="shared" si="5"/>
        <v>0</v>
      </c>
      <c r="R32" s="400">
        <f t="shared" si="6"/>
        <v>0</v>
      </c>
      <c r="S32" s="400">
        <f t="shared" ref="S32:S47" si="28">IF(A32&gt;0,(O32+P32+Q32),0)</f>
        <v>0</v>
      </c>
      <c r="T32" s="401">
        <f t="shared" ref="T32:T47" si="29">(O32+P32+Q32)*A32</f>
        <v>0</v>
      </c>
      <c r="U32" s="412">
        <f>VLOOKUP(M32,B.0.ConsumiblesMaquinaria!C$7:D$16,2)</f>
        <v>3.5000000000000003E-2</v>
      </c>
      <c r="V32" s="398">
        <f t="shared" si="9"/>
        <v>0</v>
      </c>
      <c r="W32" s="398">
        <v>0</v>
      </c>
      <c r="X32" s="398">
        <f>+ROUND(U32*AI$1*W32,2)</f>
        <v>0</v>
      </c>
      <c r="Y32" s="397">
        <f>0*Y$102</f>
        <v>0</v>
      </c>
      <c r="Z32" s="397">
        <f t="shared" si="11"/>
        <v>0</v>
      </c>
      <c r="AA32" s="398">
        <v>0</v>
      </c>
      <c r="AB32" s="398">
        <f t="shared" si="12"/>
        <v>0</v>
      </c>
      <c r="AC32" s="413">
        <f t="shared" si="13"/>
        <v>0</v>
      </c>
      <c r="AD32" s="398">
        <f t="shared" ref="AD32:AD47" si="30">IF(A32&gt;0,(SUM(AB32:AC32)+X32),0)</f>
        <v>0</v>
      </c>
      <c r="AE32" s="399">
        <v>120</v>
      </c>
      <c r="AF32" s="397">
        <f t="shared" ref="AF32:AF47" si="31">AE32*AD32</f>
        <v>0</v>
      </c>
      <c r="AG32" s="414">
        <f t="shared" ref="AG32:AG47" si="32">AF32*A32</f>
        <v>0</v>
      </c>
      <c r="AH32" s="415">
        <f t="shared" ref="AH32:AH47" si="33">AG32+T32</f>
        <v>0</v>
      </c>
    </row>
    <row r="33" spans="1:34">
      <c r="A33" s="402">
        <v>2</v>
      </c>
      <c r="B33" s="356" t="s">
        <v>525</v>
      </c>
      <c r="C33" s="357" t="s">
        <v>417</v>
      </c>
      <c r="D33" s="357" t="s">
        <v>526</v>
      </c>
      <c r="E33" s="358">
        <v>373.75</v>
      </c>
      <c r="F33" s="359"/>
      <c r="G33" s="358">
        <f t="shared" si="0"/>
        <v>880</v>
      </c>
      <c r="H33" s="359">
        <v>4</v>
      </c>
      <c r="I33" s="359"/>
      <c r="J33" s="360">
        <f t="shared" si="26"/>
        <v>2023</v>
      </c>
      <c r="K33" s="360">
        <f t="shared" si="26"/>
        <v>2027</v>
      </c>
      <c r="L33" s="360">
        <f t="shared" si="26"/>
        <v>4</v>
      </c>
      <c r="M33" s="358">
        <v>0</v>
      </c>
      <c r="N33" s="358">
        <f t="shared" si="2"/>
        <v>747.5</v>
      </c>
      <c r="O33" s="358">
        <f t="shared" si="27"/>
        <v>93.4375</v>
      </c>
      <c r="P33" s="358">
        <f t="shared" si="4"/>
        <v>4.671875</v>
      </c>
      <c r="Q33" s="358">
        <f t="shared" si="5"/>
        <v>2.8031250000000001</v>
      </c>
      <c r="R33" s="361">
        <f t="shared" si="6"/>
        <v>0</v>
      </c>
      <c r="S33" s="361">
        <f t="shared" si="28"/>
        <v>100.91249999999999</v>
      </c>
      <c r="T33" s="403">
        <f t="shared" si="29"/>
        <v>201.82499999999999</v>
      </c>
      <c r="U33" s="416">
        <f>VLOOKUP(M33,B.0.ConsumiblesMaquinaria!C$7:D$16,2)</f>
        <v>3.5000000000000003E-2</v>
      </c>
      <c r="V33" s="359">
        <f t="shared" si="9"/>
        <v>30.800000000000004</v>
      </c>
      <c r="W33" s="359">
        <v>0</v>
      </c>
      <c r="X33" s="359">
        <f>+ROUND(U33*AI$1*W33,2)</f>
        <v>0</v>
      </c>
      <c r="Y33" s="358">
        <f>0*Y$102</f>
        <v>0</v>
      </c>
      <c r="Z33" s="358">
        <f t="shared" si="11"/>
        <v>0</v>
      </c>
      <c r="AA33" s="359">
        <v>0</v>
      </c>
      <c r="AB33" s="359">
        <f t="shared" si="12"/>
        <v>0</v>
      </c>
      <c r="AC33" s="363">
        <f t="shared" si="13"/>
        <v>3.7374999999999999E-2</v>
      </c>
      <c r="AD33" s="359">
        <f t="shared" si="30"/>
        <v>3.7374999999999999E-2</v>
      </c>
      <c r="AE33" s="360">
        <v>120</v>
      </c>
      <c r="AF33" s="358">
        <f t="shared" si="31"/>
        <v>4.4849999999999994</v>
      </c>
      <c r="AG33" s="362">
        <f t="shared" si="32"/>
        <v>8.9699999999999989</v>
      </c>
      <c r="AH33" s="417">
        <f t="shared" si="33"/>
        <v>210.79499999999999</v>
      </c>
    </row>
    <row r="34" spans="1:34">
      <c r="A34" s="402">
        <v>0</v>
      </c>
      <c r="B34" s="356" t="s">
        <v>527</v>
      </c>
      <c r="C34" s="357" t="s">
        <v>492</v>
      </c>
      <c r="D34" s="357" t="s">
        <v>528</v>
      </c>
      <c r="E34" s="358">
        <v>477.5</v>
      </c>
      <c r="F34" s="359"/>
      <c r="G34" s="358">
        <f t="shared" si="0"/>
        <v>880</v>
      </c>
      <c r="H34" s="359">
        <v>2</v>
      </c>
      <c r="I34" s="359"/>
      <c r="J34" s="360">
        <f t="shared" si="26"/>
        <v>2023</v>
      </c>
      <c r="K34" s="360">
        <f t="shared" si="26"/>
        <v>2027</v>
      </c>
      <c r="L34" s="360">
        <f t="shared" si="26"/>
        <v>4</v>
      </c>
      <c r="M34" s="358">
        <v>1.79999995231628</v>
      </c>
      <c r="N34" s="358">
        <f t="shared" si="2"/>
        <v>0</v>
      </c>
      <c r="O34" s="358">
        <f t="shared" si="27"/>
        <v>0</v>
      </c>
      <c r="P34" s="358">
        <f t="shared" si="4"/>
        <v>0</v>
      </c>
      <c r="Q34" s="358">
        <f t="shared" si="5"/>
        <v>0</v>
      </c>
      <c r="R34" s="361">
        <f t="shared" si="6"/>
        <v>0</v>
      </c>
      <c r="S34" s="361">
        <f t="shared" si="28"/>
        <v>0</v>
      </c>
      <c r="T34" s="403">
        <f t="shared" si="29"/>
        <v>0</v>
      </c>
      <c r="U34" s="416">
        <f>VLOOKUP(M34,B.0.ConsumiblesMaquinaria!C$7:D$16,2)</f>
        <v>3.5000000000000003E-2</v>
      </c>
      <c r="V34" s="359">
        <f t="shared" si="9"/>
        <v>0</v>
      </c>
      <c r="W34" s="359">
        <f>+B.0.ConsumiblesMaquinaria!J$24</f>
        <v>4.8</v>
      </c>
      <c r="X34" s="359">
        <f t="shared" ref="X34:X47" si="34">+ROUND(U34*AI$1*W34,2)</f>
        <v>0.84</v>
      </c>
      <c r="Y34" s="358">
        <f>0.300000011920929*Y$102</f>
        <v>0.24000000953674322</v>
      </c>
      <c r="Z34" s="358">
        <f t="shared" si="11"/>
        <v>0</v>
      </c>
      <c r="AA34" s="359">
        <f>+B.0.ConsumiblesMaquinaria!J$22</f>
        <v>1.8</v>
      </c>
      <c r="AB34" s="359">
        <f t="shared" si="12"/>
        <v>0</v>
      </c>
      <c r="AC34" s="363">
        <f t="shared" si="13"/>
        <v>0</v>
      </c>
      <c r="AD34" s="359">
        <f t="shared" si="30"/>
        <v>0</v>
      </c>
      <c r="AE34" s="360">
        <v>120</v>
      </c>
      <c r="AF34" s="358">
        <f t="shared" si="31"/>
        <v>0</v>
      </c>
      <c r="AG34" s="362">
        <f t="shared" si="32"/>
        <v>0</v>
      </c>
      <c r="AH34" s="417">
        <f t="shared" si="33"/>
        <v>0</v>
      </c>
    </row>
    <row r="35" spans="1:34">
      <c r="A35" s="402">
        <v>1</v>
      </c>
      <c r="B35" s="356" t="s">
        <v>529</v>
      </c>
      <c r="C35" s="357" t="s">
        <v>492</v>
      </c>
      <c r="D35" s="357" t="s">
        <v>530</v>
      </c>
      <c r="E35" s="358">
        <v>752.5</v>
      </c>
      <c r="F35" s="359"/>
      <c r="G35" s="358">
        <f t="shared" si="0"/>
        <v>880</v>
      </c>
      <c r="H35" s="359">
        <v>2</v>
      </c>
      <c r="I35" s="359"/>
      <c r="J35" s="360">
        <f t="shared" si="26"/>
        <v>2023</v>
      </c>
      <c r="K35" s="360">
        <f t="shared" si="26"/>
        <v>2027</v>
      </c>
      <c r="L35" s="360">
        <f t="shared" si="26"/>
        <v>4</v>
      </c>
      <c r="M35" s="358">
        <v>3.5</v>
      </c>
      <c r="N35" s="358">
        <f t="shared" si="2"/>
        <v>752.5</v>
      </c>
      <c r="O35" s="358">
        <f t="shared" si="27"/>
        <v>376.25</v>
      </c>
      <c r="P35" s="358">
        <f t="shared" si="4"/>
        <v>18.8125</v>
      </c>
      <c r="Q35" s="358">
        <f t="shared" si="5"/>
        <v>11.2875</v>
      </c>
      <c r="R35" s="361">
        <f t="shared" si="6"/>
        <v>0</v>
      </c>
      <c r="S35" s="361">
        <f t="shared" si="28"/>
        <v>406.35</v>
      </c>
      <c r="T35" s="403">
        <f t="shared" si="29"/>
        <v>406.35</v>
      </c>
      <c r="U35" s="416">
        <f>VLOOKUP(M35,B.0.ConsumiblesMaquinaria!C$7:D$16,2)</f>
        <v>3.5000000000000003E-2</v>
      </c>
      <c r="V35" s="359">
        <f t="shared" si="9"/>
        <v>30.800000000000004</v>
      </c>
      <c r="W35" s="359">
        <f>+B.0.ConsumiblesMaquinaria!J$24</f>
        <v>4.8</v>
      </c>
      <c r="X35" s="359">
        <f t="shared" si="34"/>
        <v>0.84</v>
      </c>
      <c r="Y35" s="358">
        <f>0.300000011920929*Y$102</f>
        <v>0.24000000953674322</v>
      </c>
      <c r="Z35" s="358">
        <f t="shared" si="11"/>
        <v>211.2</v>
      </c>
      <c r="AA35" s="359">
        <f>+B.0.ConsumiblesMaquinaria!J$22</f>
        <v>1.8</v>
      </c>
      <c r="AB35" s="359">
        <f t="shared" si="12"/>
        <v>2.16</v>
      </c>
      <c r="AC35" s="363">
        <f t="shared" si="13"/>
        <v>7.5249999999999997E-2</v>
      </c>
      <c r="AD35" s="359">
        <f t="shared" si="30"/>
        <v>3.07525</v>
      </c>
      <c r="AE35" s="360">
        <v>120</v>
      </c>
      <c r="AF35" s="358">
        <f t="shared" si="31"/>
        <v>369.03000000000003</v>
      </c>
      <c r="AG35" s="362">
        <f t="shared" si="32"/>
        <v>369.03000000000003</v>
      </c>
      <c r="AH35" s="417">
        <f t="shared" si="33"/>
        <v>775.38000000000011</v>
      </c>
    </row>
    <row r="36" spans="1:34">
      <c r="A36" s="402">
        <v>1</v>
      </c>
      <c r="B36" s="356" t="s">
        <v>531</v>
      </c>
      <c r="C36" s="357" t="s">
        <v>492</v>
      </c>
      <c r="D36" s="357" t="s">
        <v>530</v>
      </c>
      <c r="E36" s="358">
        <v>748.75</v>
      </c>
      <c r="F36" s="359"/>
      <c r="G36" s="358">
        <f t="shared" si="0"/>
        <v>880</v>
      </c>
      <c r="H36" s="359">
        <v>4</v>
      </c>
      <c r="I36" s="359"/>
      <c r="J36" s="360">
        <f t="shared" si="26"/>
        <v>2023</v>
      </c>
      <c r="K36" s="360">
        <f t="shared" si="26"/>
        <v>2027</v>
      </c>
      <c r="L36" s="360">
        <f t="shared" si="26"/>
        <v>4</v>
      </c>
      <c r="M36" s="358">
        <v>4.0999999046325701</v>
      </c>
      <c r="N36" s="358">
        <f t="shared" si="2"/>
        <v>748.75</v>
      </c>
      <c r="O36" s="358">
        <f t="shared" si="27"/>
        <v>187.1875</v>
      </c>
      <c r="P36" s="358">
        <f t="shared" si="4"/>
        <v>9.359375</v>
      </c>
      <c r="Q36" s="358">
        <f t="shared" si="5"/>
        <v>5.6156249999999996</v>
      </c>
      <c r="R36" s="361">
        <f t="shared" si="6"/>
        <v>0</v>
      </c>
      <c r="S36" s="361">
        <f t="shared" si="28"/>
        <v>202.16249999999999</v>
      </c>
      <c r="T36" s="403">
        <f t="shared" si="29"/>
        <v>202.16249999999999</v>
      </c>
      <c r="U36" s="416">
        <f>VLOOKUP(M36,B.0.ConsumiblesMaquinaria!C$7:D$16,2)</f>
        <v>3.5000000000000003E-2</v>
      </c>
      <c r="V36" s="359">
        <f t="shared" si="9"/>
        <v>30.800000000000004</v>
      </c>
      <c r="W36" s="359">
        <f>+B.0.ConsumiblesMaquinaria!J$24</f>
        <v>4.8</v>
      </c>
      <c r="X36" s="359">
        <f t="shared" si="34"/>
        <v>0.84</v>
      </c>
      <c r="Y36" s="358">
        <f>0.5*Y$102</f>
        <v>0.4</v>
      </c>
      <c r="Z36" s="358">
        <f t="shared" si="11"/>
        <v>352</v>
      </c>
      <c r="AA36" s="359">
        <f>+B.0.ConsumiblesMaquinaria!J$22</f>
        <v>1.8</v>
      </c>
      <c r="AB36" s="359">
        <f t="shared" si="12"/>
        <v>3.6</v>
      </c>
      <c r="AC36" s="363">
        <f t="shared" si="13"/>
        <v>7.4874999999999997E-2</v>
      </c>
      <c r="AD36" s="359">
        <f t="shared" si="30"/>
        <v>4.514875</v>
      </c>
      <c r="AE36" s="360">
        <v>120</v>
      </c>
      <c r="AF36" s="358">
        <f t="shared" si="31"/>
        <v>541.78499999999997</v>
      </c>
      <c r="AG36" s="362">
        <f t="shared" si="32"/>
        <v>541.78499999999997</v>
      </c>
      <c r="AH36" s="417">
        <f t="shared" si="33"/>
        <v>743.94749999999999</v>
      </c>
    </row>
    <row r="37" spans="1:34">
      <c r="A37" s="402">
        <v>2</v>
      </c>
      <c r="B37" s="356" t="s">
        <v>532</v>
      </c>
      <c r="C37" s="357" t="s">
        <v>492</v>
      </c>
      <c r="D37" s="357" t="s">
        <v>530</v>
      </c>
      <c r="E37" s="358">
        <v>873.75</v>
      </c>
      <c r="F37" s="359"/>
      <c r="G37" s="358">
        <f t="shared" si="0"/>
        <v>880</v>
      </c>
      <c r="H37" s="359">
        <v>2</v>
      </c>
      <c r="I37" s="359"/>
      <c r="J37" s="360">
        <f t="shared" si="26"/>
        <v>2023</v>
      </c>
      <c r="K37" s="360">
        <f t="shared" si="26"/>
        <v>2027</v>
      </c>
      <c r="L37" s="360">
        <f t="shared" si="26"/>
        <v>4</v>
      </c>
      <c r="M37" s="358">
        <v>4.5999999046325701</v>
      </c>
      <c r="N37" s="358">
        <f t="shared" si="2"/>
        <v>1747.5</v>
      </c>
      <c r="O37" s="358">
        <f t="shared" si="27"/>
        <v>436.875</v>
      </c>
      <c r="P37" s="358">
        <f t="shared" si="4"/>
        <v>21.84375</v>
      </c>
      <c r="Q37" s="358">
        <f t="shared" si="5"/>
        <v>13.106249999999999</v>
      </c>
      <c r="R37" s="361">
        <f t="shared" si="6"/>
        <v>0</v>
      </c>
      <c r="S37" s="361">
        <f t="shared" si="28"/>
        <v>471.82499999999999</v>
      </c>
      <c r="T37" s="403">
        <f t="shared" si="29"/>
        <v>943.65</v>
      </c>
      <c r="U37" s="416">
        <f>VLOOKUP(M37,B.0.ConsumiblesMaquinaria!C$7:D$16,2)</f>
        <v>3.5000000000000003E-2</v>
      </c>
      <c r="V37" s="359">
        <f t="shared" si="9"/>
        <v>30.800000000000004</v>
      </c>
      <c r="W37" s="359">
        <f>+B.0.ConsumiblesMaquinaria!J$24</f>
        <v>4.8</v>
      </c>
      <c r="X37" s="359">
        <f t="shared" si="34"/>
        <v>0.84</v>
      </c>
      <c r="Y37" s="358">
        <f>0.800000011920928*Y$102</f>
        <v>0.64000000953674241</v>
      </c>
      <c r="Z37" s="358">
        <f t="shared" si="11"/>
        <v>563.20000000000005</v>
      </c>
      <c r="AA37" s="359">
        <f>+B.0.ConsumiblesMaquinaria!J$22</f>
        <v>1.8</v>
      </c>
      <c r="AB37" s="359">
        <f t="shared" si="12"/>
        <v>5.76</v>
      </c>
      <c r="AC37" s="363">
        <f t="shared" si="13"/>
        <v>8.7375000000000008E-2</v>
      </c>
      <c r="AD37" s="359">
        <f t="shared" si="30"/>
        <v>6.6873749999999994</v>
      </c>
      <c r="AE37" s="360">
        <v>120</v>
      </c>
      <c r="AF37" s="358">
        <f t="shared" si="31"/>
        <v>802.4849999999999</v>
      </c>
      <c r="AG37" s="362">
        <f t="shared" si="32"/>
        <v>1604.9699999999998</v>
      </c>
      <c r="AH37" s="417">
        <f t="shared" si="33"/>
        <v>2548.62</v>
      </c>
    </row>
    <row r="38" spans="1:34">
      <c r="A38" s="402">
        <v>0</v>
      </c>
      <c r="B38" s="356" t="s">
        <v>533</v>
      </c>
      <c r="C38" s="357" t="s">
        <v>492</v>
      </c>
      <c r="D38" s="357" t="s">
        <v>530</v>
      </c>
      <c r="E38" s="358">
        <v>761.25</v>
      </c>
      <c r="F38" s="359"/>
      <c r="G38" s="358">
        <f t="shared" si="0"/>
        <v>880</v>
      </c>
      <c r="H38" s="359">
        <v>4</v>
      </c>
      <c r="I38" s="359"/>
      <c r="J38" s="360">
        <f t="shared" si="26"/>
        <v>2023</v>
      </c>
      <c r="K38" s="360">
        <f t="shared" si="26"/>
        <v>2027</v>
      </c>
      <c r="L38" s="360">
        <f t="shared" si="26"/>
        <v>4</v>
      </c>
      <c r="M38" s="358">
        <v>1.8999999761581401</v>
      </c>
      <c r="N38" s="358">
        <f t="shared" si="2"/>
        <v>0</v>
      </c>
      <c r="O38" s="358">
        <f t="shared" si="27"/>
        <v>0</v>
      </c>
      <c r="P38" s="358">
        <f t="shared" si="4"/>
        <v>0</v>
      </c>
      <c r="Q38" s="358">
        <f t="shared" si="5"/>
        <v>0</v>
      </c>
      <c r="R38" s="361">
        <f t="shared" si="6"/>
        <v>0</v>
      </c>
      <c r="S38" s="361">
        <f t="shared" si="28"/>
        <v>0</v>
      </c>
      <c r="T38" s="403">
        <f t="shared" si="29"/>
        <v>0</v>
      </c>
      <c r="U38" s="416">
        <f>VLOOKUP(M38,B.0.ConsumiblesMaquinaria!C$7:D$16,2)</f>
        <v>3.5000000000000003E-2</v>
      </c>
      <c r="V38" s="359">
        <f t="shared" si="9"/>
        <v>0</v>
      </c>
      <c r="W38" s="359">
        <f>+B.0.ConsumiblesMaquinaria!J$24</f>
        <v>4.8</v>
      </c>
      <c r="X38" s="359">
        <f t="shared" si="34"/>
        <v>0.84</v>
      </c>
      <c r="Y38" s="358">
        <f>0.300000011920929*Y$102</f>
        <v>0.24000000953674322</v>
      </c>
      <c r="Z38" s="358">
        <f t="shared" si="11"/>
        <v>0</v>
      </c>
      <c r="AA38" s="359">
        <f>+B.0.ConsumiblesMaquinaria!J$22</f>
        <v>1.8</v>
      </c>
      <c r="AB38" s="359">
        <f t="shared" si="12"/>
        <v>0</v>
      </c>
      <c r="AC38" s="363">
        <f t="shared" si="13"/>
        <v>0</v>
      </c>
      <c r="AD38" s="359">
        <f t="shared" si="30"/>
        <v>0</v>
      </c>
      <c r="AE38" s="360">
        <v>120</v>
      </c>
      <c r="AF38" s="358">
        <f t="shared" si="31"/>
        <v>0</v>
      </c>
      <c r="AG38" s="362">
        <f t="shared" si="32"/>
        <v>0</v>
      </c>
      <c r="AH38" s="417">
        <f t="shared" si="33"/>
        <v>0</v>
      </c>
    </row>
    <row r="39" spans="1:34">
      <c r="A39" s="402">
        <v>1</v>
      </c>
      <c r="B39" s="356" t="s">
        <v>534</v>
      </c>
      <c r="C39" s="357" t="s">
        <v>492</v>
      </c>
      <c r="D39" s="357" t="s">
        <v>535</v>
      </c>
      <c r="E39" s="358">
        <v>461.25</v>
      </c>
      <c r="F39" s="359"/>
      <c r="G39" s="358">
        <f t="shared" si="0"/>
        <v>880</v>
      </c>
      <c r="H39" s="359">
        <v>4</v>
      </c>
      <c r="I39" s="359"/>
      <c r="J39" s="360">
        <f t="shared" si="26"/>
        <v>2023</v>
      </c>
      <c r="K39" s="360">
        <f t="shared" si="26"/>
        <v>2027</v>
      </c>
      <c r="L39" s="360">
        <f t="shared" si="26"/>
        <v>4</v>
      </c>
      <c r="M39" s="358">
        <v>1</v>
      </c>
      <c r="N39" s="358">
        <f t="shared" si="2"/>
        <v>461.25</v>
      </c>
      <c r="O39" s="358">
        <f t="shared" si="27"/>
        <v>115.3125</v>
      </c>
      <c r="P39" s="358">
        <f t="shared" si="4"/>
        <v>5.765625</v>
      </c>
      <c r="Q39" s="358">
        <f t="shared" si="5"/>
        <v>3.4593750000000001</v>
      </c>
      <c r="R39" s="361">
        <f t="shared" si="6"/>
        <v>0</v>
      </c>
      <c r="S39" s="361">
        <f t="shared" si="28"/>
        <v>124.53749999999999</v>
      </c>
      <c r="T39" s="403">
        <f t="shared" si="29"/>
        <v>124.53749999999999</v>
      </c>
      <c r="U39" s="416">
        <f>VLOOKUP(M39,B.0.ConsumiblesMaquinaria!C$7:D$16,2)</f>
        <v>3.5000000000000003E-2</v>
      </c>
      <c r="V39" s="359">
        <f t="shared" si="9"/>
        <v>30.800000000000004</v>
      </c>
      <c r="W39" s="359">
        <f>+B.0.ConsumiblesMaquinaria!J$24</f>
        <v>4.8</v>
      </c>
      <c r="X39" s="359">
        <f t="shared" si="34"/>
        <v>0.84</v>
      </c>
      <c r="Y39" s="358">
        <f>1*Y$102</f>
        <v>0.8</v>
      </c>
      <c r="Z39" s="358">
        <f t="shared" si="11"/>
        <v>704</v>
      </c>
      <c r="AA39" s="359">
        <f>+B.0.ConsumiblesMaquinaria!J$22</f>
        <v>1.8</v>
      </c>
      <c r="AB39" s="359">
        <f t="shared" si="12"/>
        <v>7.2</v>
      </c>
      <c r="AC39" s="363">
        <f t="shared" si="13"/>
        <v>4.6124999999999999E-2</v>
      </c>
      <c r="AD39" s="359">
        <f t="shared" si="30"/>
        <v>8.0861250000000009</v>
      </c>
      <c r="AE39" s="360">
        <v>120</v>
      </c>
      <c r="AF39" s="358">
        <f t="shared" si="31"/>
        <v>970.33500000000015</v>
      </c>
      <c r="AG39" s="362">
        <f t="shared" si="32"/>
        <v>970.33500000000015</v>
      </c>
      <c r="AH39" s="417">
        <f t="shared" si="33"/>
        <v>1094.8725000000002</v>
      </c>
    </row>
    <row r="40" spans="1:34">
      <c r="A40" s="402">
        <v>1</v>
      </c>
      <c r="B40" s="356" t="s">
        <v>536</v>
      </c>
      <c r="C40" s="357" t="s">
        <v>492</v>
      </c>
      <c r="D40" s="357" t="s">
        <v>537</v>
      </c>
      <c r="E40" s="358">
        <v>781.25</v>
      </c>
      <c r="F40" s="359"/>
      <c r="G40" s="358">
        <f t="shared" si="0"/>
        <v>880</v>
      </c>
      <c r="H40" s="359">
        <v>4</v>
      </c>
      <c r="I40" s="359"/>
      <c r="J40" s="360">
        <f t="shared" si="26"/>
        <v>2023</v>
      </c>
      <c r="K40" s="360">
        <f t="shared" si="26"/>
        <v>2027</v>
      </c>
      <c r="L40" s="360">
        <f t="shared" si="26"/>
        <v>4</v>
      </c>
      <c r="M40" s="358">
        <v>1</v>
      </c>
      <c r="N40" s="358">
        <f t="shared" si="2"/>
        <v>781.25</v>
      </c>
      <c r="O40" s="358">
        <f t="shared" si="27"/>
        <v>195.3125</v>
      </c>
      <c r="P40" s="358">
        <f t="shared" si="4"/>
        <v>9.765625</v>
      </c>
      <c r="Q40" s="358">
        <f t="shared" si="5"/>
        <v>5.859375</v>
      </c>
      <c r="R40" s="361">
        <f t="shared" si="6"/>
        <v>0</v>
      </c>
      <c r="S40" s="361">
        <f t="shared" si="28"/>
        <v>210.9375</v>
      </c>
      <c r="T40" s="403">
        <f t="shared" si="29"/>
        <v>210.9375</v>
      </c>
      <c r="U40" s="416">
        <f>VLOOKUP(M40,B.0.ConsumiblesMaquinaria!C$7:D$16,2)</f>
        <v>3.5000000000000003E-2</v>
      </c>
      <c r="V40" s="359">
        <f t="shared" si="9"/>
        <v>30.800000000000004</v>
      </c>
      <c r="W40" s="359">
        <f>+B.0.ConsumiblesMaquinaria!J$24</f>
        <v>4.8</v>
      </c>
      <c r="X40" s="359">
        <f t="shared" si="34"/>
        <v>0.84</v>
      </c>
      <c r="Y40" s="358">
        <f>1*Y$102</f>
        <v>0.8</v>
      </c>
      <c r="Z40" s="358">
        <f t="shared" si="11"/>
        <v>704</v>
      </c>
      <c r="AA40" s="359">
        <f>+B.0.ConsumiblesMaquinaria!J$22</f>
        <v>1.8</v>
      </c>
      <c r="AB40" s="359">
        <f t="shared" si="12"/>
        <v>7.2</v>
      </c>
      <c r="AC40" s="363">
        <f t="shared" si="13"/>
        <v>7.8125E-2</v>
      </c>
      <c r="AD40" s="359">
        <f t="shared" si="30"/>
        <v>8.1181250000000009</v>
      </c>
      <c r="AE40" s="360">
        <v>120</v>
      </c>
      <c r="AF40" s="358">
        <f t="shared" si="31"/>
        <v>974.17500000000007</v>
      </c>
      <c r="AG40" s="362">
        <f t="shared" si="32"/>
        <v>974.17500000000007</v>
      </c>
      <c r="AH40" s="417">
        <f t="shared" si="33"/>
        <v>1185.1125000000002</v>
      </c>
    </row>
    <row r="41" spans="1:34">
      <c r="A41" s="402">
        <v>0</v>
      </c>
      <c r="B41" s="356" t="s">
        <v>538</v>
      </c>
      <c r="C41" s="357" t="s">
        <v>492</v>
      </c>
      <c r="D41" s="357" t="s">
        <v>539</v>
      </c>
      <c r="E41" s="358">
        <v>781.25</v>
      </c>
      <c r="F41" s="359"/>
      <c r="G41" s="358">
        <f t="shared" si="0"/>
        <v>880</v>
      </c>
      <c r="H41" s="359">
        <v>4</v>
      </c>
      <c r="I41" s="359"/>
      <c r="J41" s="360">
        <f t="shared" si="26"/>
        <v>2023</v>
      </c>
      <c r="K41" s="360">
        <f t="shared" si="26"/>
        <v>2027</v>
      </c>
      <c r="L41" s="360">
        <f t="shared" si="26"/>
        <v>4</v>
      </c>
      <c r="M41" s="358">
        <v>1</v>
      </c>
      <c r="N41" s="358">
        <f t="shared" si="2"/>
        <v>0</v>
      </c>
      <c r="O41" s="358">
        <f t="shared" si="27"/>
        <v>0</v>
      </c>
      <c r="P41" s="358">
        <f t="shared" si="4"/>
        <v>0</v>
      </c>
      <c r="Q41" s="358">
        <f t="shared" si="5"/>
        <v>0</v>
      </c>
      <c r="R41" s="361">
        <f t="shared" si="6"/>
        <v>0</v>
      </c>
      <c r="S41" s="361">
        <f t="shared" si="28"/>
        <v>0</v>
      </c>
      <c r="T41" s="403">
        <f t="shared" si="29"/>
        <v>0</v>
      </c>
      <c r="U41" s="416">
        <f>VLOOKUP(M41,B.0.ConsumiblesMaquinaria!C$7:D$16,2)</f>
        <v>3.5000000000000003E-2</v>
      </c>
      <c r="V41" s="359">
        <f t="shared" si="9"/>
        <v>0</v>
      </c>
      <c r="W41" s="359">
        <f>+B.0.ConsumiblesMaquinaria!J$24</f>
        <v>4.8</v>
      </c>
      <c r="X41" s="359">
        <f t="shared" si="34"/>
        <v>0.84</v>
      </c>
      <c r="Y41" s="358">
        <f>1*Y$102</f>
        <v>0.8</v>
      </c>
      <c r="Z41" s="358">
        <f t="shared" si="11"/>
        <v>0</v>
      </c>
      <c r="AA41" s="359">
        <f>+B.0.ConsumiblesMaquinaria!J$22</f>
        <v>1.8</v>
      </c>
      <c r="AB41" s="359">
        <f t="shared" si="12"/>
        <v>0</v>
      </c>
      <c r="AC41" s="363">
        <f t="shared" si="13"/>
        <v>0</v>
      </c>
      <c r="AD41" s="359">
        <f t="shared" si="30"/>
        <v>0</v>
      </c>
      <c r="AE41" s="360">
        <v>120</v>
      </c>
      <c r="AF41" s="358">
        <f t="shared" si="31"/>
        <v>0</v>
      </c>
      <c r="AG41" s="362">
        <f t="shared" si="32"/>
        <v>0</v>
      </c>
      <c r="AH41" s="417">
        <f t="shared" si="33"/>
        <v>0</v>
      </c>
    </row>
    <row r="42" spans="1:34">
      <c r="A42" s="402">
        <v>0</v>
      </c>
      <c r="B42" s="356" t="s">
        <v>540</v>
      </c>
      <c r="C42" s="357" t="s">
        <v>492</v>
      </c>
      <c r="D42" s="357" t="s">
        <v>541</v>
      </c>
      <c r="E42" s="358">
        <v>723.75</v>
      </c>
      <c r="F42" s="359"/>
      <c r="G42" s="358">
        <f t="shared" si="0"/>
        <v>880</v>
      </c>
      <c r="H42" s="359">
        <v>4</v>
      </c>
      <c r="I42" s="359"/>
      <c r="J42" s="360">
        <f t="shared" si="26"/>
        <v>2023</v>
      </c>
      <c r="K42" s="360">
        <f t="shared" si="26"/>
        <v>2027</v>
      </c>
      <c r="L42" s="360">
        <f t="shared" si="26"/>
        <v>4</v>
      </c>
      <c r="M42" s="358">
        <v>1.29999995231628</v>
      </c>
      <c r="N42" s="358">
        <f t="shared" si="2"/>
        <v>0</v>
      </c>
      <c r="O42" s="358">
        <f t="shared" si="27"/>
        <v>0</v>
      </c>
      <c r="P42" s="358">
        <f t="shared" si="4"/>
        <v>0</v>
      </c>
      <c r="Q42" s="358">
        <f t="shared" si="5"/>
        <v>0</v>
      </c>
      <c r="R42" s="361">
        <f t="shared" si="6"/>
        <v>0</v>
      </c>
      <c r="S42" s="361">
        <f t="shared" si="28"/>
        <v>0</v>
      </c>
      <c r="T42" s="403">
        <f t="shared" si="29"/>
        <v>0</v>
      </c>
      <c r="U42" s="416">
        <f>VLOOKUP(M42,B.0.ConsumiblesMaquinaria!C$7:D$16,2)</f>
        <v>3.5000000000000003E-2</v>
      </c>
      <c r="V42" s="359">
        <f t="shared" si="9"/>
        <v>0</v>
      </c>
      <c r="W42" s="359">
        <f>+B.0.ConsumiblesMaquinaria!J$24</f>
        <v>4.8</v>
      </c>
      <c r="X42" s="359">
        <f t="shared" si="34"/>
        <v>0.84</v>
      </c>
      <c r="Y42" s="358">
        <f>1*Y$102</f>
        <v>0.8</v>
      </c>
      <c r="Z42" s="358">
        <f t="shared" si="11"/>
        <v>0</v>
      </c>
      <c r="AA42" s="359">
        <f>+B.0.ConsumiblesMaquinaria!J$22</f>
        <v>1.8</v>
      </c>
      <c r="AB42" s="359">
        <f t="shared" si="12"/>
        <v>0</v>
      </c>
      <c r="AC42" s="363">
        <f t="shared" si="13"/>
        <v>0</v>
      </c>
      <c r="AD42" s="359">
        <f t="shared" si="30"/>
        <v>0</v>
      </c>
      <c r="AE42" s="360">
        <v>120</v>
      </c>
      <c r="AF42" s="358">
        <f t="shared" si="31"/>
        <v>0</v>
      </c>
      <c r="AG42" s="362">
        <f t="shared" si="32"/>
        <v>0</v>
      </c>
      <c r="AH42" s="417">
        <f t="shared" si="33"/>
        <v>0</v>
      </c>
    </row>
    <row r="43" spans="1:34">
      <c r="A43" s="402">
        <v>0</v>
      </c>
      <c r="B43" s="356" t="s">
        <v>542</v>
      </c>
      <c r="C43" s="357" t="s">
        <v>492</v>
      </c>
      <c r="D43" s="357" t="s">
        <v>541</v>
      </c>
      <c r="E43" s="358">
        <v>836.25</v>
      </c>
      <c r="F43" s="359"/>
      <c r="G43" s="358">
        <f t="shared" si="0"/>
        <v>880</v>
      </c>
      <c r="H43" s="359">
        <v>4</v>
      </c>
      <c r="I43" s="359"/>
      <c r="J43" s="360">
        <f t="shared" si="26"/>
        <v>2023</v>
      </c>
      <c r="K43" s="360">
        <f t="shared" si="26"/>
        <v>2027</v>
      </c>
      <c r="L43" s="360">
        <f t="shared" si="26"/>
        <v>4</v>
      </c>
      <c r="M43" s="358">
        <v>1.3999999761581401</v>
      </c>
      <c r="N43" s="358">
        <f t="shared" si="2"/>
        <v>0</v>
      </c>
      <c r="O43" s="358">
        <f t="shared" si="27"/>
        <v>0</v>
      </c>
      <c r="P43" s="358">
        <f t="shared" si="4"/>
        <v>0</v>
      </c>
      <c r="Q43" s="358">
        <f t="shared" si="5"/>
        <v>0</v>
      </c>
      <c r="R43" s="361">
        <f t="shared" si="6"/>
        <v>0</v>
      </c>
      <c r="S43" s="361">
        <f t="shared" si="28"/>
        <v>0</v>
      </c>
      <c r="T43" s="403">
        <f t="shared" si="29"/>
        <v>0</v>
      </c>
      <c r="U43" s="416">
        <f>VLOOKUP(M43,B.0.ConsumiblesMaquinaria!C$7:D$16,2)</f>
        <v>3.5000000000000003E-2</v>
      </c>
      <c r="V43" s="359">
        <f t="shared" si="9"/>
        <v>0</v>
      </c>
      <c r="W43" s="359">
        <f>+B.0.ConsumiblesMaquinaria!J$24</f>
        <v>4.8</v>
      </c>
      <c r="X43" s="359">
        <f t="shared" si="34"/>
        <v>0.84</v>
      </c>
      <c r="Y43" s="358">
        <f>1*Y$102</f>
        <v>0.8</v>
      </c>
      <c r="Z43" s="358">
        <f t="shared" si="11"/>
        <v>0</v>
      </c>
      <c r="AA43" s="359">
        <f>+B.0.ConsumiblesMaquinaria!J$22</f>
        <v>1.8</v>
      </c>
      <c r="AB43" s="359">
        <f t="shared" si="12"/>
        <v>0</v>
      </c>
      <c r="AC43" s="363">
        <f t="shared" si="13"/>
        <v>0</v>
      </c>
      <c r="AD43" s="359">
        <f t="shared" si="30"/>
        <v>0</v>
      </c>
      <c r="AE43" s="360">
        <v>120</v>
      </c>
      <c r="AF43" s="358">
        <f t="shared" si="31"/>
        <v>0</v>
      </c>
      <c r="AG43" s="362">
        <f t="shared" si="32"/>
        <v>0</v>
      </c>
      <c r="AH43" s="417">
        <f t="shared" si="33"/>
        <v>0</v>
      </c>
    </row>
    <row r="44" spans="1:34">
      <c r="A44" s="402">
        <v>0</v>
      </c>
      <c r="B44" s="356" t="s">
        <v>543</v>
      </c>
      <c r="C44" s="357" t="s">
        <v>481</v>
      </c>
      <c r="D44" s="357" t="s">
        <v>544</v>
      </c>
      <c r="E44" s="358">
        <v>10337.5</v>
      </c>
      <c r="F44" s="359"/>
      <c r="G44" s="358">
        <f t="shared" si="0"/>
        <v>880</v>
      </c>
      <c r="H44" s="359">
        <v>8</v>
      </c>
      <c r="I44" s="359"/>
      <c r="J44" s="360">
        <f t="shared" si="26"/>
        <v>2023</v>
      </c>
      <c r="K44" s="360">
        <f t="shared" si="26"/>
        <v>2027</v>
      </c>
      <c r="L44" s="360">
        <f t="shared" si="26"/>
        <v>4</v>
      </c>
      <c r="M44" s="358">
        <v>15</v>
      </c>
      <c r="N44" s="358">
        <f t="shared" si="2"/>
        <v>0</v>
      </c>
      <c r="O44" s="358">
        <f t="shared" si="27"/>
        <v>0</v>
      </c>
      <c r="P44" s="358">
        <f t="shared" si="4"/>
        <v>0</v>
      </c>
      <c r="Q44" s="358">
        <f t="shared" si="5"/>
        <v>0</v>
      </c>
      <c r="R44" s="361">
        <f t="shared" si="6"/>
        <v>0</v>
      </c>
      <c r="S44" s="361">
        <f t="shared" si="28"/>
        <v>0</v>
      </c>
      <c r="T44" s="403">
        <f t="shared" si="29"/>
        <v>0</v>
      </c>
      <c r="U44" s="416">
        <f>VLOOKUP(M44,B.0.ConsumiblesMaquinaria!C$7:D$16,2)</f>
        <v>3.5000000000000003E-2</v>
      </c>
      <c r="V44" s="359">
        <f t="shared" si="9"/>
        <v>0</v>
      </c>
      <c r="W44" s="359">
        <f>+B.0.ConsumiblesMaquinaria!J$23</f>
        <v>9.879999999999999</v>
      </c>
      <c r="X44" s="359">
        <f t="shared" si="34"/>
        <v>1.73</v>
      </c>
      <c r="Y44" s="358">
        <f>3.20000004768371*Y$102</f>
        <v>2.5600000381469683</v>
      </c>
      <c r="Z44" s="358">
        <f t="shared" si="11"/>
        <v>0</v>
      </c>
      <c r="AA44" s="359">
        <f>+B.0.ConsumiblesMaquinaria!J$22</f>
        <v>1.8</v>
      </c>
      <c r="AB44" s="359">
        <f t="shared" si="12"/>
        <v>0</v>
      </c>
      <c r="AC44" s="363">
        <f t="shared" si="13"/>
        <v>0</v>
      </c>
      <c r="AD44" s="359">
        <f t="shared" si="30"/>
        <v>0</v>
      </c>
      <c r="AE44" s="360">
        <v>120</v>
      </c>
      <c r="AF44" s="358">
        <f t="shared" si="31"/>
        <v>0</v>
      </c>
      <c r="AG44" s="362">
        <f t="shared" si="32"/>
        <v>0</v>
      </c>
      <c r="AH44" s="417">
        <f t="shared" si="33"/>
        <v>0</v>
      </c>
    </row>
    <row r="45" spans="1:34">
      <c r="A45" s="402">
        <v>0</v>
      </c>
      <c r="B45" s="356" t="s">
        <v>545</v>
      </c>
      <c r="C45" s="357" t="s">
        <v>481</v>
      </c>
      <c r="D45" s="357" t="s">
        <v>544</v>
      </c>
      <c r="E45" s="358">
        <v>12913.95</v>
      </c>
      <c r="F45" s="359"/>
      <c r="G45" s="358">
        <f t="shared" si="0"/>
        <v>880</v>
      </c>
      <c r="H45" s="359">
        <v>8</v>
      </c>
      <c r="I45" s="359"/>
      <c r="J45" s="360">
        <f t="shared" si="26"/>
        <v>2023</v>
      </c>
      <c r="K45" s="360">
        <f t="shared" si="26"/>
        <v>2027</v>
      </c>
      <c r="L45" s="360">
        <f t="shared" si="26"/>
        <v>4</v>
      </c>
      <c r="M45" s="358">
        <v>20</v>
      </c>
      <c r="N45" s="358">
        <f t="shared" si="2"/>
        <v>0</v>
      </c>
      <c r="O45" s="358">
        <f t="shared" si="27"/>
        <v>0</v>
      </c>
      <c r="P45" s="358">
        <f t="shared" si="4"/>
        <v>0</v>
      </c>
      <c r="Q45" s="358">
        <f t="shared" si="5"/>
        <v>0</v>
      </c>
      <c r="R45" s="361">
        <f t="shared" si="6"/>
        <v>0</v>
      </c>
      <c r="S45" s="361">
        <f t="shared" si="28"/>
        <v>0</v>
      </c>
      <c r="T45" s="403">
        <f t="shared" si="29"/>
        <v>0</v>
      </c>
      <c r="U45" s="416">
        <f>VLOOKUP(M45,B.0.ConsumiblesMaquinaria!C$7:D$16,2)</f>
        <v>3.5000000000000003E-2</v>
      </c>
      <c r="V45" s="359">
        <f t="shared" si="9"/>
        <v>0</v>
      </c>
      <c r="W45" s="359">
        <f>+B.0.ConsumiblesMaquinaria!J$23</f>
        <v>9.879999999999999</v>
      </c>
      <c r="X45" s="359">
        <f t="shared" si="34"/>
        <v>1.73</v>
      </c>
      <c r="Y45" s="358">
        <f>4*Y$102</f>
        <v>3.2</v>
      </c>
      <c r="Z45" s="358">
        <f t="shared" si="11"/>
        <v>0</v>
      </c>
      <c r="AA45" s="359">
        <f>+B.0.ConsumiblesMaquinaria!J$22</f>
        <v>1.8</v>
      </c>
      <c r="AB45" s="359">
        <f t="shared" si="12"/>
        <v>0</v>
      </c>
      <c r="AC45" s="363">
        <f t="shared" si="13"/>
        <v>0</v>
      </c>
      <c r="AD45" s="359">
        <f t="shared" si="30"/>
        <v>0</v>
      </c>
      <c r="AE45" s="360">
        <v>120</v>
      </c>
      <c r="AF45" s="358">
        <f t="shared" si="31"/>
        <v>0</v>
      </c>
      <c r="AG45" s="362">
        <f t="shared" si="32"/>
        <v>0</v>
      </c>
      <c r="AH45" s="417">
        <f t="shared" si="33"/>
        <v>0</v>
      </c>
    </row>
    <row r="46" spans="1:34">
      <c r="A46" s="402">
        <v>1</v>
      </c>
      <c r="B46" s="356" t="s">
        <v>546</v>
      </c>
      <c r="C46" s="357" t="s">
        <v>481</v>
      </c>
      <c r="D46" s="357" t="s">
        <v>547</v>
      </c>
      <c r="E46" s="358">
        <v>33750</v>
      </c>
      <c r="F46" s="359"/>
      <c r="G46" s="358">
        <f t="shared" si="0"/>
        <v>880</v>
      </c>
      <c r="H46" s="359">
        <v>6</v>
      </c>
      <c r="I46" s="359"/>
      <c r="J46" s="360">
        <f t="shared" si="26"/>
        <v>2023</v>
      </c>
      <c r="K46" s="360">
        <f t="shared" si="26"/>
        <v>2027</v>
      </c>
      <c r="L46" s="360">
        <f t="shared" si="26"/>
        <v>4</v>
      </c>
      <c r="M46" s="358">
        <v>115</v>
      </c>
      <c r="N46" s="358">
        <f t="shared" si="2"/>
        <v>33750</v>
      </c>
      <c r="O46" s="358">
        <f t="shared" si="27"/>
        <v>5625</v>
      </c>
      <c r="P46" s="358">
        <f t="shared" si="4"/>
        <v>281.25</v>
      </c>
      <c r="Q46" s="358">
        <f t="shared" si="5"/>
        <v>168.75</v>
      </c>
      <c r="R46" s="361">
        <f t="shared" si="6"/>
        <v>11250</v>
      </c>
      <c r="S46" s="361">
        <f t="shared" si="28"/>
        <v>6075</v>
      </c>
      <c r="T46" s="403">
        <f t="shared" si="29"/>
        <v>6075</v>
      </c>
      <c r="U46" s="416">
        <f>VLOOKUP(M46,B.0.ConsumiblesMaquinaria!C$7:D$16,2)</f>
        <v>0.1</v>
      </c>
      <c r="V46" s="359">
        <f t="shared" si="9"/>
        <v>88</v>
      </c>
      <c r="W46" s="359">
        <f>+B.0.ConsumiblesMaquinaria!J$23</f>
        <v>9.879999999999999</v>
      </c>
      <c r="X46" s="359">
        <f t="shared" si="34"/>
        <v>4.9400000000000004</v>
      </c>
      <c r="Y46" s="358">
        <f>3*Y$102</f>
        <v>2.4000000000000004</v>
      </c>
      <c r="Z46" s="358">
        <f t="shared" si="11"/>
        <v>2112</v>
      </c>
      <c r="AA46" s="359">
        <f>+B.0.ConsumiblesMaquinaria!J$22</f>
        <v>1.8</v>
      </c>
      <c r="AB46" s="359">
        <f t="shared" si="12"/>
        <v>21.6</v>
      </c>
      <c r="AC46" s="363">
        <f t="shared" si="13"/>
        <v>3.375</v>
      </c>
      <c r="AD46" s="359">
        <f t="shared" si="30"/>
        <v>29.915000000000003</v>
      </c>
      <c r="AE46" s="360">
        <v>120</v>
      </c>
      <c r="AF46" s="358">
        <f t="shared" si="31"/>
        <v>3589.8</v>
      </c>
      <c r="AG46" s="362">
        <f t="shared" si="32"/>
        <v>3589.8</v>
      </c>
      <c r="AH46" s="417">
        <f t="shared" si="33"/>
        <v>9664.7999999999993</v>
      </c>
    </row>
    <row r="47" spans="1:34">
      <c r="A47" s="404">
        <v>0</v>
      </c>
      <c r="B47" s="405" t="s">
        <v>548</v>
      </c>
      <c r="C47" s="406" t="s">
        <v>481</v>
      </c>
      <c r="D47" s="406" t="s">
        <v>549</v>
      </c>
      <c r="E47" s="407">
        <v>9000</v>
      </c>
      <c r="F47" s="408"/>
      <c r="G47" s="407">
        <f>22*4*AI$1</f>
        <v>440</v>
      </c>
      <c r="H47" s="408">
        <v>4</v>
      </c>
      <c r="I47" s="408"/>
      <c r="J47" s="409">
        <f t="shared" si="26"/>
        <v>2023</v>
      </c>
      <c r="K47" s="409">
        <f t="shared" si="26"/>
        <v>2027</v>
      </c>
      <c r="L47" s="409">
        <f t="shared" si="26"/>
        <v>4</v>
      </c>
      <c r="M47" s="407">
        <v>6</v>
      </c>
      <c r="N47" s="407">
        <f t="shared" si="2"/>
        <v>0</v>
      </c>
      <c r="O47" s="407">
        <f t="shared" si="27"/>
        <v>0</v>
      </c>
      <c r="P47" s="407">
        <f t="shared" si="4"/>
        <v>0</v>
      </c>
      <c r="Q47" s="407">
        <f t="shared" si="5"/>
        <v>0</v>
      </c>
      <c r="R47" s="410">
        <f t="shared" si="6"/>
        <v>0</v>
      </c>
      <c r="S47" s="410">
        <f t="shared" si="28"/>
        <v>0</v>
      </c>
      <c r="T47" s="411">
        <f t="shared" si="29"/>
        <v>0</v>
      </c>
      <c r="U47" s="418">
        <f>VLOOKUP(M47,B.0.ConsumiblesMaquinaria!C$7:D$16,2)</f>
        <v>3.5000000000000003E-2</v>
      </c>
      <c r="V47" s="408">
        <f t="shared" si="9"/>
        <v>0</v>
      </c>
      <c r="W47" s="408">
        <f>+B.0.ConsumiblesMaquinaria!J$23</f>
        <v>9.879999999999999</v>
      </c>
      <c r="X47" s="408">
        <f t="shared" si="34"/>
        <v>1.73</v>
      </c>
      <c r="Y47" s="407">
        <f>1.5*Y$102</f>
        <v>1.2000000000000002</v>
      </c>
      <c r="Z47" s="407">
        <f t="shared" si="11"/>
        <v>0</v>
      </c>
      <c r="AA47" s="408">
        <f>+B.0.ConsumiblesMaquinaria!J$22</f>
        <v>1.8</v>
      </c>
      <c r="AB47" s="408">
        <f t="shared" si="12"/>
        <v>0</v>
      </c>
      <c r="AC47" s="419">
        <f t="shared" si="13"/>
        <v>0</v>
      </c>
      <c r="AD47" s="408">
        <f t="shared" si="30"/>
        <v>0</v>
      </c>
      <c r="AE47" s="409">
        <v>120</v>
      </c>
      <c r="AF47" s="407">
        <f t="shared" si="31"/>
        <v>0</v>
      </c>
      <c r="AG47" s="420">
        <f t="shared" si="32"/>
        <v>0</v>
      </c>
      <c r="AH47" s="421">
        <f t="shared" si="33"/>
        <v>0</v>
      </c>
    </row>
    <row r="48" spans="1:34">
      <c r="A48" s="696" t="s">
        <v>550</v>
      </c>
      <c r="B48" s="697"/>
      <c r="C48" s="697"/>
      <c r="D48" s="344"/>
      <c r="E48" s="344"/>
      <c r="F48" s="344"/>
      <c r="G48" s="344"/>
      <c r="H48" s="344"/>
      <c r="I48" s="344"/>
      <c r="J48" s="424"/>
      <c r="K48" s="424"/>
      <c r="L48" s="42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425"/>
    </row>
    <row r="49" spans="1:34">
      <c r="A49" s="394">
        <v>0</v>
      </c>
      <c r="B49" s="395" t="s">
        <v>551</v>
      </c>
      <c r="C49" s="396" t="s">
        <v>417</v>
      </c>
      <c r="D49" s="396" t="s">
        <v>552</v>
      </c>
      <c r="E49" s="397">
        <v>98.75</v>
      </c>
      <c r="F49" s="398"/>
      <c r="G49" s="397">
        <f>22*12*AI$1</f>
        <v>1320</v>
      </c>
      <c r="H49" s="398">
        <v>4</v>
      </c>
      <c r="I49" s="398"/>
      <c r="J49" s="399">
        <f t="shared" ref="J49:L54" si="35">J$4</f>
        <v>2023</v>
      </c>
      <c r="K49" s="399">
        <f t="shared" si="35"/>
        <v>2027</v>
      </c>
      <c r="L49" s="399">
        <f t="shared" si="35"/>
        <v>4</v>
      </c>
      <c r="M49" s="397">
        <v>1.1000000238418599</v>
      </c>
      <c r="N49" s="397">
        <f t="shared" si="2"/>
        <v>0</v>
      </c>
      <c r="O49" s="397">
        <f t="shared" ref="O49:O54" si="36">IF(A49&gt;0,E49/H49,0)</f>
        <v>0</v>
      </c>
      <c r="P49" s="397">
        <f t="shared" si="4"/>
        <v>0</v>
      </c>
      <c r="Q49" s="397">
        <f t="shared" si="5"/>
        <v>0</v>
      </c>
      <c r="R49" s="400">
        <f t="shared" si="6"/>
        <v>0</v>
      </c>
      <c r="S49" s="400">
        <f t="shared" ref="S49:S54" si="37">IF(A49&gt;0,(O49+P49+Q49),0)</f>
        <v>0</v>
      </c>
      <c r="T49" s="401">
        <f t="shared" ref="T49:T54" si="38">(O49+P49+Q49)*A49</f>
        <v>0</v>
      </c>
      <c r="U49" s="412">
        <v>0</v>
      </c>
      <c r="V49" s="398">
        <f t="shared" si="9"/>
        <v>0</v>
      </c>
      <c r="W49" s="398">
        <v>0</v>
      </c>
      <c r="X49" s="398">
        <f t="shared" ref="X49:X54" si="39">+ROUND(U49*AI$1*W49,2)</f>
        <v>0</v>
      </c>
      <c r="Y49" s="397">
        <f>0*Y$102</f>
        <v>0</v>
      </c>
      <c r="Z49" s="397">
        <f t="shared" si="11"/>
        <v>0</v>
      </c>
      <c r="AA49" s="398">
        <v>0</v>
      </c>
      <c r="AB49" s="398">
        <f t="shared" si="12"/>
        <v>0</v>
      </c>
      <c r="AC49" s="413">
        <f t="shared" si="13"/>
        <v>0</v>
      </c>
      <c r="AD49" s="398">
        <f t="shared" ref="AD49:AD54" si="40">IF(A49&gt;0,(SUM(AB49:AC49)+X49),0)</f>
        <v>0</v>
      </c>
      <c r="AE49" s="399">
        <v>220</v>
      </c>
      <c r="AF49" s="397">
        <f t="shared" ref="AF49:AF54" si="41">AE49*AD49</f>
        <v>0</v>
      </c>
      <c r="AG49" s="414">
        <f t="shared" ref="AG49:AG54" si="42">AF49*A49</f>
        <v>0</v>
      </c>
      <c r="AH49" s="415">
        <f t="shared" ref="AH49:AH54" si="43">AG49+T49</f>
        <v>0</v>
      </c>
    </row>
    <row r="50" spans="1:34">
      <c r="A50" s="402">
        <v>0</v>
      </c>
      <c r="B50" s="356" t="s">
        <v>553</v>
      </c>
      <c r="C50" s="357" t="s">
        <v>417</v>
      </c>
      <c r="D50" s="357" t="s">
        <v>550</v>
      </c>
      <c r="E50" s="358">
        <v>2987.5</v>
      </c>
      <c r="F50" s="359"/>
      <c r="G50" s="358">
        <f>22*6*AI$1</f>
        <v>660</v>
      </c>
      <c r="H50" s="359">
        <v>4</v>
      </c>
      <c r="I50" s="359"/>
      <c r="J50" s="360">
        <f t="shared" si="35"/>
        <v>2023</v>
      </c>
      <c r="K50" s="360">
        <f t="shared" si="35"/>
        <v>2027</v>
      </c>
      <c r="L50" s="360">
        <f t="shared" si="35"/>
        <v>4</v>
      </c>
      <c r="M50" s="358">
        <v>0</v>
      </c>
      <c r="N50" s="358">
        <f t="shared" si="2"/>
        <v>0</v>
      </c>
      <c r="O50" s="358">
        <f t="shared" si="36"/>
        <v>0</v>
      </c>
      <c r="P50" s="358">
        <f t="shared" si="4"/>
        <v>0</v>
      </c>
      <c r="Q50" s="358">
        <f t="shared" si="5"/>
        <v>0</v>
      </c>
      <c r="R50" s="361">
        <f t="shared" si="6"/>
        <v>0</v>
      </c>
      <c r="S50" s="361">
        <f t="shared" si="37"/>
        <v>0</v>
      </c>
      <c r="T50" s="403">
        <f t="shared" si="38"/>
        <v>0</v>
      </c>
      <c r="U50" s="416">
        <v>0</v>
      </c>
      <c r="V50" s="359">
        <f t="shared" si="9"/>
        <v>0</v>
      </c>
      <c r="W50" s="359">
        <v>0</v>
      </c>
      <c r="X50" s="359">
        <f t="shared" si="39"/>
        <v>0</v>
      </c>
      <c r="Y50" s="358">
        <f>0*Y$102</f>
        <v>0</v>
      </c>
      <c r="Z50" s="358">
        <f t="shared" si="11"/>
        <v>0</v>
      </c>
      <c r="AA50" s="359">
        <v>0</v>
      </c>
      <c r="AB50" s="359">
        <f t="shared" si="12"/>
        <v>0</v>
      </c>
      <c r="AC50" s="363">
        <f t="shared" si="13"/>
        <v>0</v>
      </c>
      <c r="AD50" s="359">
        <f t="shared" si="40"/>
        <v>0</v>
      </c>
      <c r="AE50" s="360">
        <v>220</v>
      </c>
      <c r="AF50" s="358">
        <f t="shared" si="41"/>
        <v>0</v>
      </c>
      <c r="AG50" s="362">
        <f t="shared" si="42"/>
        <v>0</v>
      </c>
      <c r="AH50" s="417">
        <f t="shared" si="43"/>
        <v>0</v>
      </c>
    </row>
    <row r="51" spans="1:34">
      <c r="A51" s="402">
        <v>0</v>
      </c>
      <c r="B51" s="356" t="s">
        <v>554</v>
      </c>
      <c r="C51" s="357" t="s">
        <v>417</v>
      </c>
      <c r="D51" s="357" t="s">
        <v>550</v>
      </c>
      <c r="E51" s="358">
        <v>1848.75</v>
      </c>
      <c r="F51" s="359"/>
      <c r="G51" s="358">
        <f>22*6*AI$1</f>
        <v>660</v>
      </c>
      <c r="H51" s="359">
        <v>4</v>
      </c>
      <c r="I51" s="359"/>
      <c r="J51" s="360">
        <f t="shared" si="35"/>
        <v>2023</v>
      </c>
      <c r="K51" s="360">
        <f t="shared" si="35"/>
        <v>2027</v>
      </c>
      <c r="L51" s="360">
        <f t="shared" si="35"/>
        <v>4</v>
      </c>
      <c r="M51" s="358">
        <v>10.6000003814697</v>
      </c>
      <c r="N51" s="358">
        <f t="shared" si="2"/>
        <v>0</v>
      </c>
      <c r="O51" s="358">
        <f t="shared" si="36"/>
        <v>0</v>
      </c>
      <c r="P51" s="358">
        <f t="shared" si="4"/>
        <v>0</v>
      </c>
      <c r="Q51" s="358">
        <f t="shared" si="5"/>
        <v>0</v>
      </c>
      <c r="R51" s="361">
        <f t="shared" si="6"/>
        <v>0</v>
      </c>
      <c r="S51" s="361">
        <f t="shared" si="37"/>
        <v>0</v>
      </c>
      <c r="T51" s="403">
        <f t="shared" si="38"/>
        <v>0</v>
      </c>
      <c r="U51" s="416">
        <v>0</v>
      </c>
      <c r="V51" s="359">
        <f t="shared" si="9"/>
        <v>0</v>
      </c>
      <c r="W51" s="359">
        <v>0</v>
      </c>
      <c r="X51" s="359">
        <f t="shared" si="39"/>
        <v>0</v>
      </c>
      <c r="Y51" s="358">
        <f>0.200000002980232*Y$102</f>
        <v>0.1600000023841856</v>
      </c>
      <c r="Z51" s="358">
        <f t="shared" si="11"/>
        <v>0</v>
      </c>
      <c r="AA51" s="359">
        <v>0</v>
      </c>
      <c r="AB51" s="359">
        <f t="shared" si="12"/>
        <v>0</v>
      </c>
      <c r="AC51" s="363">
        <f t="shared" si="13"/>
        <v>0</v>
      </c>
      <c r="AD51" s="359">
        <f t="shared" si="40"/>
        <v>0</v>
      </c>
      <c r="AE51" s="360">
        <v>220</v>
      </c>
      <c r="AF51" s="358">
        <f t="shared" si="41"/>
        <v>0</v>
      </c>
      <c r="AG51" s="362">
        <f t="shared" si="42"/>
        <v>0</v>
      </c>
      <c r="AH51" s="417">
        <f t="shared" si="43"/>
        <v>0</v>
      </c>
    </row>
    <row r="52" spans="1:34">
      <c r="A52" s="402">
        <v>0</v>
      </c>
      <c r="B52" s="356" t="s">
        <v>555</v>
      </c>
      <c r="C52" s="357" t="s">
        <v>481</v>
      </c>
      <c r="D52" s="357" t="s">
        <v>556</v>
      </c>
      <c r="E52" s="358">
        <v>12062.5</v>
      </c>
      <c r="F52" s="359"/>
      <c r="G52" s="358">
        <f>22*4*AI$1</f>
        <v>440</v>
      </c>
      <c r="H52" s="359">
        <v>4</v>
      </c>
      <c r="I52" s="359"/>
      <c r="J52" s="360">
        <f t="shared" si="35"/>
        <v>2023</v>
      </c>
      <c r="K52" s="360">
        <f t="shared" si="35"/>
        <v>2027</v>
      </c>
      <c r="L52" s="360">
        <f t="shared" si="35"/>
        <v>4</v>
      </c>
      <c r="M52" s="358">
        <v>0</v>
      </c>
      <c r="N52" s="358">
        <f t="shared" si="2"/>
        <v>0</v>
      </c>
      <c r="O52" s="358">
        <f t="shared" si="36"/>
        <v>0</v>
      </c>
      <c r="P52" s="358">
        <f t="shared" si="4"/>
        <v>0</v>
      </c>
      <c r="Q52" s="358">
        <f t="shared" si="5"/>
        <v>0</v>
      </c>
      <c r="R52" s="361">
        <f t="shared" si="6"/>
        <v>0</v>
      </c>
      <c r="S52" s="361">
        <f t="shared" si="37"/>
        <v>0</v>
      </c>
      <c r="T52" s="403">
        <f t="shared" si="38"/>
        <v>0</v>
      </c>
      <c r="U52" s="416">
        <f>VLOOKUP(M52,B.0.ConsumiblesMaquinaria!C$7:D$16,2)</f>
        <v>3.5000000000000003E-2</v>
      </c>
      <c r="V52" s="359">
        <f t="shared" si="9"/>
        <v>0</v>
      </c>
      <c r="W52" s="359">
        <f>+B.0.ConsumiblesMaquinaria!J$23</f>
        <v>9.879999999999999</v>
      </c>
      <c r="X52" s="359">
        <f t="shared" si="39"/>
        <v>1.73</v>
      </c>
      <c r="Y52" s="358">
        <f>0*Y$102</f>
        <v>0</v>
      </c>
      <c r="Z52" s="358">
        <f t="shared" si="11"/>
        <v>0</v>
      </c>
      <c r="AA52" s="359">
        <f>+B.0.ConsumiblesMaquinaria!J$22</f>
        <v>1.8</v>
      </c>
      <c r="AB52" s="359">
        <f t="shared" si="12"/>
        <v>0</v>
      </c>
      <c r="AC52" s="363">
        <f t="shared" si="13"/>
        <v>0</v>
      </c>
      <c r="AD52" s="359">
        <f t="shared" si="40"/>
        <v>0</v>
      </c>
      <c r="AE52" s="360">
        <v>220</v>
      </c>
      <c r="AF52" s="358">
        <f t="shared" si="41"/>
        <v>0</v>
      </c>
      <c r="AG52" s="362">
        <f t="shared" si="42"/>
        <v>0</v>
      </c>
      <c r="AH52" s="417">
        <f t="shared" si="43"/>
        <v>0</v>
      </c>
    </row>
    <row r="53" spans="1:34">
      <c r="A53" s="402">
        <v>8</v>
      </c>
      <c r="B53" s="356" t="s">
        <v>557</v>
      </c>
      <c r="C53" s="357" t="s">
        <v>492</v>
      </c>
      <c r="D53" s="357" t="s">
        <v>552</v>
      </c>
      <c r="E53" s="358">
        <v>681.25</v>
      </c>
      <c r="F53" s="359"/>
      <c r="G53" s="358">
        <f>22*12*AI$1</f>
        <v>1320</v>
      </c>
      <c r="H53" s="359">
        <v>4</v>
      </c>
      <c r="I53" s="359"/>
      <c r="J53" s="360">
        <f t="shared" si="35"/>
        <v>2023</v>
      </c>
      <c r="K53" s="360">
        <f t="shared" si="35"/>
        <v>2027</v>
      </c>
      <c r="L53" s="360">
        <f t="shared" si="35"/>
        <v>4</v>
      </c>
      <c r="M53" s="358">
        <v>1.1000000000000001</v>
      </c>
      <c r="N53" s="358">
        <f t="shared" si="2"/>
        <v>5450</v>
      </c>
      <c r="O53" s="358">
        <f t="shared" si="36"/>
        <v>170.3125</v>
      </c>
      <c r="P53" s="358">
        <f t="shared" si="4"/>
        <v>8.515625</v>
      </c>
      <c r="Q53" s="358">
        <f t="shared" si="5"/>
        <v>5.109375</v>
      </c>
      <c r="R53" s="361">
        <f t="shared" si="6"/>
        <v>0</v>
      </c>
      <c r="S53" s="361">
        <f t="shared" si="37"/>
        <v>183.9375</v>
      </c>
      <c r="T53" s="403">
        <f t="shared" si="38"/>
        <v>1471.5</v>
      </c>
      <c r="U53" s="416">
        <f>VLOOKUP(M53,B.0.ConsumiblesMaquinaria!C$7:D$16,2)</f>
        <v>3.5000000000000003E-2</v>
      </c>
      <c r="V53" s="359">
        <f t="shared" si="9"/>
        <v>46.2</v>
      </c>
      <c r="W53" s="359">
        <f>+B.0.ConsumiblesMaquinaria!J$24</f>
        <v>4.8</v>
      </c>
      <c r="X53" s="359">
        <f t="shared" si="39"/>
        <v>0.84</v>
      </c>
      <c r="Y53" s="358">
        <f>0.5*Y$102</f>
        <v>0.4</v>
      </c>
      <c r="Z53" s="358">
        <f t="shared" si="11"/>
        <v>528</v>
      </c>
      <c r="AA53" s="359">
        <f>+B.0.ConsumiblesMaquinaria!J$22</f>
        <v>1.8</v>
      </c>
      <c r="AB53" s="359">
        <f t="shared" si="12"/>
        <v>3.6</v>
      </c>
      <c r="AC53" s="363">
        <f t="shared" si="13"/>
        <v>6.8125000000000005E-2</v>
      </c>
      <c r="AD53" s="359">
        <f t="shared" si="40"/>
        <v>4.5081250000000006</v>
      </c>
      <c r="AE53" s="360">
        <v>220</v>
      </c>
      <c r="AF53" s="358">
        <f t="shared" si="41"/>
        <v>991.78750000000014</v>
      </c>
      <c r="AG53" s="362">
        <f t="shared" si="42"/>
        <v>7934.3000000000011</v>
      </c>
      <c r="AH53" s="417">
        <f t="shared" si="43"/>
        <v>9405.8000000000011</v>
      </c>
    </row>
    <row r="54" spans="1:34">
      <c r="A54" s="404">
        <v>4</v>
      </c>
      <c r="B54" s="405" t="s">
        <v>558</v>
      </c>
      <c r="C54" s="406"/>
      <c r="D54" s="406" t="s">
        <v>550</v>
      </c>
      <c r="E54" s="407">
        <v>1875</v>
      </c>
      <c r="F54" s="408"/>
      <c r="G54" s="407">
        <f>22*12*AI$1</f>
        <v>1320</v>
      </c>
      <c r="H54" s="408">
        <v>4</v>
      </c>
      <c r="I54" s="408"/>
      <c r="J54" s="409">
        <f t="shared" si="35"/>
        <v>2023</v>
      </c>
      <c r="K54" s="409">
        <f t="shared" si="35"/>
        <v>2027</v>
      </c>
      <c r="L54" s="409">
        <f t="shared" si="35"/>
        <v>4</v>
      </c>
      <c r="M54" s="407">
        <v>3</v>
      </c>
      <c r="N54" s="407">
        <f t="shared" si="2"/>
        <v>7500</v>
      </c>
      <c r="O54" s="407">
        <f t="shared" si="36"/>
        <v>468.75</v>
      </c>
      <c r="P54" s="407">
        <f t="shared" si="4"/>
        <v>23.4375</v>
      </c>
      <c r="Q54" s="407">
        <f t="shared" si="5"/>
        <v>14.0625</v>
      </c>
      <c r="R54" s="410">
        <f t="shared" si="6"/>
        <v>0</v>
      </c>
      <c r="S54" s="410">
        <f t="shared" si="37"/>
        <v>506.25</v>
      </c>
      <c r="T54" s="411">
        <f t="shared" si="38"/>
        <v>2025</v>
      </c>
      <c r="U54" s="418">
        <v>0</v>
      </c>
      <c r="V54" s="408">
        <f t="shared" si="9"/>
        <v>0</v>
      </c>
      <c r="W54" s="408">
        <v>0</v>
      </c>
      <c r="X54" s="408">
        <f t="shared" si="39"/>
        <v>0</v>
      </c>
      <c r="Y54" s="407">
        <f>0*Y$102</f>
        <v>0</v>
      </c>
      <c r="Z54" s="407">
        <f t="shared" si="11"/>
        <v>0</v>
      </c>
      <c r="AA54" s="408">
        <v>0</v>
      </c>
      <c r="AB54" s="408">
        <f t="shared" si="12"/>
        <v>0</v>
      </c>
      <c r="AC54" s="419">
        <f t="shared" si="13"/>
        <v>0.1875</v>
      </c>
      <c r="AD54" s="408">
        <f t="shared" si="40"/>
        <v>0.1875</v>
      </c>
      <c r="AE54" s="409">
        <v>220</v>
      </c>
      <c r="AF54" s="407">
        <f t="shared" si="41"/>
        <v>41.25</v>
      </c>
      <c r="AG54" s="420">
        <f t="shared" si="42"/>
        <v>165</v>
      </c>
      <c r="AH54" s="421">
        <f t="shared" si="43"/>
        <v>2190</v>
      </c>
    </row>
    <row r="55" spans="1:34">
      <c r="A55" s="696" t="s">
        <v>559</v>
      </c>
      <c r="B55" s="697"/>
      <c r="C55" s="697"/>
      <c r="D55" s="344"/>
      <c r="E55" s="344"/>
      <c r="F55" s="344"/>
      <c r="G55" s="344"/>
      <c r="H55" s="344"/>
      <c r="I55" s="344"/>
      <c r="J55" s="424"/>
      <c r="K55" s="424"/>
      <c r="L55" s="42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425"/>
    </row>
    <row r="56" spans="1:34">
      <c r="A56" s="394">
        <v>2</v>
      </c>
      <c r="B56" s="395" t="s">
        <v>560</v>
      </c>
      <c r="C56" s="396"/>
      <c r="D56" s="396" t="s">
        <v>561</v>
      </c>
      <c r="E56" s="397">
        <v>125</v>
      </c>
      <c r="F56" s="398"/>
      <c r="G56" s="397">
        <f>22*4*AI$1</f>
        <v>440</v>
      </c>
      <c r="H56" s="398">
        <v>2</v>
      </c>
      <c r="I56" s="398"/>
      <c r="J56" s="399">
        <f t="shared" ref="J56:L60" si="44">J$4</f>
        <v>2023</v>
      </c>
      <c r="K56" s="399">
        <f t="shared" si="44"/>
        <v>2027</v>
      </c>
      <c r="L56" s="399">
        <f t="shared" si="44"/>
        <v>4</v>
      </c>
      <c r="M56" s="397">
        <v>0</v>
      </c>
      <c r="N56" s="397">
        <f t="shared" si="2"/>
        <v>250</v>
      </c>
      <c r="O56" s="397">
        <f t="shared" ref="O56:O60" si="45">IF(A56&gt;0,E56/H56,0)</f>
        <v>62.5</v>
      </c>
      <c r="P56" s="397">
        <f t="shared" si="4"/>
        <v>3.125</v>
      </c>
      <c r="Q56" s="397">
        <f t="shared" si="5"/>
        <v>1.875</v>
      </c>
      <c r="R56" s="400">
        <f t="shared" si="6"/>
        <v>0</v>
      </c>
      <c r="S56" s="400">
        <f t="shared" ref="S56:S60" si="46">IF(A56&gt;0,(O56+P56+Q56),0)</f>
        <v>67.5</v>
      </c>
      <c r="T56" s="401">
        <f t="shared" ref="T56:T60" si="47">(O56+P56+Q56)*A56</f>
        <v>135</v>
      </c>
      <c r="U56" s="412">
        <v>0</v>
      </c>
      <c r="V56" s="398">
        <f t="shared" si="9"/>
        <v>0</v>
      </c>
      <c r="W56" s="398">
        <v>0</v>
      </c>
      <c r="X56" s="398">
        <f>+ROUND(U56*AI$1*W56,2)</f>
        <v>0</v>
      </c>
      <c r="Y56" s="397">
        <f>0*Y$102</f>
        <v>0</v>
      </c>
      <c r="Z56" s="397">
        <f t="shared" si="11"/>
        <v>0</v>
      </c>
      <c r="AA56" s="398">
        <v>0</v>
      </c>
      <c r="AB56" s="398">
        <f t="shared" si="12"/>
        <v>0</v>
      </c>
      <c r="AC56" s="413">
        <f t="shared" si="13"/>
        <v>1.2500000000000001E-2</v>
      </c>
      <c r="AD56" s="398">
        <f t="shared" ref="AD56:AD60" si="48">IF(A56&gt;0,(SUM(AB56:AC56)+X56),0)</f>
        <v>1.2500000000000001E-2</v>
      </c>
      <c r="AE56" s="399">
        <v>60</v>
      </c>
      <c r="AF56" s="397">
        <f t="shared" ref="AF56:AF60" si="49">AE56*AD56</f>
        <v>0.75</v>
      </c>
      <c r="AG56" s="414">
        <f t="shared" ref="AG56:AG60" si="50">AF56*A56</f>
        <v>1.5</v>
      </c>
      <c r="AH56" s="415">
        <f t="shared" ref="AH56:AH60" si="51">AG56+T56</f>
        <v>136.5</v>
      </c>
    </row>
    <row r="57" spans="1:34">
      <c r="A57" s="402">
        <v>0</v>
      </c>
      <c r="B57" s="356" t="s">
        <v>562</v>
      </c>
      <c r="C57" s="357" t="s">
        <v>481</v>
      </c>
      <c r="D57" s="357" t="s">
        <v>561</v>
      </c>
      <c r="E57" s="358">
        <v>750</v>
      </c>
      <c r="F57" s="359"/>
      <c r="G57" s="358">
        <f>22*4*AI$1</f>
        <v>440</v>
      </c>
      <c r="H57" s="359">
        <v>2</v>
      </c>
      <c r="I57" s="359"/>
      <c r="J57" s="360">
        <f t="shared" si="44"/>
        <v>2023</v>
      </c>
      <c r="K57" s="360">
        <f t="shared" si="44"/>
        <v>2027</v>
      </c>
      <c r="L57" s="360">
        <f t="shared" si="44"/>
        <v>4</v>
      </c>
      <c r="M57" s="358">
        <v>6</v>
      </c>
      <c r="N57" s="358">
        <f t="shared" si="2"/>
        <v>0</v>
      </c>
      <c r="O57" s="358">
        <f t="shared" si="45"/>
        <v>0</v>
      </c>
      <c r="P57" s="358">
        <f t="shared" si="4"/>
        <v>0</v>
      </c>
      <c r="Q57" s="358">
        <f t="shared" si="5"/>
        <v>0</v>
      </c>
      <c r="R57" s="361">
        <f t="shared" si="6"/>
        <v>0</v>
      </c>
      <c r="S57" s="361">
        <f t="shared" si="46"/>
        <v>0</v>
      </c>
      <c r="T57" s="403">
        <f t="shared" si="47"/>
        <v>0</v>
      </c>
      <c r="U57" s="416">
        <f>VLOOKUP(M57,B.0.ConsumiblesMaquinaria!C$7:D$16,2)</f>
        <v>3.5000000000000003E-2</v>
      </c>
      <c r="V57" s="359">
        <f t="shared" si="9"/>
        <v>0</v>
      </c>
      <c r="W57" s="359">
        <f>+B.0.ConsumiblesMaquinaria!J$23</f>
        <v>9.879999999999999</v>
      </c>
      <c r="X57" s="359">
        <f>+ROUND(U57*AI$1*W57,2)</f>
        <v>1.73</v>
      </c>
      <c r="Y57" s="358">
        <f>0.5*Y$102</f>
        <v>0.4</v>
      </c>
      <c r="Z57" s="358">
        <f t="shared" si="11"/>
        <v>0</v>
      </c>
      <c r="AA57" s="359">
        <f>+B.0.ConsumiblesMaquinaria!J$22</f>
        <v>1.8</v>
      </c>
      <c r="AB57" s="359">
        <f t="shared" si="12"/>
        <v>0</v>
      </c>
      <c r="AC57" s="363">
        <f t="shared" si="13"/>
        <v>0</v>
      </c>
      <c r="AD57" s="359">
        <f t="shared" si="48"/>
        <v>0</v>
      </c>
      <c r="AE57" s="360">
        <v>60</v>
      </c>
      <c r="AF57" s="358">
        <f t="shared" si="49"/>
        <v>0</v>
      </c>
      <c r="AG57" s="362">
        <f t="shared" si="50"/>
        <v>0</v>
      </c>
      <c r="AH57" s="417">
        <f t="shared" si="51"/>
        <v>0</v>
      </c>
    </row>
    <row r="58" spans="1:34">
      <c r="A58" s="402">
        <v>0</v>
      </c>
      <c r="B58" s="356" t="s">
        <v>563</v>
      </c>
      <c r="C58" s="357" t="s">
        <v>481</v>
      </c>
      <c r="D58" s="357" t="s">
        <v>561</v>
      </c>
      <c r="E58" s="358">
        <v>2250</v>
      </c>
      <c r="F58" s="359"/>
      <c r="G58" s="358">
        <f>22*4*AI$1</f>
        <v>440</v>
      </c>
      <c r="H58" s="359">
        <v>4</v>
      </c>
      <c r="I58" s="359"/>
      <c r="J58" s="360">
        <f t="shared" si="44"/>
        <v>2023</v>
      </c>
      <c r="K58" s="360">
        <f t="shared" si="44"/>
        <v>2027</v>
      </c>
      <c r="L58" s="360">
        <f t="shared" si="44"/>
        <v>4</v>
      </c>
      <c r="M58" s="358">
        <v>15</v>
      </c>
      <c r="N58" s="358">
        <f t="shared" si="2"/>
        <v>0</v>
      </c>
      <c r="O58" s="358">
        <f t="shared" si="45"/>
        <v>0</v>
      </c>
      <c r="P58" s="358">
        <f t="shared" si="4"/>
        <v>0</v>
      </c>
      <c r="Q58" s="358">
        <f t="shared" si="5"/>
        <v>0</v>
      </c>
      <c r="R58" s="361">
        <f t="shared" si="6"/>
        <v>0</v>
      </c>
      <c r="S58" s="361">
        <f t="shared" si="46"/>
        <v>0</v>
      </c>
      <c r="T58" s="403">
        <f t="shared" si="47"/>
        <v>0</v>
      </c>
      <c r="U58" s="416">
        <f>VLOOKUP(M58,B.0.ConsumiblesMaquinaria!C$7:D$16,2)</f>
        <v>3.5000000000000003E-2</v>
      </c>
      <c r="V58" s="359">
        <f t="shared" si="9"/>
        <v>0</v>
      </c>
      <c r="W58" s="359">
        <f>+B.0.ConsumiblesMaquinaria!J$23</f>
        <v>9.879999999999999</v>
      </c>
      <c r="X58" s="359">
        <f>+ROUND(U58*AI$1*W58,2)</f>
        <v>1.73</v>
      </c>
      <c r="Y58" s="358">
        <f>0.5*Y$102</f>
        <v>0.4</v>
      </c>
      <c r="Z58" s="358">
        <f t="shared" si="11"/>
        <v>0</v>
      </c>
      <c r="AA58" s="359">
        <f>+B.0.ConsumiblesMaquinaria!J$22</f>
        <v>1.8</v>
      </c>
      <c r="AB58" s="359">
        <f t="shared" si="12"/>
        <v>0</v>
      </c>
      <c r="AC58" s="363">
        <f t="shared" si="13"/>
        <v>0</v>
      </c>
      <c r="AD58" s="359">
        <f t="shared" si="48"/>
        <v>0</v>
      </c>
      <c r="AE58" s="360">
        <v>60</v>
      </c>
      <c r="AF58" s="358">
        <f t="shared" si="49"/>
        <v>0</v>
      </c>
      <c r="AG58" s="362">
        <f t="shared" si="50"/>
        <v>0</v>
      </c>
      <c r="AH58" s="417">
        <f t="shared" si="51"/>
        <v>0</v>
      </c>
    </row>
    <row r="59" spans="1:34">
      <c r="A59" s="402">
        <v>0</v>
      </c>
      <c r="B59" s="356" t="s">
        <v>564</v>
      </c>
      <c r="C59" s="357" t="s">
        <v>481</v>
      </c>
      <c r="D59" s="357" t="s">
        <v>561</v>
      </c>
      <c r="E59" s="358">
        <v>9750</v>
      </c>
      <c r="F59" s="359"/>
      <c r="G59" s="358">
        <f>22*4*AI$1</f>
        <v>440</v>
      </c>
      <c r="H59" s="359">
        <v>8</v>
      </c>
      <c r="I59" s="359"/>
      <c r="J59" s="360">
        <f t="shared" si="44"/>
        <v>2023</v>
      </c>
      <c r="K59" s="360">
        <f t="shared" si="44"/>
        <v>2027</v>
      </c>
      <c r="L59" s="360">
        <f t="shared" si="44"/>
        <v>4</v>
      </c>
      <c r="M59" s="358">
        <v>37</v>
      </c>
      <c r="N59" s="358">
        <f t="shared" si="2"/>
        <v>0</v>
      </c>
      <c r="O59" s="358">
        <f t="shared" si="45"/>
        <v>0</v>
      </c>
      <c r="P59" s="358">
        <f t="shared" si="4"/>
        <v>0</v>
      </c>
      <c r="Q59" s="358">
        <f t="shared" si="5"/>
        <v>0</v>
      </c>
      <c r="R59" s="361">
        <f t="shared" si="6"/>
        <v>0</v>
      </c>
      <c r="S59" s="361">
        <f t="shared" si="46"/>
        <v>0</v>
      </c>
      <c r="T59" s="403">
        <f t="shared" si="47"/>
        <v>0</v>
      </c>
      <c r="U59" s="416">
        <f>VLOOKUP(M59,B.0.ConsumiblesMaquinaria!C$7:D$16,2)</f>
        <v>3.9E-2</v>
      </c>
      <c r="V59" s="359">
        <f t="shared" si="9"/>
        <v>0</v>
      </c>
      <c r="W59" s="359">
        <f>+B.0.ConsumiblesMaquinaria!J$23</f>
        <v>9.879999999999999</v>
      </c>
      <c r="X59" s="359">
        <f>+ROUND(U59*AI$1*W59,2)</f>
        <v>1.93</v>
      </c>
      <c r="Y59" s="358">
        <f>1*Y$102</f>
        <v>0.8</v>
      </c>
      <c r="Z59" s="358">
        <f t="shared" si="11"/>
        <v>0</v>
      </c>
      <c r="AA59" s="359">
        <f>+B.0.ConsumiblesMaquinaria!J$22</f>
        <v>1.8</v>
      </c>
      <c r="AB59" s="359">
        <f t="shared" si="12"/>
        <v>0</v>
      </c>
      <c r="AC59" s="363">
        <f t="shared" si="13"/>
        <v>0</v>
      </c>
      <c r="AD59" s="359">
        <f t="shared" si="48"/>
        <v>0</v>
      </c>
      <c r="AE59" s="360">
        <v>60</v>
      </c>
      <c r="AF59" s="358">
        <f t="shared" si="49"/>
        <v>0</v>
      </c>
      <c r="AG59" s="362">
        <f t="shared" si="50"/>
        <v>0</v>
      </c>
      <c r="AH59" s="417">
        <f t="shared" si="51"/>
        <v>0</v>
      </c>
    </row>
    <row r="60" spans="1:34">
      <c r="A60" s="404">
        <v>1</v>
      </c>
      <c r="B60" s="405" t="s">
        <v>565</v>
      </c>
      <c r="C60" s="406" t="s">
        <v>481</v>
      </c>
      <c r="D60" s="406" t="s">
        <v>561</v>
      </c>
      <c r="E60" s="407">
        <v>25250</v>
      </c>
      <c r="F60" s="408"/>
      <c r="G60" s="407">
        <f>22*4*AI$1</f>
        <v>440</v>
      </c>
      <c r="H60" s="408">
        <v>4</v>
      </c>
      <c r="I60" s="408"/>
      <c r="J60" s="409">
        <f t="shared" si="44"/>
        <v>2023</v>
      </c>
      <c r="K60" s="409">
        <f t="shared" si="44"/>
        <v>2027</v>
      </c>
      <c r="L60" s="409">
        <f t="shared" si="44"/>
        <v>4</v>
      </c>
      <c r="M60" s="407">
        <v>37</v>
      </c>
      <c r="N60" s="407">
        <f t="shared" si="2"/>
        <v>25250</v>
      </c>
      <c r="O60" s="407">
        <f t="shared" si="45"/>
        <v>6312.5</v>
      </c>
      <c r="P60" s="407">
        <f t="shared" si="4"/>
        <v>315.625</v>
      </c>
      <c r="Q60" s="407">
        <f t="shared" si="5"/>
        <v>189.375</v>
      </c>
      <c r="R60" s="410">
        <f t="shared" si="6"/>
        <v>0</v>
      </c>
      <c r="S60" s="410">
        <f t="shared" si="46"/>
        <v>6817.5</v>
      </c>
      <c r="T60" s="411">
        <f t="shared" si="47"/>
        <v>6817.5</v>
      </c>
      <c r="U60" s="418">
        <f>VLOOKUP(M60,B.0.ConsumiblesMaquinaria!C$7:D$16,2)</f>
        <v>3.9E-2</v>
      </c>
      <c r="V60" s="408">
        <f t="shared" si="9"/>
        <v>17.16</v>
      </c>
      <c r="W60" s="408">
        <f>+B.0.ConsumiblesMaquinaria!J$23</f>
        <v>9.879999999999999</v>
      </c>
      <c r="X60" s="408">
        <f>+ROUND(U60*AI$1*W60,2)</f>
        <v>1.93</v>
      </c>
      <c r="Y60" s="407">
        <f>1.5*Y$102</f>
        <v>1.2000000000000002</v>
      </c>
      <c r="Z60" s="407">
        <f t="shared" si="11"/>
        <v>528</v>
      </c>
      <c r="AA60" s="408">
        <f>+B.0.ConsumiblesMaquinaria!J$22</f>
        <v>1.8</v>
      </c>
      <c r="AB60" s="408">
        <f t="shared" si="12"/>
        <v>10.8</v>
      </c>
      <c r="AC60" s="419">
        <f t="shared" si="13"/>
        <v>2.5249999999999999</v>
      </c>
      <c r="AD60" s="408">
        <f t="shared" si="48"/>
        <v>15.255000000000001</v>
      </c>
      <c r="AE60" s="409">
        <v>60</v>
      </c>
      <c r="AF60" s="407">
        <f t="shared" si="49"/>
        <v>915.30000000000007</v>
      </c>
      <c r="AG60" s="420">
        <f t="shared" si="50"/>
        <v>915.30000000000007</v>
      </c>
      <c r="AH60" s="421">
        <f t="shared" si="51"/>
        <v>7732.8</v>
      </c>
    </row>
    <row r="61" spans="1:34">
      <c r="A61" s="696" t="s">
        <v>566</v>
      </c>
      <c r="B61" s="697"/>
      <c r="C61" s="697"/>
      <c r="D61" s="344"/>
      <c r="E61" s="344"/>
      <c r="F61" s="344"/>
      <c r="G61" s="344"/>
      <c r="H61" s="344"/>
      <c r="I61" s="344"/>
      <c r="J61" s="424"/>
      <c r="K61" s="424"/>
      <c r="L61" s="424"/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426"/>
      <c r="AH61" s="427"/>
    </row>
    <row r="62" spans="1:34">
      <c r="A62" s="394">
        <v>1</v>
      </c>
      <c r="B62" s="395" t="s">
        <v>567</v>
      </c>
      <c r="C62" s="396"/>
      <c r="D62" s="396" t="s">
        <v>566</v>
      </c>
      <c r="E62" s="397">
        <v>2437.5</v>
      </c>
      <c r="F62" s="398"/>
      <c r="G62" s="397">
        <f>22*4*AI$1</f>
        <v>440</v>
      </c>
      <c r="H62" s="398">
        <v>8</v>
      </c>
      <c r="I62" s="398"/>
      <c r="J62" s="399">
        <f t="shared" ref="J62:L64" si="52">J$4</f>
        <v>2023</v>
      </c>
      <c r="K62" s="399">
        <f t="shared" si="52"/>
        <v>2027</v>
      </c>
      <c r="L62" s="399">
        <f t="shared" si="52"/>
        <v>4</v>
      </c>
      <c r="M62" s="397">
        <v>0</v>
      </c>
      <c r="N62" s="397">
        <f t="shared" si="2"/>
        <v>2437.5</v>
      </c>
      <c r="O62" s="397">
        <f t="shared" ref="O62:O64" si="53">IF(A62&gt;0,E62/H62,0)</f>
        <v>304.6875</v>
      </c>
      <c r="P62" s="397">
        <f t="shared" si="4"/>
        <v>15.234375</v>
      </c>
      <c r="Q62" s="397">
        <f t="shared" si="5"/>
        <v>9.140625</v>
      </c>
      <c r="R62" s="400">
        <f t="shared" si="6"/>
        <v>1218.75</v>
      </c>
      <c r="S62" s="400">
        <f t="shared" ref="S62:S64" si="54">IF(A62&gt;0,(O62+P62+Q62),0)</f>
        <v>329.0625</v>
      </c>
      <c r="T62" s="401">
        <f t="shared" ref="T62:T64" si="55">(O62+P62+Q62)*A62</f>
        <v>329.0625</v>
      </c>
      <c r="U62" s="412">
        <v>0</v>
      </c>
      <c r="V62" s="398">
        <f t="shared" si="9"/>
        <v>0</v>
      </c>
      <c r="W62" s="398">
        <v>0</v>
      </c>
      <c r="X62" s="398">
        <f>+ROUND(U62*AI$1*W62,2)</f>
        <v>0</v>
      </c>
      <c r="Y62" s="397">
        <f>0*Y$102</f>
        <v>0</v>
      </c>
      <c r="Z62" s="397">
        <f t="shared" si="11"/>
        <v>0</v>
      </c>
      <c r="AA62" s="398">
        <f>+B.0.ConsumiblesMaquinaria!J$22</f>
        <v>1.8</v>
      </c>
      <c r="AB62" s="398">
        <f t="shared" si="12"/>
        <v>0</v>
      </c>
      <c r="AC62" s="413">
        <f t="shared" si="13"/>
        <v>0.24375000000000002</v>
      </c>
      <c r="AD62" s="398">
        <f t="shared" ref="AD62:AD64" si="56">IF(A62&gt;0,(SUM(AB62:AC62)+X62),0)</f>
        <v>0.24375000000000002</v>
      </c>
      <c r="AE62" s="399">
        <v>80</v>
      </c>
      <c r="AF62" s="397">
        <f t="shared" ref="AF62:AF64" si="57">AE62*AD62</f>
        <v>19.5</v>
      </c>
      <c r="AG62" s="414">
        <f t="shared" ref="AG62:AG64" si="58">AF62*A62</f>
        <v>19.5</v>
      </c>
      <c r="AH62" s="415">
        <f t="shared" ref="AH62:AH64" si="59">AG62+T62</f>
        <v>348.5625</v>
      </c>
    </row>
    <row r="63" spans="1:34">
      <c r="A63" s="402">
        <v>0</v>
      </c>
      <c r="B63" s="356" t="s">
        <v>568</v>
      </c>
      <c r="C63" s="357" t="s">
        <v>481</v>
      </c>
      <c r="D63" s="357" t="s">
        <v>566</v>
      </c>
      <c r="E63" s="358">
        <v>1133.75</v>
      </c>
      <c r="F63" s="359"/>
      <c r="G63" s="358">
        <f>22*4*AI$1</f>
        <v>440</v>
      </c>
      <c r="H63" s="359">
        <v>4</v>
      </c>
      <c r="I63" s="359"/>
      <c r="J63" s="360">
        <f t="shared" si="52"/>
        <v>2023</v>
      </c>
      <c r="K63" s="360">
        <f t="shared" si="52"/>
        <v>2027</v>
      </c>
      <c r="L63" s="360">
        <f t="shared" si="52"/>
        <v>4</v>
      </c>
      <c r="M63" s="358">
        <v>5.5</v>
      </c>
      <c r="N63" s="358">
        <f t="shared" si="2"/>
        <v>0</v>
      </c>
      <c r="O63" s="358">
        <f t="shared" si="53"/>
        <v>0</v>
      </c>
      <c r="P63" s="358">
        <f t="shared" si="4"/>
        <v>0</v>
      </c>
      <c r="Q63" s="358">
        <f t="shared" si="5"/>
        <v>0</v>
      </c>
      <c r="R63" s="361">
        <f t="shared" si="6"/>
        <v>0</v>
      </c>
      <c r="S63" s="361">
        <f t="shared" si="54"/>
        <v>0</v>
      </c>
      <c r="T63" s="403">
        <f t="shared" si="55"/>
        <v>0</v>
      </c>
      <c r="U63" s="416">
        <f>VLOOKUP(M63,B.0.ConsumiblesMaquinaria!C$7:D$16,2)</f>
        <v>3.5000000000000003E-2</v>
      </c>
      <c r="V63" s="359">
        <f t="shared" si="9"/>
        <v>0</v>
      </c>
      <c r="W63" s="359">
        <f>+B.0.ConsumiblesMaquinaria!J$23</f>
        <v>9.879999999999999</v>
      </c>
      <c r="X63" s="359">
        <f>+ROUND(U63*AI$1*W63,2)</f>
        <v>1.73</v>
      </c>
      <c r="Y63" s="358">
        <f>2.04*Y$102</f>
        <v>1.6320000000000001</v>
      </c>
      <c r="Z63" s="358">
        <f t="shared" si="11"/>
        <v>0</v>
      </c>
      <c r="AA63" s="359">
        <f>+B.0.ConsumiblesMaquinaria!J$22</f>
        <v>1.8</v>
      </c>
      <c r="AB63" s="359">
        <f t="shared" si="12"/>
        <v>0</v>
      </c>
      <c r="AC63" s="363">
        <f t="shared" si="13"/>
        <v>0</v>
      </c>
      <c r="AD63" s="359">
        <f t="shared" si="56"/>
        <v>0</v>
      </c>
      <c r="AE63" s="360">
        <v>80</v>
      </c>
      <c r="AF63" s="358">
        <f t="shared" si="57"/>
        <v>0</v>
      </c>
      <c r="AG63" s="362">
        <f t="shared" si="58"/>
        <v>0</v>
      </c>
      <c r="AH63" s="417">
        <f t="shared" si="59"/>
        <v>0</v>
      </c>
    </row>
    <row r="64" spans="1:34">
      <c r="A64" s="404">
        <v>1</v>
      </c>
      <c r="B64" s="405" t="s">
        <v>569</v>
      </c>
      <c r="C64" s="406"/>
      <c r="D64" s="406" t="s">
        <v>566</v>
      </c>
      <c r="E64" s="407">
        <v>4375</v>
      </c>
      <c r="F64" s="408"/>
      <c r="G64" s="407">
        <f>22*4*AI$1</f>
        <v>440</v>
      </c>
      <c r="H64" s="408">
        <v>4</v>
      </c>
      <c r="I64" s="408"/>
      <c r="J64" s="409">
        <f t="shared" si="52"/>
        <v>2023</v>
      </c>
      <c r="K64" s="409">
        <f t="shared" si="52"/>
        <v>2027</v>
      </c>
      <c r="L64" s="409">
        <f t="shared" si="52"/>
        <v>4</v>
      </c>
      <c r="M64" s="407">
        <v>0</v>
      </c>
      <c r="N64" s="407">
        <f t="shared" si="2"/>
        <v>4375</v>
      </c>
      <c r="O64" s="407">
        <f t="shared" si="53"/>
        <v>1093.75</v>
      </c>
      <c r="P64" s="407">
        <f t="shared" si="4"/>
        <v>54.6875</v>
      </c>
      <c r="Q64" s="407">
        <f t="shared" si="5"/>
        <v>32.8125</v>
      </c>
      <c r="R64" s="410">
        <f t="shared" si="6"/>
        <v>0</v>
      </c>
      <c r="S64" s="410">
        <f t="shared" si="54"/>
        <v>1181.25</v>
      </c>
      <c r="T64" s="411">
        <f t="shared" si="55"/>
        <v>1181.25</v>
      </c>
      <c r="U64" s="418">
        <v>0</v>
      </c>
      <c r="V64" s="408">
        <f t="shared" si="9"/>
        <v>0</v>
      </c>
      <c r="W64" s="408">
        <v>0</v>
      </c>
      <c r="X64" s="408">
        <f>+ROUND(U64*AI$1*W64,2)</f>
        <v>0</v>
      </c>
      <c r="Y64" s="407">
        <f>0*Y$102</f>
        <v>0</v>
      </c>
      <c r="Z64" s="407">
        <f t="shared" si="11"/>
        <v>0</v>
      </c>
      <c r="AA64" s="408">
        <v>0</v>
      </c>
      <c r="AB64" s="408">
        <f t="shared" si="12"/>
        <v>0</v>
      </c>
      <c r="AC64" s="419">
        <f t="shared" si="13"/>
        <v>0.4375</v>
      </c>
      <c r="AD64" s="408">
        <f t="shared" si="56"/>
        <v>0.4375</v>
      </c>
      <c r="AE64" s="409">
        <v>80</v>
      </c>
      <c r="AF64" s="407">
        <f t="shared" si="57"/>
        <v>35</v>
      </c>
      <c r="AG64" s="420">
        <f t="shared" si="58"/>
        <v>35</v>
      </c>
      <c r="AH64" s="421">
        <f t="shared" si="59"/>
        <v>1216.25</v>
      </c>
    </row>
    <row r="65" spans="1:34">
      <c r="A65" s="696" t="s">
        <v>570</v>
      </c>
      <c r="B65" s="697"/>
      <c r="C65" s="697"/>
      <c r="D65" s="344"/>
      <c r="E65" s="344"/>
      <c r="F65" s="344"/>
      <c r="G65" s="344"/>
      <c r="H65" s="344"/>
      <c r="I65" s="344"/>
      <c r="J65" s="424"/>
      <c r="K65" s="424"/>
      <c r="L65" s="42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426"/>
      <c r="AH65" s="427"/>
    </row>
    <row r="66" spans="1:34">
      <c r="A66" s="394">
        <v>1</v>
      </c>
      <c r="B66" s="395" t="s">
        <v>571</v>
      </c>
      <c r="C66" s="396" t="s">
        <v>481</v>
      </c>
      <c r="D66" s="396" t="s">
        <v>572</v>
      </c>
      <c r="E66" s="397">
        <v>25562.5</v>
      </c>
      <c r="F66" s="398"/>
      <c r="G66" s="397">
        <f>22*4*AI$1</f>
        <v>440</v>
      </c>
      <c r="H66" s="398">
        <v>8</v>
      </c>
      <c r="I66" s="398"/>
      <c r="J66" s="399">
        <f t="shared" ref="J66:L78" si="60">J$4</f>
        <v>2023</v>
      </c>
      <c r="K66" s="399">
        <f t="shared" si="60"/>
        <v>2027</v>
      </c>
      <c r="L66" s="399">
        <f t="shared" si="60"/>
        <v>4</v>
      </c>
      <c r="M66" s="397">
        <v>54</v>
      </c>
      <c r="N66" s="397">
        <f t="shared" si="2"/>
        <v>25562.5</v>
      </c>
      <c r="O66" s="397">
        <f t="shared" ref="O66:O78" si="61">IF(A66&gt;0,E66/H66,0)</f>
        <v>3195.3125</v>
      </c>
      <c r="P66" s="397">
        <f t="shared" si="4"/>
        <v>159.765625</v>
      </c>
      <c r="Q66" s="397">
        <f t="shared" si="5"/>
        <v>95.859375</v>
      </c>
      <c r="R66" s="400">
        <f t="shared" si="6"/>
        <v>12781.25</v>
      </c>
      <c r="S66" s="400">
        <f t="shared" ref="S66:S78" si="62">IF(A66&gt;0,(O66+P66+Q66),0)</f>
        <v>3450.9375</v>
      </c>
      <c r="T66" s="401">
        <f t="shared" ref="T66:T78" si="63">(O66+P66+Q66)*A66</f>
        <v>3450.9375</v>
      </c>
      <c r="U66" s="412">
        <f>VLOOKUP(M66,B.0.ConsumiblesMaquinaria!C$7:D$16,2)</f>
        <v>4.7E-2</v>
      </c>
      <c r="V66" s="398">
        <f t="shared" si="9"/>
        <v>20.68</v>
      </c>
      <c r="W66" s="398">
        <f>+B.0.ConsumiblesMaquinaria!J$23</f>
        <v>9.879999999999999</v>
      </c>
      <c r="X66" s="398">
        <f t="shared" ref="X66:X78" si="64">+ROUND(U66*AI$1*W66,2)</f>
        <v>2.3199999999999998</v>
      </c>
      <c r="Y66" s="397">
        <f>4*Y$102</f>
        <v>3.2</v>
      </c>
      <c r="Z66" s="397">
        <f t="shared" si="11"/>
        <v>1408</v>
      </c>
      <c r="AA66" s="398">
        <f>+B.0.ConsumiblesMaquinaria!J$22</f>
        <v>1.8</v>
      </c>
      <c r="AB66" s="398">
        <f t="shared" si="12"/>
        <v>28.8</v>
      </c>
      <c r="AC66" s="413">
        <f t="shared" si="13"/>
        <v>2.5562499999999999</v>
      </c>
      <c r="AD66" s="398">
        <f t="shared" ref="AD66:AD78" si="65">IF(A66&gt;0,(SUM(AB66:AC66)+X66),0)</f>
        <v>33.676249999999996</v>
      </c>
      <c r="AE66" s="399">
        <v>80</v>
      </c>
      <c r="AF66" s="397">
        <f t="shared" ref="AF66:AF78" si="66">AE66*AD66</f>
        <v>2694.0999999999995</v>
      </c>
      <c r="AG66" s="414">
        <f t="shared" ref="AG66:AG78" si="67">AF66*A66</f>
        <v>2694.0999999999995</v>
      </c>
      <c r="AH66" s="415">
        <f t="shared" ref="AH66:AH78" si="68">AG66+T66</f>
        <v>6145.0374999999995</v>
      </c>
    </row>
    <row r="67" spans="1:34">
      <c r="A67" s="402">
        <v>0</v>
      </c>
      <c r="B67" s="356" t="s">
        <v>573</v>
      </c>
      <c r="C67" s="357" t="s">
        <v>481</v>
      </c>
      <c r="D67" s="357" t="s">
        <v>572</v>
      </c>
      <c r="E67" s="358">
        <v>42625</v>
      </c>
      <c r="F67" s="359"/>
      <c r="G67" s="358">
        <f t="shared" ref="G67:G76" si="69">22*4*AI$1</f>
        <v>440</v>
      </c>
      <c r="H67" s="359">
        <v>8</v>
      </c>
      <c r="I67" s="359"/>
      <c r="J67" s="360">
        <f t="shared" si="60"/>
        <v>2023</v>
      </c>
      <c r="K67" s="360">
        <f t="shared" si="60"/>
        <v>2027</v>
      </c>
      <c r="L67" s="360">
        <f t="shared" si="60"/>
        <v>4</v>
      </c>
      <c r="M67" s="358">
        <v>83</v>
      </c>
      <c r="N67" s="358">
        <f t="shared" si="2"/>
        <v>0</v>
      </c>
      <c r="O67" s="358">
        <f t="shared" si="61"/>
        <v>0</v>
      </c>
      <c r="P67" s="358">
        <f t="shared" si="4"/>
        <v>0</v>
      </c>
      <c r="Q67" s="358">
        <f t="shared" si="5"/>
        <v>0</v>
      </c>
      <c r="R67" s="361">
        <f t="shared" si="6"/>
        <v>0</v>
      </c>
      <c r="S67" s="361">
        <f t="shared" si="62"/>
        <v>0</v>
      </c>
      <c r="T67" s="403">
        <f t="shared" si="63"/>
        <v>0</v>
      </c>
      <c r="U67" s="416">
        <f>VLOOKUP(M67,B.0.ConsumiblesMaquinaria!C$7:D$16,2)</f>
        <v>7.5999999999999998E-2</v>
      </c>
      <c r="V67" s="359">
        <f t="shared" si="9"/>
        <v>0</v>
      </c>
      <c r="W67" s="359">
        <f>+B.0.ConsumiblesMaquinaria!J$23</f>
        <v>9.879999999999999</v>
      </c>
      <c r="X67" s="359">
        <f t="shared" si="64"/>
        <v>3.75</v>
      </c>
      <c r="Y67" s="358">
        <f>8.5*Y$102</f>
        <v>6.8000000000000007</v>
      </c>
      <c r="Z67" s="358">
        <f t="shared" si="11"/>
        <v>0</v>
      </c>
      <c r="AA67" s="359">
        <f>+B.0.ConsumiblesMaquinaria!J$22</f>
        <v>1.8</v>
      </c>
      <c r="AB67" s="359">
        <f t="shared" si="12"/>
        <v>0</v>
      </c>
      <c r="AC67" s="363">
        <f t="shared" si="13"/>
        <v>0</v>
      </c>
      <c r="AD67" s="359">
        <f t="shared" si="65"/>
        <v>0</v>
      </c>
      <c r="AE67" s="360">
        <v>80</v>
      </c>
      <c r="AF67" s="358">
        <f t="shared" si="66"/>
        <v>0</v>
      </c>
      <c r="AG67" s="362">
        <f t="shared" si="67"/>
        <v>0</v>
      </c>
      <c r="AH67" s="417">
        <f t="shared" si="68"/>
        <v>0</v>
      </c>
    </row>
    <row r="68" spans="1:34">
      <c r="A68" s="402">
        <v>0</v>
      </c>
      <c r="B68" s="356" t="s">
        <v>574</v>
      </c>
      <c r="C68" s="357"/>
      <c r="D68" s="357" t="s">
        <v>516</v>
      </c>
      <c r="E68" s="358">
        <v>3500</v>
      </c>
      <c r="F68" s="359"/>
      <c r="G68" s="358">
        <f t="shared" si="69"/>
        <v>440</v>
      </c>
      <c r="H68" s="359">
        <v>4</v>
      </c>
      <c r="I68" s="359"/>
      <c r="J68" s="360">
        <f t="shared" si="60"/>
        <v>2023</v>
      </c>
      <c r="K68" s="360">
        <f t="shared" si="60"/>
        <v>2027</v>
      </c>
      <c r="L68" s="360">
        <f t="shared" si="60"/>
        <v>4</v>
      </c>
      <c r="M68" s="358">
        <v>0</v>
      </c>
      <c r="N68" s="358">
        <f t="shared" si="2"/>
        <v>0</v>
      </c>
      <c r="O68" s="358">
        <f t="shared" si="61"/>
        <v>0</v>
      </c>
      <c r="P68" s="358">
        <f t="shared" si="4"/>
        <v>0</v>
      </c>
      <c r="Q68" s="358">
        <f t="shared" si="5"/>
        <v>0</v>
      </c>
      <c r="R68" s="361">
        <f t="shared" si="6"/>
        <v>0</v>
      </c>
      <c r="S68" s="361">
        <f t="shared" si="62"/>
        <v>0</v>
      </c>
      <c r="T68" s="403">
        <f t="shared" si="63"/>
        <v>0</v>
      </c>
      <c r="U68" s="416">
        <v>0</v>
      </c>
      <c r="V68" s="359">
        <f t="shared" si="9"/>
        <v>0</v>
      </c>
      <c r="W68" s="359">
        <v>0</v>
      </c>
      <c r="X68" s="359">
        <f t="shared" si="64"/>
        <v>0</v>
      </c>
      <c r="Y68" s="358">
        <f t="shared" ref="Y68:Y78" si="70">0*Y$102</f>
        <v>0</v>
      </c>
      <c r="Z68" s="358">
        <f t="shared" si="11"/>
        <v>0</v>
      </c>
      <c r="AA68" s="359">
        <f>+B.0.ConsumiblesMaquinaria!J$22</f>
        <v>1.8</v>
      </c>
      <c r="AB68" s="359">
        <f t="shared" si="12"/>
        <v>0</v>
      </c>
      <c r="AC68" s="363">
        <f t="shared" si="13"/>
        <v>0</v>
      </c>
      <c r="AD68" s="359">
        <f t="shared" si="65"/>
        <v>0</v>
      </c>
      <c r="AE68" s="360">
        <v>80</v>
      </c>
      <c r="AF68" s="358">
        <f t="shared" si="66"/>
        <v>0</v>
      </c>
      <c r="AG68" s="362">
        <f t="shared" si="67"/>
        <v>0</v>
      </c>
      <c r="AH68" s="417">
        <f t="shared" si="68"/>
        <v>0</v>
      </c>
    </row>
    <row r="69" spans="1:34">
      <c r="A69" s="402">
        <v>0</v>
      </c>
      <c r="B69" s="356" t="s">
        <v>575</v>
      </c>
      <c r="C69" s="357"/>
      <c r="D69" s="357" t="s">
        <v>516</v>
      </c>
      <c r="E69" s="358">
        <v>4375</v>
      </c>
      <c r="F69" s="359"/>
      <c r="G69" s="358">
        <f t="shared" si="69"/>
        <v>440</v>
      </c>
      <c r="H69" s="359">
        <v>4</v>
      </c>
      <c r="I69" s="359"/>
      <c r="J69" s="360">
        <f t="shared" si="60"/>
        <v>2023</v>
      </c>
      <c r="K69" s="360">
        <f t="shared" si="60"/>
        <v>2027</v>
      </c>
      <c r="L69" s="360">
        <f t="shared" si="60"/>
        <v>4</v>
      </c>
      <c r="M69" s="358">
        <v>0</v>
      </c>
      <c r="N69" s="358">
        <f t="shared" si="2"/>
        <v>0</v>
      </c>
      <c r="O69" s="358">
        <f t="shared" si="61"/>
        <v>0</v>
      </c>
      <c r="P69" s="358">
        <f t="shared" si="4"/>
        <v>0</v>
      </c>
      <c r="Q69" s="358">
        <f t="shared" si="5"/>
        <v>0</v>
      </c>
      <c r="R69" s="361">
        <f t="shared" si="6"/>
        <v>0</v>
      </c>
      <c r="S69" s="361">
        <f t="shared" si="62"/>
        <v>0</v>
      </c>
      <c r="T69" s="403">
        <f t="shared" si="63"/>
        <v>0</v>
      </c>
      <c r="U69" s="416">
        <v>0</v>
      </c>
      <c r="V69" s="359">
        <f t="shared" si="9"/>
        <v>0</v>
      </c>
      <c r="W69" s="359">
        <v>0</v>
      </c>
      <c r="X69" s="359">
        <f t="shared" si="64"/>
        <v>0</v>
      </c>
      <c r="Y69" s="358">
        <f t="shared" si="70"/>
        <v>0</v>
      </c>
      <c r="Z69" s="358">
        <f t="shared" si="11"/>
        <v>0</v>
      </c>
      <c r="AA69" s="359">
        <f>+B.0.ConsumiblesMaquinaria!J$22</f>
        <v>1.8</v>
      </c>
      <c r="AB69" s="359">
        <f t="shared" si="12"/>
        <v>0</v>
      </c>
      <c r="AC69" s="363">
        <f t="shared" si="13"/>
        <v>0</v>
      </c>
      <c r="AD69" s="359">
        <f t="shared" si="65"/>
        <v>0</v>
      </c>
      <c r="AE69" s="360">
        <v>80</v>
      </c>
      <c r="AF69" s="358">
        <f t="shared" si="66"/>
        <v>0</v>
      </c>
      <c r="AG69" s="362">
        <f t="shared" si="67"/>
        <v>0</v>
      </c>
      <c r="AH69" s="417">
        <f t="shared" si="68"/>
        <v>0</v>
      </c>
    </row>
    <row r="70" spans="1:34">
      <c r="A70" s="402">
        <v>1</v>
      </c>
      <c r="B70" s="356" t="s">
        <v>576</v>
      </c>
      <c r="C70" s="357"/>
      <c r="D70" s="357" t="s">
        <v>577</v>
      </c>
      <c r="E70" s="358">
        <v>11750</v>
      </c>
      <c r="F70" s="359"/>
      <c r="G70" s="358">
        <f t="shared" si="69"/>
        <v>440</v>
      </c>
      <c r="H70" s="359">
        <v>8</v>
      </c>
      <c r="I70" s="359"/>
      <c r="J70" s="360">
        <f t="shared" si="60"/>
        <v>2023</v>
      </c>
      <c r="K70" s="360">
        <f t="shared" si="60"/>
        <v>2027</v>
      </c>
      <c r="L70" s="360">
        <f t="shared" si="60"/>
        <v>4</v>
      </c>
      <c r="M70" s="358">
        <v>0</v>
      </c>
      <c r="N70" s="358">
        <f t="shared" si="2"/>
        <v>11750</v>
      </c>
      <c r="O70" s="358">
        <f t="shared" si="61"/>
        <v>1468.75</v>
      </c>
      <c r="P70" s="358">
        <f t="shared" si="4"/>
        <v>73.4375</v>
      </c>
      <c r="Q70" s="358">
        <f t="shared" si="5"/>
        <v>44.0625</v>
      </c>
      <c r="R70" s="361">
        <f t="shared" si="6"/>
        <v>5875</v>
      </c>
      <c r="S70" s="361">
        <f t="shared" si="62"/>
        <v>1586.25</v>
      </c>
      <c r="T70" s="403">
        <f t="shared" si="63"/>
        <v>1586.25</v>
      </c>
      <c r="U70" s="416">
        <v>0</v>
      </c>
      <c r="V70" s="359">
        <f t="shared" si="9"/>
        <v>0</v>
      </c>
      <c r="W70" s="359">
        <v>0</v>
      </c>
      <c r="X70" s="359">
        <f t="shared" si="64"/>
        <v>0</v>
      </c>
      <c r="Y70" s="358">
        <f t="shared" si="70"/>
        <v>0</v>
      </c>
      <c r="Z70" s="358">
        <f t="shared" si="11"/>
        <v>0</v>
      </c>
      <c r="AA70" s="359">
        <f>+B.0.ConsumiblesMaquinaria!J$22</f>
        <v>1.8</v>
      </c>
      <c r="AB70" s="359">
        <f t="shared" si="12"/>
        <v>0</v>
      </c>
      <c r="AC70" s="363">
        <f t="shared" si="13"/>
        <v>1.175</v>
      </c>
      <c r="AD70" s="359">
        <f t="shared" si="65"/>
        <v>1.175</v>
      </c>
      <c r="AE70" s="360">
        <v>80</v>
      </c>
      <c r="AF70" s="358">
        <f t="shared" si="66"/>
        <v>94</v>
      </c>
      <c r="AG70" s="362">
        <f t="shared" si="67"/>
        <v>94</v>
      </c>
      <c r="AH70" s="417">
        <f t="shared" si="68"/>
        <v>1680.25</v>
      </c>
    </row>
    <row r="71" spans="1:34">
      <c r="A71" s="402">
        <v>0</v>
      </c>
      <c r="B71" s="356" t="s">
        <v>578</v>
      </c>
      <c r="C71" s="357"/>
      <c r="D71" s="357" t="s">
        <v>579</v>
      </c>
      <c r="E71" s="358">
        <v>5375</v>
      </c>
      <c r="F71" s="359"/>
      <c r="G71" s="358">
        <f>22*2*AI$1</f>
        <v>220</v>
      </c>
      <c r="H71" s="359">
        <v>6</v>
      </c>
      <c r="I71" s="359"/>
      <c r="J71" s="360">
        <f t="shared" si="60"/>
        <v>2023</v>
      </c>
      <c r="K71" s="360">
        <f t="shared" si="60"/>
        <v>2027</v>
      </c>
      <c r="L71" s="360">
        <f t="shared" si="60"/>
        <v>4</v>
      </c>
      <c r="M71" s="358">
        <v>0</v>
      </c>
      <c r="N71" s="358">
        <f t="shared" si="2"/>
        <v>0</v>
      </c>
      <c r="O71" s="358">
        <f t="shared" si="61"/>
        <v>0</v>
      </c>
      <c r="P71" s="358">
        <f t="shared" si="4"/>
        <v>0</v>
      </c>
      <c r="Q71" s="358">
        <f t="shared" si="5"/>
        <v>0</v>
      </c>
      <c r="R71" s="361">
        <f t="shared" si="6"/>
        <v>0</v>
      </c>
      <c r="S71" s="361">
        <f t="shared" si="62"/>
        <v>0</v>
      </c>
      <c r="T71" s="403">
        <f t="shared" si="63"/>
        <v>0</v>
      </c>
      <c r="U71" s="416">
        <v>0</v>
      </c>
      <c r="V71" s="359">
        <f t="shared" si="9"/>
        <v>0</v>
      </c>
      <c r="W71" s="359">
        <v>0</v>
      </c>
      <c r="X71" s="359">
        <f t="shared" si="64"/>
        <v>0</v>
      </c>
      <c r="Y71" s="358">
        <f t="shared" si="70"/>
        <v>0</v>
      </c>
      <c r="Z71" s="358">
        <f t="shared" si="11"/>
        <v>0</v>
      </c>
      <c r="AA71" s="359">
        <f>+B.0.ConsumiblesMaquinaria!J$22</f>
        <v>1.8</v>
      </c>
      <c r="AB71" s="359">
        <f t="shared" si="12"/>
        <v>0</v>
      </c>
      <c r="AC71" s="363">
        <f t="shared" si="13"/>
        <v>0</v>
      </c>
      <c r="AD71" s="359">
        <f t="shared" si="65"/>
        <v>0</v>
      </c>
      <c r="AE71" s="360">
        <v>80</v>
      </c>
      <c r="AF71" s="358">
        <f t="shared" si="66"/>
        <v>0</v>
      </c>
      <c r="AG71" s="362">
        <f t="shared" si="67"/>
        <v>0</v>
      </c>
      <c r="AH71" s="417">
        <f t="shared" si="68"/>
        <v>0</v>
      </c>
    </row>
    <row r="72" spans="1:34">
      <c r="A72" s="402">
        <v>0</v>
      </c>
      <c r="B72" s="356" t="s">
        <v>580</v>
      </c>
      <c r="C72" s="357"/>
      <c r="D72" s="357" t="s">
        <v>581</v>
      </c>
      <c r="E72" s="358">
        <v>1875</v>
      </c>
      <c r="F72" s="359"/>
      <c r="G72" s="358">
        <f>22*2*AI$1</f>
        <v>220</v>
      </c>
      <c r="H72" s="359">
        <v>4</v>
      </c>
      <c r="I72" s="359"/>
      <c r="J72" s="360">
        <f t="shared" si="60"/>
        <v>2023</v>
      </c>
      <c r="K72" s="360">
        <f t="shared" si="60"/>
        <v>2027</v>
      </c>
      <c r="L72" s="360">
        <f t="shared" si="60"/>
        <v>4</v>
      </c>
      <c r="M72" s="358">
        <v>0</v>
      </c>
      <c r="N72" s="358">
        <f t="shared" ref="N72:N98" si="71">E72*A72</f>
        <v>0</v>
      </c>
      <c r="O72" s="358">
        <f t="shared" si="61"/>
        <v>0</v>
      </c>
      <c r="P72" s="358">
        <f t="shared" ref="P72:P98" si="72">O72*P$6</f>
        <v>0</v>
      </c>
      <c r="Q72" s="358">
        <f t="shared" ref="Q72:Q98" si="73">O72*Q$6</f>
        <v>0</v>
      </c>
      <c r="R72" s="361">
        <f t="shared" ref="R72:R78" si="74">IF((H72-L72)&lt;0,0,(O72*(H72-(L72))))</f>
        <v>0</v>
      </c>
      <c r="S72" s="361">
        <f t="shared" si="62"/>
        <v>0</v>
      </c>
      <c r="T72" s="403">
        <f t="shared" si="63"/>
        <v>0</v>
      </c>
      <c r="U72" s="416">
        <v>0</v>
      </c>
      <c r="V72" s="359">
        <f t="shared" ref="V72:V78" si="75">IF(A72&gt;0,+G72*U72,0)</f>
        <v>0</v>
      </c>
      <c r="W72" s="359">
        <v>0</v>
      </c>
      <c r="X72" s="359">
        <f t="shared" si="64"/>
        <v>0</v>
      </c>
      <c r="Y72" s="358">
        <f t="shared" si="70"/>
        <v>0</v>
      </c>
      <c r="Z72" s="358">
        <f t="shared" ref="Z72:Z98" si="76">IF(A72&gt;0,ROUND(Y72*G72,2),0)</f>
        <v>0</v>
      </c>
      <c r="AA72" s="359">
        <f>+B.0.ConsumiblesMaquinaria!J$22</f>
        <v>1.8</v>
      </c>
      <c r="AB72" s="359">
        <f t="shared" ref="AB72:AB98" si="77">IF(A72&gt;0,+ROUND(Y72*AI$1*AA72,4),0)</f>
        <v>0</v>
      </c>
      <c r="AC72" s="363">
        <f t="shared" ref="AC72:AC98" si="78">IF(A72&gt;0,E72*AC$6,0)</f>
        <v>0</v>
      </c>
      <c r="AD72" s="359">
        <f t="shared" si="65"/>
        <v>0</v>
      </c>
      <c r="AE72" s="360">
        <v>80</v>
      </c>
      <c r="AF72" s="358">
        <f t="shared" si="66"/>
        <v>0</v>
      </c>
      <c r="AG72" s="362">
        <f t="shared" si="67"/>
        <v>0</v>
      </c>
      <c r="AH72" s="417">
        <f t="shared" si="68"/>
        <v>0</v>
      </c>
    </row>
    <row r="73" spans="1:34">
      <c r="A73" s="402">
        <v>0</v>
      </c>
      <c r="B73" s="356" t="s">
        <v>582</v>
      </c>
      <c r="C73" s="357"/>
      <c r="D73" s="357" t="s">
        <v>583</v>
      </c>
      <c r="E73" s="358">
        <v>3125</v>
      </c>
      <c r="F73" s="359"/>
      <c r="G73" s="358">
        <f t="shared" si="69"/>
        <v>440</v>
      </c>
      <c r="H73" s="359">
        <v>4</v>
      </c>
      <c r="I73" s="359"/>
      <c r="J73" s="360">
        <f t="shared" si="60"/>
        <v>2023</v>
      </c>
      <c r="K73" s="360">
        <f t="shared" si="60"/>
        <v>2027</v>
      </c>
      <c r="L73" s="360">
        <f t="shared" si="60"/>
        <v>4</v>
      </c>
      <c r="M73" s="358">
        <v>0</v>
      </c>
      <c r="N73" s="358">
        <f t="shared" si="71"/>
        <v>0</v>
      </c>
      <c r="O73" s="358">
        <f t="shared" si="61"/>
        <v>0</v>
      </c>
      <c r="P73" s="358">
        <f t="shared" si="72"/>
        <v>0</v>
      </c>
      <c r="Q73" s="358">
        <f t="shared" si="73"/>
        <v>0</v>
      </c>
      <c r="R73" s="361">
        <f t="shared" si="74"/>
        <v>0</v>
      </c>
      <c r="S73" s="361">
        <f t="shared" si="62"/>
        <v>0</v>
      </c>
      <c r="T73" s="403">
        <f t="shared" si="63"/>
        <v>0</v>
      </c>
      <c r="U73" s="416">
        <v>0</v>
      </c>
      <c r="V73" s="359">
        <f t="shared" si="75"/>
        <v>0</v>
      </c>
      <c r="W73" s="359">
        <v>0</v>
      </c>
      <c r="X73" s="359">
        <f t="shared" si="64"/>
        <v>0</v>
      </c>
      <c r="Y73" s="358">
        <f t="shared" si="70"/>
        <v>0</v>
      </c>
      <c r="Z73" s="358">
        <f t="shared" si="76"/>
        <v>0</v>
      </c>
      <c r="AA73" s="359">
        <f>+B.0.ConsumiblesMaquinaria!J$22</f>
        <v>1.8</v>
      </c>
      <c r="AB73" s="359">
        <f t="shared" si="77"/>
        <v>0</v>
      </c>
      <c r="AC73" s="363">
        <f t="shared" si="78"/>
        <v>0</v>
      </c>
      <c r="AD73" s="359">
        <f t="shared" si="65"/>
        <v>0</v>
      </c>
      <c r="AE73" s="360">
        <v>80</v>
      </c>
      <c r="AF73" s="358">
        <f t="shared" si="66"/>
        <v>0</v>
      </c>
      <c r="AG73" s="362">
        <f t="shared" si="67"/>
        <v>0</v>
      </c>
      <c r="AH73" s="417">
        <f t="shared" si="68"/>
        <v>0</v>
      </c>
    </row>
    <row r="74" spans="1:34">
      <c r="A74" s="402">
        <v>0</v>
      </c>
      <c r="B74" s="356" t="s">
        <v>584</v>
      </c>
      <c r="C74" s="357"/>
      <c r="D74" s="357" t="s">
        <v>508</v>
      </c>
      <c r="E74" s="358">
        <v>3125</v>
      </c>
      <c r="F74" s="359"/>
      <c r="G74" s="358">
        <f t="shared" si="69"/>
        <v>440</v>
      </c>
      <c r="H74" s="359">
        <v>4</v>
      </c>
      <c r="I74" s="359"/>
      <c r="J74" s="360">
        <f t="shared" si="60"/>
        <v>2023</v>
      </c>
      <c r="K74" s="360">
        <f t="shared" si="60"/>
        <v>2027</v>
      </c>
      <c r="L74" s="360">
        <f t="shared" si="60"/>
        <v>4</v>
      </c>
      <c r="M74" s="358">
        <v>0</v>
      </c>
      <c r="N74" s="358">
        <f t="shared" si="71"/>
        <v>0</v>
      </c>
      <c r="O74" s="358">
        <f t="shared" si="61"/>
        <v>0</v>
      </c>
      <c r="P74" s="358">
        <f t="shared" si="72"/>
        <v>0</v>
      </c>
      <c r="Q74" s="358">
        <f t="shared" si="73"/>
        <v>0</v>
      </c>
      <c r="R74" s="361">
        <f t="shared" si="74"/>
        <v>0</v>
      </c>
      <c r="S74" s="361">
        <f t="shared" si="62"/>
        <v>0</v>
      </c>
      <c r="T74" s="403">
        <f t="shared" si="63"/>
        <v>0</v>
      </c>
      <c r="U74" s="416">
        <v>0</v>
      </c>
      <c r="V74" s="359">
        <f t="shared" si="75"/>
        <v>0</v>
      </c>
      <c r="W74" s="359">
        <v>0</v>
      </c>
      <c r="X74" s="359">
        <f t="shared" si="64"/>
        <v>0</v>
      </c>
      <c r="Y74" s="358">
        <f t="shared" si="70"/>
        <v>0</v>
      </c>
      <c r="Z74" s="358">
        <f t="shared" si="76"/>
        <v>0</v>
      </c>
      <c r="AA74" s="359">
        <f>+B.0.ConsumiblesMaquinaria!J$22</f>
        <v>1.8</v>
      </c>
      <c r="AB74" s="359">
        <f t="shared" si="77"/>
        <v>0</v>
      </c>
      <c r="AC74" s="363">
        <f t="shared" si="78"/>
        <v>0</v>
      </c>
      <c r="AD74" s="359">
        <f t="shared" si="65"/>
        <v>0</v>
      </c>
      <c r="AE74" s="360">
        <v>80</v>
      </c>
      <c r="AF74" s="358">
        <f t="shared" si="66"/>
        <v>0</v>
      </c>
      <c r="AG74" s="362">
        <f t="shared" si="67"/>
        <v>0</v>
      </c>
      <c r="AH74" s="417">
        <f t="shared" si="68"/>
        <v>0</v>
      </c>
    </row>
    <row r="75" spans="1:34">
      <c r="A75" s="402">
        <v>1</v>
      </c>
      <c r="B75" s="356" t="s">
        <v>585</v>
      </c>
      <c r="C75" s="357" t="s">
        <v>481</v>
      </c>
      <c r="D75" s="357" t="s">
        <v>586</v>
      </c>
      <c r="E75" s="358">
        <v>3125</v>
      </c>
      <c r="F75" s="359"/>
      <c r="G75" s="358">
        <f t="shared" si="69"/>
        <v>440</v>
      </c>
      <c r="H75" s="359">
        <v>6</v>
      </c>
      <c r="I75" s="359"/>
      <c r="J75" s="360">
        <f t="shared" si="60"/>
        <v>2023</v>
      </c>
      <c r="K75" s="360">
        <f t="shared" si="60"/>
        <v>2027</v>
      </c>
      <c r="L75" s="360">
        <f t="shared" si="60"/>
        <v>4</v>
      </c>
      <c r="M75" s="358">
        <v>50</v>
      </c>
      <c r="N75" s="358">
        <f t="shared" si="71"/>
        <v>3125</v>
      </c>
      <c r="O75" s="358">
        <f t="shared" si="61"/>
        <v>520.83333333333337</v>
      </c>
      <c r="P75" s="358">
        <f t="shared" si="72"/>
        <v>26.041666666666671</v>
      </c>
      <c r="Q75" s="358">
        <f t="shared" si="73"/>
        <v>15.625</v>
      </c>
      <c r="R75" s="361">
        <f t="shared" si="74"/>
        <v>1041.6666666666667</v>
      </c>
      <c r="S75" s="361">
        <f t="shared" si="62"/>
        <v>562.5</v>
      </c>
      <c r="T75" s="403">
        <f t="shared" si="63"/>
        <v>562.5</v>
      </c>
      <c r="U75" s="416">
        <f>VLOOKUP(M75,B.0.ConsumiblesMaquinaria!C$7:D$16,2)</f>
        <v>4.7E-2</v>
      </c>
      <c r="V75" s="359">
        <f t="shared" si="75"/>
        <v>20.68</v>
      </c>
      <c r="W75" s="359">
        <f>+B.0.ConsumiblesMaquinaria!J$23</f>
        <v>9.879999999999999</v>
      </c>
      <c r="X75" s="359">
        <f t="shared" si="64"/>
        <v>2.3199999999999998</v>
      </c>
      <c r="Y75" s="358">
        <f t="shared" si="70"/>
        <v>0</v>
      </c>
      <c r="Z75" s="358">
        <f t="shared" si="76"/>
        <v>0</v>
      </c>
      <c r="AA75" s="359">
        <f>+B.0.ConsumiblesMaquinaria!J$22</f>
        <v>1.8</v>
      </c>
      <c r="AB75" s="359">
        <f t="shared" si="77"/>
        <v>0</v>
      </c>
      <c r="AC75" s="363">
        <f t="shared" si="78"/>
        <v>0.3125</v>
      </c>
      <c r="AD75" s="359">
        <f t="shared" si="65"/>
        <v>2.6324999999999998</v>
      </c>
      <c r="AE75" s="360">
        <v>80</v>
      </c>
      <c r="AF75" s="358">
        <f t="shared" si="66"/>
        <v>210.6</v>
      </c>
      <c r="AG75" s="362">
        <f t="shared" si="67"/>
        <v>210.6</v>
      </c>
      <c r="AH75" s="417">
        <f t="shared" si="68"/>
        <v>773.1</v>
      </c>
    </row>
    <row r="76" spans="1:34">
      <c r="A76" s="402">
        <v>0</v>
      </c>
      <c r="B76" s="356" t="s">
        <v>587</v>
      </c>
      <c r="C76" s="357" t="s">
        <v>481</v>
      </c>
      <c r="D76" s="357" t="s">
        <v>586</v>
      </c>
      <c r="E76" s="358">
        <v>4375</v>
      </c>
      <c r="F76" s="359"/>
      <c r="G76" s="358">
        <f t="shared" si="69"/>
        <v>440</v>
      </c>
      <c r="H76" s="359">
        <v>6</v>
      </c>
      <c r="I76" s="359"/>
      <c r="J76" s="360">
        <f t="shared" si="60"/>
        <v>2023</v>
      </c>
      <c r="K76" s="360">
        <f t="shared" si="60"/>
        <v>2027</v>
      </c>
      <c r="L76" s="360">
        <f t="shared" si="60"/>
        <v>4</v>
      </c>
      <c r="M76" s="358">
        <v>70</v>
      </c>
      <c r="N76" s="358">
        <f t="shared" si="71"/>
        <v>0</v>
      </c>
      <c r="O76" s="358">
        <f t="shared" si="61"/>
        <v>0</v>
      </c>
      <c r="P76" s="358">
        <f t="shared" si="72"/>
        <v>0</v>
      </c>
      <c r="Q76" s="358">
        <f t="shared" si="73"/>
        <v>0</v>
      </c>
      <c r="R76" s="361">
        <f t="shared" si="74"/>
        <v>0</v>
      </c>
      <c r="S76" s="361">
        <f t="shared" si="62"/>
        <v>0</v>
      </c>
      <c r="T76" s="403">
        <f t="shared" si="63"/>
        <v>0</v>
      </c>
      <c r="U76" s="416">
        <f>VLOOKUP(M76,B.0.ConsumiblesMaquinaria!C$7:D$16,2)</f>
        <v>0.06</v>
      </c>
      <c r="V76" s="359">
        <f t="shared" si="75"/>
        <v>0</v>
      </c>
      <c r="W76" s="359">
        <f>+B.0.ConsumiblesMaquinaria!J$23</f>
        <v>9.879999999999999</v>
      </c>
      <c r="X76" s="359">
        <f t="shared" si="64"/>
        <v>2.96</v>
      </c>
      <c r="Y76" s="358">
        <f t="shared" si="70"/>
        <v>0</v>
      </c>
      <c r="Z76" s="358">
        <f t="shared" si="76"/>
        <v>0</v>
      </c>
      <c r="AA76" s="359">
        <f>+B.0.ConsumiblesMaquinaria!J$22</f>
        <v>1.8</v>
      </c>
      <c r="AB76" s="359">
        <f t="shared" si="77"/>
        <v>0</v>
      </c>
      <c r="AC76" s="363">
        <f t="shared" si="78"/>
        <v>0</v>
      </c>
      <c r="AD76" s="359">
        <f t="shared" si="65"/>
        <v>0</v>
      </c>
      <c r="AE76" s="360">
        <v>80</v>
      </c>
      <c r="AF76" s="358">
        <f t="shared" si="66"/>
        <v>0</v>
      </c>
      <c r="AG76" s="362">
        <f t="shared" si="67"/>
        <v>0</v>
      </c>
      <c r="AH76" s="417">
        <f t="shared" si="68"/>
        <v>0</v>
      </c>
    </row>
    <row r="77" spans="1:34">
      <c r="A77" s="402">
        <v>0</v>
      </c>
      <c r="B77" s="356" t="s">
        <v>588</v>
      </c>
      <c r="C77" s="357" t="s">
        <v>481</v>
      </c>
      <c r="D77" s="364" t="s">
        <v>589</v>
      </c>
      <c r="E77" s="358">
        <v>12022.5</v>
      </c>
      <c r="F77" s="359"/>
      <c r="G77" s="358">
        <f>22*8*AI$1</f>
        <v>880</v>
      </c>
      <c r="H77" s="359">
        <v>8</v>
      </c>
      <c r="I77" s="359"/>
      <c r="J77" s="360">
        <f t="shared" si="60"/>
        <v>2023</v>
      </c>
      <c r="K77" s="360">
        <f t="shared" si="60"/>
        <v>2027</v>
      </c>
      <c r="L77" s="360">
        <f t="shared" si="60"/>
        <v>4</v>
      </c>
      <c r="M77" s="358">
        <v>40</v>
      </c>
      <c r="N77" s="358">
        <f t="shared" si="71"/>
        <v>0</v>
      </c>
      <c r="O77" s="358">
        <f t="shared" si="61"/>
        <v>0</v>
      </c>
      <c r="P77" s="358">
        <f t="shared" si="72"/>
        <v>0</v>
      </c>
      <c r="Q77" s="358">
        <f t="shared" si="73"/>
        <v>0</v>
      </c>
      <c r="R77" s="361">
        <f t="shared" si="74"/>
        <v>0</v>
      </c>
      <c r="S77" s="361">
        <f t="shared" si="62"/>
        <v>0</v>
      </c>
      <c r="T77" s="403">
        <f t="shared" si="63"/>
        <v>0</v>
      </c>
      <c r="U77" s="416">
        <f>VLOOKUP(M77,B.0.ConsumiblesMaquinaria!C$7:D$16,2)</f>
        <v>3.9E-2</v>
      </c>
      <c r="V77" s="359">
        <f t="shared" si="75"/>
        <v>0</v>
      </c>
      <c r="W77" s="359">
        <f>+B.0.ConsumiblesMaquinaria!J$23</f>
        <v>9.879999999999999</v>
      </c>
      <c r="X77" s="359">
        <f t="shared" si="64"/>
        <v>1.93</v>
      </c>
      <c r="Y77" s="358">
        <f t="shared" si="70"/>
        <v>0</v>
      </c>
      <c r="Z77" s="358">
        <f t="shared" si="76"/>
        <v>0</v>
      </c>
      <c r="AA77" s="359">
        <f>+B.0.ConsumiblesMaquinaria!J$22</f>
        <v>1.8</v>
      </c>
      <c r="AB77" s="359">
        <f t="shared" si="77"/>
        <v>0</v>
      </c>
      <c r="AC77" s="363">
        <f t="shared" si="78"/>
        <v>0</v>
      </c>
      <c r="AD77" s="359">
        <f t="shared" si="65"/>
        <v>0</v>
      </c>
      <c r="AE77" s="360">
        <v>80</v>
      </c>
      <c r="AF77" s="358">
        <f t="shared" si="66"/>
        <v>0</v>
      </c>
      <c r="AG77" s="362">
        <f t="shared" si="67"/>
        <v>0</v>
      </c>
      <c r="AH77" s="417">
        <f t="shared" si="68"/>
        <v>0</v>
      </c>
    </row>
    <row r="78" spans="1:34">
      <c r="A78" s="404">
        <v>0</v>
      </c>
      <c r="B78" s="405" t="s">
        <v>590</v>
      </c>
      <c r="C78" s="406" t="s">
        <v>481</v>
      </c>
      <c r="D78" s="423" t="s">
        <v>589</v>
      </c>
      <c r="E78" s="407">
        <v>2518.9499999999998</v>
      </c>
      <c r="F78" s="408"/>
      <c r="G78" s="407">
        <f>22*8*AI$1</f>
        <v>880</v>
      </c>
      <c r="H78" s="408">
        <v>8</v>
      </c>
      <c r="I78" s="408"/>
      <c r="J78" s="409">
        <f t="shared" si="60"/>
        <v>2023</v>
      </c>
      <c r="K78" s="409">
        <f t="shared" si="60"/>
        <v>2027</v>
      </c>
      <c r="L78" s="409">
        <f t="shared" si="60"/>
        <v>4</v>
      </c>
      <c r="M78" s="407">
        <v>18</v>
      </c>
      <c r="N78" s="407">
        <f t="shared" si="71"/>
        <v>0</v>
      </c>
      <c r="O78" s="407">
        <f t="shared" si="61"/>
        <v>0</v>
      </c>
      <c r="P78" s="407">
        <f t="shared" si="72"/>
        <v>0</v>
      </c>
      <c r="Q78" s="407">
        <f t="shared" si="73"/>
        <v>0</v>
      </c>
      <c r="R78" s="410">
        <f t="shared" si="74"/>
        <v>0</v>
      </c>
      <c r="S78" s="410">
        <f t="shared" si="62"/>
        <v>0</v>
      </c>
      <c r="T78" s="411">
        <f t="shared" si="63"/>
        <v>0</v>
      </c>
      <c r="U78" s="418">
        <f>VLOOKUP(M78,B.0.ConsumiblesMaquinaria!C$7:D$16,2)</f>
        <v>3.5000000000000003E-2</v>
      </c>
      <c r="V78" s="408">
        <f t="shared" si="75"/>
        <v>0</v>
      </c>
      <c r="W78" s="408">
        <f>+B.0.ConsumiblesMaquinaria!J$23</f>
        <v>9.879999999999999</v>
      </c>
      <c r="X78" s="408">
        <f t="shared" si="64"/>
        <v>1.73</v>
      </c>
      <c r="Y78" s="407">
        <f t="shared" si="70"/>
        <v>0</v>
      </c>
      <c r="Z78" s="407">
        <f t="shared" si="76"/>
        <v>0</v>
      </c>
      <c r="AA78" s="408">
        <f>+B.0.ConsumiblesMaquinaria!J$22</f>
        <v>1.8</v>
      </c>
      <c r="AB78" s="408">
        <f t="shared" si="77"/>
        <v>0</v>
      </c>
      <c r="AC78" s="419">
        <f t="shared" si="78"/>
        <v>0</v>
      </c>
      <c r="AD78" s="408">
        <f t="shared" si="65"/>
        <v>0</v>
      </c>
      <c r="AE78" s="409">
        <v>80</v>
      </c>
      <c r="AF78" s="407">
        <f t="shared" si="66"/>
        <v>0</v>
      </c>
      <c r="AG78" s="420">
        <f t="shared" si="67"/>
        <v>0</v>
      </c>
      <c r="AH78" s="421">
        <f t="shared" si="68"/>
        <v>0</v>
      </c>
    </row>
    <row r="79" spans="1:34">
      <c r="A79" s="696" t="s">
        <v>591</v>
      </c>
      <c r="B79" s="697"/>
      <c r="C79" s="697"/>
      <c r="D79" s="344"/>
      <c r="E79" s="344"/>
      <c r="F79" s="344"/>
      <c r="G79" s="344"/>
      <c r="H79" s="344"/>
      <c r="I79" s="344"/>
      <c r="J79" s="424"/>
      <c r="K79" s="424"/>
      <c r="L79" s="42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4"/>
      <c r="Z79" s="344"/>
      <c r="AA79" s="344"/>
      <c r="AB79" s="344"/>
      <c r="AC79" s="344"/>
      <c r="AD79" s="344"/>
      <c r="AE79" s="344"/>
      <c r="AF79" s="344"/>
      <c r="AG79" s="426"/>
      <c r="AH79" s="427"/>
    </row>
    <row r="80" spans="1:34">
      <c r="A80" s="394">
        <v>0</v>
      </c>
      <c r="B80" s="395" t="s">
        <v>592</v>
      </c>
      <c r="C80" s="396" t="s">
        <v>481</v>
      </c>
      <c r="D80" s="396" t="s">
        <v>593</v>
      </c>
      <c r="E80" s="397">
        <v>55625</v>
      </c>
      <c r="F80" s="398">
        <f>105*22</f>
        <v>2310</v>
      </c>
      <c r="G80" s="397">
        <f>22*2*AI$1</f>
        <v>220</v>
      </c>
      <c r="H80" s="398">
        <v>8</v>
      </c>
      <c r="I80" s="398"/>
      <c r="J80" s="399">
        <f t="shared" ref="J80:L98" si="79">J$4</f>
        <v>2023</v>
      </c>
      <c r="K80" s="399">
        <f t="shared" si="79"/>
        <v>2027</v>
      </c>
      <c r="L80" s="399">
        <f t="shared" si="79"/>
        <v>4</v>
      </c>
      <c r="M80" s="397">
        <v>95</v>
      </c>
      <c r="N80" s="397">
        <f t="shared" si="71"/>
        <v>0</v>
      </c>
      <c r="O80" s="397">
        <f t="shared" ref="O80:O98" si="80">IF(A80&gt;0,E80/H80,0)</f>
        <v>0</v>
      </c>
      <c r="P80" s="397">
        <f t="shared" si="72"/>
        <v>0</v>
      </c>
      <c r="Q80" s="397">
        <f t="shared" si="73"/>
        <v>0</v>
      </c>
      <c r="R80" s="400">
        <f t="shared" ref="R80:R98" si="81">IF((H80-L80)&lt;0,0,(O80*(H80-(L80))))</f>
        <v>0</v>
      </c>
      <c r="S80" s="400">
        <f t="shared" ref="S80:S98" si="82">IF(A80&gt;0,(O80+P80+Q80),0)</f>
        <v>0</v>
      </c>
      <c r="T80" s="414">
        <f t="shared" ref="T80:T98" si="83">(O80+P80+Q80)*A80</f>
        <v>0</v>
      </c>
      <c r="U80" s="413">
        <f>VLOOKUP(M80,B.0.ConsumiblesMaquinaria!C$7:D$16,2)</f>
        <v>7.5999999999999998E-2</v>
      </c>
      <c r="V80" s="398">
        <f t="shared" ref="V80:V98" si="84">IF(A80&gt;0,+G80*U80,0)</f>
        <v>0</v>
      </c>
      <c r="W80" s="398">
        <f>+B.0.ConsumiblesMaquinaria!J$23</f>
        <v>9.879999999999999</v>
      </c>
      <c r="X80" s="398">
        <f t="shared" ref="X80:X98" si="85">+ROUND(U80*AI$1*W80,2)</f>
        <v>3.75</v>
      </c>
      <c r="Y80" s="397">
        <f>5*Y$102</f>
        <v>4</v>
      </c>
      <c r="Z80" s="397">
        <f t="shared" si="76"/>
        <v>0</v>
      </c>
      <c r="AA80" s="398">
        <f>+B.0.ConsumiblesMaquinaria!J$22</f>
        <v>1.8</v>
      </c>
      <c r="AB80" s="398">
        <f t="shared" si="77"/>
        <v>0</v>
      </c>
      <c r="AC80" s="413">
        <f t="shared" si="78"/>
        <v>0</v>
      </c>
      <c r="AD80" s="398">
        <f t="shared" ref="AD80:AD98" si="86">IF(A80&gt;0,(SUM(AB80:AC80)+X80),0)</f>
        <v>0</v>
      </c>
      <c r="AE80" s="399">
        <v>20</v>
      </c>
      <c r="AF80" s="397">
        <f t="shared" ref="AF80:AF98" si="87">AE80*AD80</f>
        <v>0</v>
      </c>
      <c r="AG80" s="414">
        <f t="shared" ref="AG80:AG98" si="88">AF80*A80</f>
        <v>0</v>
      </c>
      <c r="AH80" s="415">
        <f t="shared" ref="AH80:AH98" si="89">AG80+T80</f>
        <v>0</v>
      </c>
    </row>
    <row r="81" spans="1:34">
      <c r="A81" s="402">
        <v>0.5</v>
      </c>
      <c r="B81" s="356" t="s">
        <v>594</v>
      </c>
      <c r="C81" s="357" t="s">
        <v>481</v>
      </c>
      <c r="D81" s="357" t="s">
        <v>593</v>
      </c>
      <c r="E81" s="358">
        <v>42500</v>
      </c>
      <c r="F81" s="359">
        <f>50*22</f>
        <v>1100</v>
      </c>
      <c r="G81" s="358">
        <f>22*4*AI$1</f>
        <v>440</v>
      </c>
      <c r="H81" s="359">
        <v>6</v>
      </c>
      <c r="I81" s="359"/>
      <c r="J81" s="360">
        <f t="shared" si="79"/>
        <v>2023</v>
      </c>
      <c r="K81" s="360">
        <f t="shared" si="79"/>
        <v>2027</v>
      </c>
      <c r="L81" s="360">
        <f t="shared" si="79"/>
        <v>4</v>
      </c>
      <c r="M81" s="358">
        <v>60.700000762939503</v>
      </c>
      <c r="N81" s="358">
        <f t="shared" si="71"/>
        <v>21250</v>
      </c>
      <c r="O81" s="358">
        <f t="shared" si="80"/>
        <v>7083.333333333333</v>
      </c>
      <c r="P81" s="358">
        <f t="shared" si="72"/>
        <v>354.16666666666669</v>
      </c>
      <c r="Q81" s="358">
        <f t="shared" si="73"/>
        <v>212.49999999999997</v>
      </c>
      <c r="R81" s="361">
        <f t="shared" si="81"/>
        <v>14166.666666666666</v>
      </c>
      <c r="S81" s="361">
        <f t="shared" si="82"/>
        <v>7650</v>
      </c>
      <c r="T81" s="362">
        <f t="shared" si="83"/>
        <v>3825</v>
      </c>
      <c r="U81" s="363">
        <f>VLOOKUP(M81,B.0.ConsumiblesMaquinaria!C$7:D$16,2)</f>
        <v>4.7E-2</v>
      </c>
      <c r="V81" s="359">
        <f t="shared" si="84"/>
        <v>20.68</v>
      </c>
      <c r="W81" s="359">
        <f>+B.0.ConsumiblesMaquinaria!J$23</f>
        <v>9.879999999999999</v>
      </c>
      <c r="X81" s="359">
        <f t="shared" si="85"/>
        <v>2.3199999999999998</v>
      </c>
      <c r="Y81" s="358">
        <f>4.5*Y$102</f>
        <v>3.6</v>
      </c>
      <c r="Z81" s="358">
        <f t="shared" si="76"/>
        <v>1584</v>
      </c>
      <c r="AA81" s="359">
        <f>+B.0.ConsumiblesMaquinaria!J$22</f>
        <v>1.8</v>
      </c>
      <c r="AB81" s="359">
        <f t="shared" si="77"/>
        <v>32.4</v>
      </c>
      <c r="AC81" s="363">
        <f t="shared" si="78"/>
        <v>4.25</v>
      </c>
      <c r="AD81" s="359">
        <f t="shared" si="86"/>
        <v>38.97</v>
      </c>
      <c r="AE81" s="360">
        <v>20</v>
      </c>
      <c r="AF81" s="358">
        <f t="shared" si="87"/>
        <v>779.4</v>
      </c>
      <c r="AG81" s="362">
        <f t="shared" si="88"/>
        <v>389.7</v>
      </c>
      <c r="AH81" s="417">
        <f t="shared" si="89"/>
        <v>4214.7</v>
      </c>
    </row>
    <row r="82" spans="1:34">
      <c r="A82" s="402">
        <v>0.5</v>
      </c>
      <c r="B82" s="356" t="s">
        <v>595</v>
      </c>
      <c r="C82" s="357" t="s">
        <v>481</v>
      </c>
      <c r="D82" s="357" t="s">
        <v>445</v>
      </c>
      <c r="E82" s="358">
        <v>14000</v>
      </c>
      <c r="F82" s="359">
        <f>15*22</f>
        <v>330</v>
      </c>
      <c r="G82" s="358">
        <f>22*8*AI$1</f>
        <v>880</v>
      </c>
      <c r="H82" s="359">
        <v>6</v>
      </c>
      <c r="I82" s="359"/>
      <c r="J82" s="360">
        <f t="shared" si="79"/>
        <v>2023</v>
      </c>
      <c r="K82" s="360">
        <f t="shared" si="79"/>
        <v>2027</v>
      </c>
      <c r="L82" s="360">
        <f t="shared" si="79"/>
        <v>4</v>
      </c>
      <c r="M82" s="358">
        <v>14</v>
      </c>
      <c r="N82" s="358">
        <f t="shared" si="71"/>
        <v>7000</v>
      </c>
      <c r="O82" s="358">
        <f t="shared" si="80"/>
        <v>2333.3333333333335</v>
      </c>
      <c r="P82" s="358">
        <f t="shared" si="72"/>
        <v>116.66666666666669</v>
      </c>
      <c r="Q82" s="358">
        <f t="shared" si="73"/>
        <v>70</v>
      </c>
      <c r="R82" s="361">
        <f t="shared" si="81"/>
        <v>4666.666666666667</v>
      </c>
      <c r="S82" s="361">
        <f t="shared" si="82"/>
        <v>2520</v>
      </c>
      <c r="T82" s="362">
        <f t="shared" si="83"/>
        <v>1260</v>
      </c>
      <c r="U82" s="363">
        <f>VLOOKUP(M82,B.0.ConsumiblesMaquinaria!C$7:D$16,2)</f>
        <v>3.5000000000000003E-2</v>
      </c>
      <c r="V82" s="359">
        <f t="shared" si="84"/>
        <v>30.800000000000004</v>
      </c>
      <c r="W82" s="359">
        <f>+B.0.ConsumiblesMaquinaria!J$23</f>
        <v>9.879999999999999</v>
      </c>
      <c r="X82" s="359">
        <f t="shared" si="85"/>
        <v>1.73</v>
      </c>
      <c r="Y82" s="358">
        <f>1.5*Y$102</f>
        <v>1.2000000000000002</v>
      </c>
      <c r="Z82" s="358">
        <f t="shared" si="76"/>
        <v>1056</v>
      </c>
      <c r="AA82" s="359">
        <f>+B.0.ConsumiblesMaquinaria!J$22</f>
        <v>1.8</v>
      </c>
      <c r="AB82" s="359">
        <f t="shared" si="77"/>
        <v>10.8</v>
      </c>
      <c r="AC82" s="363">
        <f t="shared" si="78"/>
        <v>1.4000000000000001</v>
      </c>
      <c r="AD82" s="359">
        <f t="shared" si="86"/>
        <v>13.930000000000001</v>
      </c>
      <c r="AE82" s="360">
        <v>80</v>
      </c>
      <c r="AF82" s="358">
        <f t="shared" si="87"/>
        <v>1114.4000000000001</v>
      </c>
      <c r="AG82" s="362">
        <f t="shared" si="88"/>
        <v>557.20000000000005</v>
      </c>
      <c r="AH82" s="417">
        <f t="shared" si="89"/>
        <v>1817.2</v>
      </c>
    </row>
    <row r="83" spans="1:34">
      <c r="A83" s="402">
        <v>1</v>
      </c>
      <c r="B83" s="356" t="s">
        <v>596</v>
      </c>
      <c r="C83" s="357" t="s">
        <v>481</v>
      </c>
      <c r="D83" s="357" t="s">
        <v>597</v>
      </c>
      <c r="E83" s="358">
        <v>2375</v>
      </c>
      <c r="F83" s="359">
        <f>8*22</f>
        <v>176</v>
      </c>
      <c r="G83" s="358">
        <f>22*3*AI$1</f>
        <v>330</v>
      </c>
      <c r="H83" s="359">
        <v>4</v>
      </c>
      <c r="I83" s="359"/>
      <c r="J83" s="360">
        <f t="shared" si="79"/>
        <v>2023</v>
      </c>
      <c r="K83" s="360">
        <f t="shared" si="79"/>
        <v>2027</v>
      </c>
      <c r="L83" s="360">
        <f t="shared" si="79"/>
        <v>4</v>
      </c>
      <c r="M83" s="358">
        <v>2</v>
      </c>
      <c r="N83" s="358">
        <f t="shared" si="71"/>
        <v>2375</v>
      </c>
      <c r="O83" s="358">
        <f t="shared" si="80"/>
        <v>593.75</v>
      </c>
      <c r="P83" s="358">
        <f t="shared" si="72"/>
        <v>29.6875</v>
      </c>
      <c r="Q83" s="358">
        <f t="shared" si="73"/>
        <v>17.8125</v>
      </c>
      <c r="R83" s="361">
        <f t="shared" si="81"/>
        <v>0</v>
      </c>
      <c r="S83" s="361">
        <f t="shared" si="82"/>
        <v>641.25</v>
      </c>
      <c r="T83" s="362">
        <f t="shared" si="83"/>
        <v>641.25</v>
      </c>
      <c r="U83" s="363">
        <f>VLOOKUP(M83,B.0.ConsumiblesMaquinaria!C$7:D$16,2)</f>
        <v>3.5000000000000003E-2</v>
      </c>
      <c r="V83" s="358">
        <f t="shared" si="84"/>
        <v>11.55</v>
      </c>
      <c r="W83" s="359">
        <f>+B.0.ConsumiblesMaquinaria!J$23</f>
        <v>9.879999999999999</v>
      </c>
      <c r="X83" s="358">
        <f>+ROUND(U83*AI$1*W83,2)</f>
        <v>1.73</v>
      </c>
      <c r="Y83" s="358">
        <f>0*Y$102</f>
        <v>0</v>
      </c>
      <c r="Z83" s="358">
        <f t="shared" si="76"/>
        <v>0</v>
      </c>
      <c r="AA83" s="359">
        <f>+B.0.ConsumiblesMaquinaria!J$22</f>
        <v>1.8</v>
      </c>
      <c r="AB83" s="359">
        <f t="shared" si="77"/>
        <v>0</v>
      </c>
      <c r="AC83" s="363">
        <f t="shared" si="78"/>
        <v>0.23750000000000002</v>
      </c>
      <c r="AD83" s="359">
        <f t="shared" si="86"/>
        <v>1.9675</v>
      </c>
      <c r="AE83" s="360">
        <v>80</v>
      </c>
      <c r="AF83" s="358">
        <f t="shared" si="87"/>
        <v>157.4</v>
      </c>
      <c r="AG83" s="362">
        <f t="shared" si="88"/>
        <v>157.4</v>
      </c>
      <c r="AH83" s="417">
        <f t="shared" si="89"/>
        <v>798.65</v>
      </c>
    </row>
    <row r="84" spans="1:34">
      <c r="A84" s="402">
        <v>1</v>
      </c>
      <c r="B84" s="356" t="s">
        <v>598</v>
      </c>
      <c r="C84" s="357" t="s">
        <v>481</v>
      </c>
      <c r="D84" s="357" t="s">
        <v>599</v>
      </c>
      <c r="E84" s="358">
        <v>2305</v>
      </c>
      <c r="F84" s="357"/>
      <c r="G84" s="358">
        <f>22*3*AI$1</f>
        <v>330</v>
      </c>
      <c r="H84" s="359">
        <v>4</v>
      </c>
      <c r="I84" s="359"/>
      <c r="J84" s="360">
        <f t="shared" si="79"/>
        <v>2023</v>
      </c>
      <c r="K84" s="360">
        <f t="shared" si="79"/>
        <v>2027</v>
      </c>
      <c r="L84" s="360">
        <f t="shared" si="79"/>
        <v>4</v>
      </c>
      <c r="M84" s="358">
        <v>1</v>
      </c>
      <c r="N84" s="358">
        <f t="shared" si="71"/>
        <v>2305</v>
      </c>
      <c r="O84" s="358">
        <f t="shared" si="80"/>
        <v>576.25</v>
      </c>
      <c r="P84" s="358">
        <f t="shared" si="72"/>
        <v>28.8125</v>
      </c>
      <c r="Q84" s="358">
        <f t="shared" si="73"/>
        <v>17.287499999999998</v>
      </c>
      <c r="R84" s="361">
        <f t="shared" si="81"/>
        <v>0</v>
      </c>
      <c r="S84" s="361">
        <f t="shared" si="82"/>
        <v>622.35</v>
      </c>
      <c r="T84" s="362">
        <f t="shared" si="83"/>
        <v>622.35</v>
      </c>
      <c r="U84" s="363">
        <f>VLOOKUP(M84,B.0.ConsumiblesMaquinaria!C$7:D$16,2)</f>
        <v>3.5000000000000003E-2</v>
      </c>
      <c r="V84" s="358">
        <f t="shared" si="84"/>
        <v>11.55</v>
      </c>
      <c r="W84" s="359">
        <f>+B.0.ConsumiblesMaquinaria!J$23</f>
        <v>9.879999999999999</v>
      </c>
      <c r="X84" s="358">
        <f>+ROUND(U84*AI$1*W84,2)</f>
        <v>1.73</v>
      </c>
      <c r="Y84" s="358">
        <f>1*Y$102</f>
        <v>0.8</v>
      </c>
      <c r="Z84" s="358">
        <f t="shared" si="76"/>
        <v>264</v>
      </c>
      <c r="AA84" s="359">
        <f>+B.0.ConsumiblesMaquinaria!J$22</f>
        <v>1.8</v>
      </c>
      <c r="AB84" s="359">
        <f t="shared" si="77"/>
        <v>7.2</v>
      </c>
      <c r="AC84" s="363">
        <f t="shared" si="78"/>
        <v>0.23050000000000001</v>
      </c>
      <c r="AD84" s="359">
        <f t="shared" si="86"/>
        <v>9.1605000000000008</v>
      </c>
      <c r="AE84" s="360">
        <v>80</v>
      </c>
      <c r="AF84" s="358">
        <f t="shared" si="87"/>
        <v>732.84</v>
      </c>
      <c r="AG84" s="362">
        <f t="shared" si="88"/>
        <v>732.84</v>
      </c>
      <c r="AH84" s="417">
        <f t="shared" si="89"/>
        <v>1355.19</v>
      </c>
    </row>
    <row r="85" spans="1:34">
      <c r="A85" s="402">
        <v>0.5</v>
      </c>
      <c r="B85" s="356" t="s">
        <v>600</v>
      </c>
      <c r="C85" s="357" t="s">
        <v>481</v>
      </c>
      <c r="D85" s="357" t="s">
        <v>601</v>
      </c>
      <c r="E85" s="358">
        <v>18875</v>
      </c>
      <c r="F85" s="359"/>
      <c r="G85" s="358">
        <f>22*3*AI$1</f>
        <v>330</v>
      </c>
      <c r="H85" s="359">
        <v>6</v>
      </c>
      <c r="I85" s="359"/>
      <c r="J85" s="360">
        <f t="shared" si="79"/>
        <v>2023</v>
      </c>
      <c r="K85" s="360">
        <f t="shared" si="79"/>
        <v>2027</v>
      </c>
      <c r="L85" s="360">
        <f t="shared" si="79"/>
        <v>4</v>
      </c>
      <c r="M85" s="358">
        <v>15</v>
      </c>
      <c r="N85" s="358">
        <f t="shared" si="71"/>
        <v>9437.5</v>
      </c>
      <c r="O85" s="358">
        <f t="shared" si="80"/>
        <v>3145.8333333333335</v>
      </c>
      <c r="P85" s="358">
        <f t="shared" si="72"/>
        <v>157.29166666666669</v>
      </c>
      <c r="Q85" s="358">
        <f t="shared" si="73"/>
        <v>94.375</v>
      </c>
      <c r="R85" s="361">
        <f t="shared" si="81"/>
        <v>6291.666666666667</v>
      </c>
      <c r="S85" s="361">
        <f t="shared" si="82"/>
        <v>3397.5</v>
      </c>
      <c r="T85" s="362">
        <f t="shared" si="83"/>
        <v>1698.75</v>
      </c>
      <c r="U85" s="363">
        <f>VLOOKUP(M85,B.0.ConsumiblesMaquinaria!C$7:D$16,2)</f>
        <v>3.5000000000000003E-2</v>
      </c>
      <c r="V85" s="359">
        <f t="shared" si="84"/>
        <v>11.55</v>
      </c>
      <c r="W85" s="359">
        <f>+B.0.ConsumiblesMaquinaria!J$23</f>
        <v>9.879999999999999</v>
      </c>
      <c r="X85" s="359">
        <f t="shared" si="85"/>
        <v>1.73</v>
      </c>
      <c r="Y85" s="358">
        <f>1.5*Y$102</f>
        <v>1.2000000000000002</v>
      </c>
      <c r="Z85" s="358">
        <f t="shared" si="76"/>
        <v>396</v>
      </c>
      <c r="AA85" s="359">
        <f>+B.0.ConsumiblesMaquinaria!J$22</f>
        <v>1.8</v>
      </c>
      <c r="AB85" s="359">
        <f t="shared" si="77"/>
        <v>10.8</v>
      </c>
      <c r="AC85" s="363">
        <f t="shared" si="78"/>
        <v>1.8875000000000002</v>
      </c>
      <c r="AD85" s="359">
        <f t="shared" si="86"/>
        <v>14.4175</v>
      </c>
      <c r="AE85" s="360">
        <v>80</v>
      </c>
      <c r="AF85" s="358">
        <f t="shared" si="87"/>
        <v>1153.4000000000001</v>
      </c>
      <c r="AG85" s="362">
        <f t="shared" si="88"/>
        <v>576.70000000000005</v>
      </c>
      <c r="AH85" s="417">
        <f t="shared" si="89"/>
        <v>2275.4499999999998</v>
      </c>
    </row>
    <row r="86" spans="1:34">
      <c r="A86" s="402">
        <v>0</v>
      </c>
      <c r="B86" s="356" t="s">
        <v>602</v>
      </c>
      <c r="C86" s="357" t="s">
        <v>481</v>
      </c>
      <c r="D86" s="357" t="s">
        <v>445</v>
      </c>
      <c r="E86" s="358">
        <v>18750</v>
      </c>
      <c r="F86" s="359">
        <v>88</v>
      </c>
      <c r="G86" s="358">
        <f>22*3*AI$1</f>
        <v>330</v>
      </c>
      <c r="H86" s="359">
        <v>8</v>
      </c>
      <c r="I86" s="359"/>
      <c r="J86" s="360">
        <f t="shared" si="79"/>
        <v>2023</v>
      </c>
      <c r="K86" s="360">
        <f t="shared" si="79"/>
        <v>2027</v>
      </c>
      <c r="L86" s="360">
        <f t="shared" si="79"/>
        <v>4</v>
      </c>
      <c r="M86" s="358">
        <v>25</v>
      </c>
      <c r="N86" s="358">
        <f t="shared" si="71"/>
        <v>0</v>
      </c>
      <c r="O86" s="358">
        <f t="shared" si="80"/>
        <v>0</v>
      </c>
      <c r="P86" s="358">
        <f t="shared" si="72"/>
        <v>0</v>
      </c>
      <c r="Q86" s="358">
        <f t="shared" si="73"/>
        <v>0</v>
      </c>
      <c r="R86" s="361">
        <f t="shared" si="81"/>
        <v>0</v>
      </c>
      <c r="S86" s="361">
        <f t="shared" si="82"/>
        <v>0</v>
      </c>
      <c r="T86" s="362">
        <f t="shared" si="83"/>
        <v>0</v>
      </c>
      <c r="U86" s="363">
        <f>VLOOKUP(M86,B.0.ConsumiblesMaquinaria!C$7:D$16,2)</f>
        <v>3.9E-2</v>
      </c>
      <c r="V86" s="358">
        <f t="shared" si="84"/>
        <v>0</v>
      </c>
      <c r="W86" s="359">
        <f>+B.0.ConsumiblesMaquinaria!J$23</f>
        <v>9.879999999999999</v>
      </c>
      <c r="X86" s="358">
        <f t="shared" si="85"/>
        <v>1.93</v>
      </c>
      <c r="Y86" s="358">
        <f>2*Y$102</f>
        <v>1.6</v>
      </c>
      <c r="Z86" s="358">
        <f t="shared" si="76"/>
        <v>0</v>
      </c>
      <c r="AA86" s="359">
        <f>+B.0.ConsumiblesMaquinaria!J$22</f>
        <v>1.8</v>
      </c>
      <c r="AB86" s="359">
        <f t="shared" si="77"/>
        <v>0</v>
      </c>
      <c r="AC86" s="363">
        <f t="shared" si="78"/>
        <v>0</v>
      </c>
      <c r="AD86" s="359">
        <f t="shared" si="86"/>
        <v>0</v>
      </c>
      <c r="AE86" s="360">
        <v>80</v>
      </c>
      <c r="AF86" s="358">
        <f t="shared" si="87"/>
        <v>0</v>
      </c>
      <c r="AG86" s="362">
        <f t="shared" si="88"/>
        <v>0</v>
      </c>
      <c r="AH86" s="417">
        <f t="shared" si="89"/>
        <v>0</v>
      </c>
    </row>
    <row r="87" spans="1:34">
      <c r="A87" s="402">
        <v>2</v>
      </c>
      <c r="B87" s="356" t="s">
        <v>603</v>
      </c>
      <c r="C87" s="357" t="s">
        <v>417</v>
      </c>
      <c r="D87" s="357" t="s">
        <v>445</v>
      </c>
      <c r="E87" s="358">
        <v>125</v>
      </c>
      <c r="F87" s="359"/>
      <c r="G87" s="358">
        <f>22*8*AI$1</f>
        <v>880</v>
      </c>
      <c r="H87" s="359">
        <v>2</v>
      </c>
      <c r="I87" s="359"/>
      <c r="J87" s="360">
        <f t="shared" si="79"/>
        <v>2023</v>
      </c>
      <c r="K87" s="360">
        <f t="shared" si="79"/>
        <v>2027</v>
      </c>
      <c r="L87" s="360">
        <f t="shared" si="79"/>
        <v>4</v>
      </c>
      <c r="M87" s="358">
        <v>6</v>
      </c>
      <c r="N87" s="358">
        <f t="shared" si="71"/>
        <v>250</v>
      </c>
      <c r="O87" s="358">
        <f t="shared" si="80"/>
        <v>62.5</v>
      </c>
      <c r="P87" s="358">
        <f t="shared" si="72"/>
        <v>3.125</v>
      </c>
      <c r="Q87" s="358">
        <f t="shared" si="73"/>
        <v>1.875</v>
      </c>
      <c r="R87" s="361">
        <f t="shared" si="81"/>
        <v>0</v>
      </c>
      <c r="S87" s="361">
        <f t="shared" si="82"/>
        <v>67.5</v>
      </c>
      <c r="T87" s="362">
        <f t="shared" si="83"/>
        <v>135</v>
      </c>
      <c r="U87" s="358">
        <v>0</v>
      </c>
      <c r="V87" s="358">
        <f t="shared" si="84"/>
        <v>0</v>
      </c>
      <c r="W87" s="358">
        <v>0</v>
      </c>
      <c r="X87" s="358">
        <f t="shared" si="85"/>
        <v>0</v>
      </c>
      <c r="Y87" s="358">
        <f>0*Y$102</f>
        <v>0</v>
      </c>
      <c r="Z87" s="358">
        <f t="shared" si="76"/>
        <v>0</v>
      </c>
      <c r="AA87" s="359">
        <v>0</v>
      </c>
      <c r="AB87" s="359">
        <f t="shared" si="77"/>
        <v>0</v>
      </c>
      <c r="AC87" s="363">
        <f t="shared" si="78"/>
        <v>1.2500000000000001E-2</v>
      </c>
      <c r="AD87" s="359">
        <f t="shared" si="86"/>
        <v>1.2500000000000001E-2</v>
      </c>
      <c r="AE87" s="360">
        <v>80</v>
      </c>
      <c r="AF87" s="358">
        <f t="shared" si="87"/>
        <v>1</v>
      </c>
      <c r="AG87" s="362">
        <f t="shared" si="88"/>
        <v>2</v>
      </c>
      <c r="AH87" s="417">
        <f t="shared" si="89"/>
        <v>137</v>
      </c>
    </row>
    <row r="88" spans="1:34">
      <c r="A88" s="402">
        <v>1</v>
      </c>
      <c r="B88" s="356" t="s">
        <v>604</v>
      </c>
      <c r="C88" s="357" t="s">
        <v>417</v>
      </c>
      <c r="D88" s="357" t="s">
        <v>605</v>
      </c>
      <c r="E88" s="358">
        <v>750</v>
      </c>
      <c r="F88" s="359"/>
      <c r="G88" s="358">
        <f t="shared" ref="G88:G96" si="90">22*3*AI$1</f>
        <v>330</v>
      </c>
      <c r="H88" s="359">
        <v>4</v>
      </c>
      <c r="I88" s="359"/>
      <c r="J88" s="360">
        <f t="shared" si="79"/>
        <v>2023</v>
      </c>
      <c r="K88" s="360">
        <f t="shared" si="79"/>
        <v>2027</v>
      </c>
      <c r="L88" s="360">
        <f t="shared" si="79"/>
        <v>4</v>
      </c>
      <c r="M88" s="358">
        <v>2</v>
      </c>
      <c r="N88" s="358">
        <f t="shared" si="71"/>
        <v>750</v>
      </c>
      <c r="O88" s="358">
        <f t="shared" si="80"/>
        <v>187.5</v>
      </c>
      <c r="P88" s="358">
        <f t="shared" si="72"/>
        <v>9.375</v>
      </c>
      <c r="Q88" s="358">
        <f t="shared" si="73"/>
        <v>5.625</v>
      </c>
      <c r="R88" s="361">
        <f t="shared" si="81"/>
        <v>0</v>
      </c>
      <c r="S88" s="361">
        <f t="shared" si="82"/>
        <v>202.5</v>
      </c>
      <c r="T88" s="362">
        <f t="shared" si="83"/>
        <v>202.5</v>
      </c>
      <c r="U88" s="358">
        <v>0</v>
      </c>
      <c r="V88" s="358">
        <f t="shared" si="84"/>
        <v>0</v>
      </c>
      <c r="W88" s="358">
        <v>0</v>
      </c>
      <c r="X88" s="358">
        <f t="shared" si="85"/>
        <v>0</v>
      </c>
      <c r="Y88" s="358">
        <f>0*Y$102</f>
        <v>0</v>
      </c>
      <c r="Z88" s="358">
        <f t="shared" si="76"/>
        <v>0</v>
      </c>
      <c r="AA88" s="359">
        <v>0</v>
      </c>
      <c r="AB88" s="359">
        <f t="shared" si="77"/>
        <v>0</v>
      </c>
      <c r="AC88" s="363">
        <f t="shared" si="78"/>
        <v>7.4999999999999997E-2</v>
      </c>
      <c r="AD88" s="359">
        <f t="shared" si="86"/>
        <v>7.4999999999999997E-2</v>
      </c>
      <c r="AE88" s="360">
        <v>80</v>
      </c>
      <c r="AF88" s="358">
        <f t="shared" si="87"/>
        <v>6</v>
      </c>
      <c r="AG88" s="362">
        <f t="shared" si="88"/>
        <v>6</v>
      </c>
      <c r="AH88" s="417">
        <f t="shared" si="89"/>
        <v>208.5</v>
      </c>
    </row>
    <row r="89" spans="1:34">
      <c r="A89" s="402">
        <v>0.5</v>
      </c>
      <c r="B89" s="356" t="s">
        <v>606</v>
      </c>
      <c r="C89" s="357" t="s">
        <v>481</v>
      </c>
      <c r="D89" s="357" t="s">
        <v>607</v>
      </c>
      <c r="E89" s="358">
        <v>6000</v>
      </c>
      <c r="F89" s="359"/>
      <c r="G89" s="358">
        <f t="shared" si="90"/>
        <v>330</v>
      </c>
      <c r="H89" s="359">
        <v>4</v>
      </c>
      <c r="I89" s="359"/>
      <c r="J89" s="360">
        <f t="shared" si="79"/>
        <v>2023</v>
      </c>
      <c r="K89" s="360">
        <f t="shared" si="79"/>
        <v>2027</v>
      </c>
      <c r="L89" s="360">
        <f t="shared" si="79"/>
        <v>4</v>
      </c>
      <c r="M89" s="358">
        <v>11</v>
      </c>
      <c r="N89" s="358">
        <f t="shared" si="71"/>
        <v>3000</v>
      </c>
      <c r="O89" s="358">
        <f t="shared" si="80"/>
        <v>1500</v>
      </c>
      <c r="P89" s="358">
        <f t="shared" si="72"/>
        <v>75</v>
      </c>
      <c r="Q89" s="358">
        <f t="shared" si="73"/>
        <v>45</v>
      </c>
      <c r="R89" s="361">
        <f t="shared" si="81"/>
        <v>0</v>
      </c>
      <c r="S89" s="361">
        <f t="shared" si="82"/>
        <v>1620</v>
      </c>
      <c r="T89" s="362">
        <f t="shared" si="83"/>
        <v>810</v>
      </c>
      <c r="U89" s="363">
        <f>VLOOKUP(M89,B.0.ConsumiblesMaquinaria!C$7:D$16,2)</f>
        <v>3.5000000000000003E-2</v>
      </c>
      <c r="V89" s="358">
        <f t="shared" si="84"/>
        <v>11.55</v>
      </c>
      <c r="W89" s="359">
        <f>+B.0.ConsumiblesMaquinaria!J$23</f>
        <v>9.879999999999999</v>
      </c>
      <c r="X89" s="358">
        <f t="shared" si="85"/>
        <v>1.73</v>
      </c>
      <c r="Y89" s="358">
        <f>1*Y$102</f>
        <v>0.8</v>
      </c>
      <c r="Z89" s="358">
        <f t="shared" si="76"/>
        <v>264</v>
      </c>
      <c r="AA89" s="359">
        <f>+B.0.ConsumiblesMaquinaria!J$22</f>
        <v>1.8</v>
      </c>
      <c r="AB89" s="359">
        <f t="shared" si="77"/>
        <v>7.2</v>
      </c>
      <c r="AC89" s="363">
        <f t="shared" si="78"/>
        <v>0.6</v>
      </c>
      <c r="AD89" s="359">
        <f t="shared" si="86"/>
        <v>9.5299999999999994</v>
      </c>
      <c r="AE89" s="360">
        <v>80</v>
      </c>
      <c r="AF89" s="358">
        <f t="shared" si="87"/>
        <v>762.4</v>
      </c>
      <c r="AG89" s="362">
        <f t="shared" si="88"/>
        <v>381.2</v>
      </c>
      <c r="AH89" s="417">
        <f t="shared" si="89"/>
        <v>1191.2</v>
      </c>
    </row>
    <row r="90" spans="1:34">
      <c r="A90" s="402">
        <v>0.2</v>
      </c>
      <c r="B90" s="356" t="s">
        <v>608</v>
      </c>
      <c r="C90" s="357" t="s">
        <v>481</v>
      </c>
      <c r="D90" s="357" t="s">
        <v>609</v>
      </c>
      <c r="E90" s="358">
        <v>5625</v>
      </c>
      <c r="F90" s="359">
        <f>15*22</f>
        <v>330</v>
      </c>
      <c r="G90" s="358">
        <f t="shared" si="90"/>
        <v>330</v>
      </c>
      <c r="H90" s="359">
        <v>2</v>
      </c>
      <c r="I90" s="359"/>
      <c r="J90" s="360">
        <f t="shared" si="79"/>
        <v>2023</v>
      </c>
      <c r="K90" s="360">
        <f t="shared" si="79"/>
        <v>2027</v>
      </c>
      <c r="L90" s="360">
        <f t="shared" si="79"/>
        <v>4</v>
      </c>
      <c r="M90" s="358">
        <v>15</v>
      </c>
      <c r="N90" s="358">
        <f t="shared" si="71"/>
        <v>1125</v>
      </c>
      <c r="O90" s="358">
        <f t="shared" si="80"/>
        <v>2812.5</v>
      </c>
      <c r="P90" s="358">
        <f t="shared" si="72"/>
        <v>140.625</v>
      </c>
      <c r="Q90" s="358">
        <f t="shared" si="73"/>
        <v>84.375</v>
      </c>
      <c r="R90" s="361">
        <f t="shared" si="81"/>
        <v>0</v>
      </c>
      <c r="S90" s="361">
        <f t="shared" si="82"/>
        <v>3037.5</v>
      </c>
      <c r="T90" s="362">
        <f t="shared" si="83"/>
        <v>607.5</v>
      </c>
      <c r="U90" s="363">
        <f>VLOOKUP(M90,B.0.ConsumiblesMaquinaria!C$7:D$16,2)</f>
        <v>3.5000000000000003E-2</v>
      </c>
      <c r="V90" s="358">
        <f t="shared" si="84"/>
        <v>11.55</v>
      </c>
      <c r="W90" s="359">
        <f>+B.0.ConsumiblesMaquinaria!J$23</f>
        <v>9.879999999999999</v>
      </c>
      <c r="X90" s="358">
        <f t="shared" si="85"/>
        <v>1.73</v>
      </c>
      <c r="Y90" s="358">
        <f>0.5*Y$102</f>
        <v>0.4</v>
      </c>
      <c r="Z90" s="358">
        <f t="shared" si="76"/>
        <v>132</v>
      </c>
      <c r="AA90" s="359">
        <f>+B.0.ConsumiblesMaquinaria!J$22</f>
        <v>1.8</v>
      </c>
      <c r="AB90" s="359">
        <f t="shared" si="77"/>
        <v>3.6</v>
      </c>
      <c r="AC90" s="363">
        <f t="shared" si="78"/>
        <v>0.5625</v>
      </c>
      <c r="AD90" s="359">
        <f t="shared" si="86"/>
        <v>5.8925000000000001</v>
      </c>
      <c r="AE90" s="360">
        <v>80</v>
      </c>
      <c r="AF90" s="358">
        <f t="shared" si="87"/>
        <v>471.4</v>
      </c>
      <c r="AG90" s="362">
        <f t="shared" si="88"/>
        <v>94.28</v>
      </c>
      <c r="AH90" s="417">
        <f t="shared" si="89"/>
        <v>701.78</v>
      </c>
    </row>
    <row r="91" spans="1:34">
      <c r="A91" s="402">
        <v>0.2</v>
      </c>
      <c r="B91" s="356" t="s">
        <v>610</v>
      </c>
      <c r="C91" s="357" t="s">
        <v>481</v>
      </c>
      <c r="D91" s="357" t="s">
        <v>611</v>
      </c>
      <c r="E91" s="358">
        <v>6000</v>
      </c>
      <c r="F91" s="359"/>
      <c r="G91" s="358">
        <f t="shared" si="90"/>
        <v>330</v>
      </c>
      <c r="H91" s="359">
        <v>4</v>
      </c>
      <c r="I91" s="359"/>
      <c r="J91" s="360">
        <f t="shared" si="79"/>
        <v>2023</v>
      </c>
      <c r="K91" s="360">
        <f t="shared" si="79"/>
        <v>2027</v>
      </c>
      <c r="L91" s="360">
        <f t="shared" si="79"/>
        <v>4</v>
      </c>
      <c r="M91" s="358">
        <v>35</v>
      </c>
      <c r="N91" s="358">
        <f t="shared" si="71"/>
        <v>1200</v>
      </c>
      <c r="O91" s="358">
        <f t="shared" si="80"/>
        <v>1500</v>
      </c>
      <c r="P91" s="358">
        <f t="shared" si="72"/>
        <v>75</v>
      </c>
      <c r="Q91" s="358">
        <f t="shared" si="73"/>
        <v>45</v>
      </c>
      <c r="R91" s="361">
        <f t="shared" si="81"/>
        <v>0</v>
      </c>
      <c r="S91" s="361">
        <f t="shared" si="82"/>
        <v>1620</v>
      </c>
      <c r="T91" s="362">
        <f t="shared" si="83"/>
        <v>324</v>
      </c>
      <c r="U91" s="363">
        <f>VLOOKUP(M91,B.0.ConsumiblesMaquinaria!C$7:D$16,2)</f>
        <v>3.9E-2</v>
      </c>
      <c r="V91" s="358">
        <f t="shared" si="84"/>
        <v>12.87</v>
      </c>
      <c r="W91" s="359">
        <f>+B.0.ConsumiblesMaquinaria!J$23</f>
        <v>9.879999999999999</v>
      </c>
      <c r="X91" s="358">
        <f t="shared" si="85"/>
        <v>1.93</v>
      </c>
      <c r="Y91" s="358">
        <f>1*Y$102</f>
        <v>0.8</v>
      </c>
      <c r="Z91" s="358">
        <f t="shared" si="76"/>
        <v>264</v>
      </c>
      <c r="AA91" s="359">
        <f>+B.0.ConsumiblesMaquinaria!J$22</f>
        <v>1.8</v>
      </c>
      <c r="AB91" s="359">
        <f t="shared" si="77"/>
        <v>7.2</v>
      </c>
      <c r="AC91" s="363">
        <f t="shared" si="78"/>
        <v>0.6</v>
      </c>
      <c r="AD91" s="359">
        <f t="shared" si="86"/>
        <v>9.73</v>
      </c>
      <c r="AE91" s="360">
        <v>80</v>
      </c>
      <c r="AF91" s="358">
        <f t="shared" si="87"/>
        <v>778.40000000000009</v>
      </c>
      <c r="AG91" s="362">
        <f t="shared" si="88"/>
        <v>155.68000000000004</v>
      </c>
      <c r="AH91" s="417">
        <f t="shared" si="89"/>
        <v>479.68000000000006</v>
      </c>
    </row>
    <row r="92" spans="1:34">
      <c r="A92" s="402">
        <v>0.2</v>
      </c>
      <c r="B92" s="356" t="s">
        <v>612</v>
      </c>
      <c r="C92" s="357" t="s">
        <v>481</v>
      </c>
      <c r="D92" s="357" t="s">
        <v>445</v>
      </c>
      <c r="E92" s="358">
        <v>4375</v>
      </c>
      <c r="F92" s="359"/>
      <c r="G92" s="358">
        <f t="shared" si="90"/>
        <v>330</v>
      </c>
      <c r="H92" s="359">
        <v>2</v>
      </c>
      <c r="I92" s="359"/>
      <c r="J92" s="360">
        <f t="shared" si="79"/>
        <v>2023</v>
      </c>
      <c r="K92" s="360">
        <f t="shared" si="79"/>
        <v>2027</v>
      </c>
      <c r="L92" s="360">
        <f t="shared" si="79"/>
        <v>4</v>
      </c>
      <c r="M92" s="358">
        <v>11</v>
      </c>
      <c r="N92" s="358">
        <f t="shared" si="71"/>
        <v>875</v>
      </c>
      <c r="O92" s="358">
        <f t="shared" si="80"/>
        <v>2187.5</v>
      </c>
      <c r="P92" s="358">
        <f t="shared" si="72"/>
        <v>109.375</v>
      </c>
      <c r="Q92" s="358">
        <f t="shared" si="73"/>
        <v>65.625</v>
      </c>
      <c r="R92" s="361">
        <f t="shared" si="81"/>
        <v>0</v>
      </c>
      <c r="S92" s="361">
        <f t="shared" si="82"/>
        <v>2362.5</v>
      </c>
      <c r="T92" s="362">
        <f t="shared" si="83"/>
        <v>472.5</v>
      </c>
      <c r="U92" s="363">
        <f>VLOOKUP(M92,B.0.ConsumiblesMaquinaria!C$7:D$16,2)</f>
        <v>3.5000000000000003E-2</v>
      </c>
      <c r="V92" s="358">
        <f t="shared" si="84"/>
        <v>11.55</v>
      </c>
      <c r="W92" s="359">
        <f>+B.0.ConsumiblesMaquinaria!J$23</f>
        <v>9.879999999999999</v>
      </c>
      <c r="X92" s="358">
        <f t="shared" si="85"/>
        <v>1.73</v>
      </c>
      <c r="Y92" s="358">
        <f>1*Y$102</f>
        <v>0.8</v>
      </c>
      <c r="Z92" s="358">
        <f t="shared" si="76"/>
        <v>264</v>
      </c>
      <c r="AA92" s="359">
        <f>+B.0.ConsumiblesMaquinaria!J$22</f>
        <v>1.8</v>
      </c>
      <c r="AB92" s="359">
        <f t="shared" si="77"/>
        <v>7.2</v>
      </c>
      <c r="AC92" s="363">
        <f t="shared" si="78"/>
        <v>0.4375</v>
      </c>
      <c r="AD92" s="359">
        <f t="shared" si="86"/>
        <v>9.3674999999999997</v>
      </c>
      <c r="AE92" s="360">
        <v>80</v>
      </c>
      <c r="AF92" s="358">
        <f t="shared" si="87"/>
        <v>749.4</v>
      </c>
      <c r="AG92" s="362">
        <f t="shared" si="88"/>
        <v>149.88</v>
      </c>
      <c r="AH92" s="417">
        <f t="shared" si="89"/>
        <v>622.38</v>
      </c>
    </row>
    <row r="93" spans="1:34">
      <c r="A93" s="402">
        <v>0.2</v>
      </c>
      <c r="B93" s="356" t="s">
        <v>613</v>
      </c>
      <c r="C93" s="357" t="s">
        <v>481</v>
      </c>
      <c r="D93" s="357" t="s">
        <v>614</v>
      </c>
      <c r="E93" s="358">
        <v>6125</v>
      </c>
      <c r="F93" s="359">
        <f>8*22</f>
        <v>176</v>
      </c>
      <c r="G93" s="358">
        <f t="shared" si="90"/>
        <v>330</v>
      </c>
      <c r="H93" s="359">
        <v>4</v>
      </c>
      <c r="I93" s="359"/>
      <c r="J93" s="360">
        <f t="shared" si="79"/>
        <v>2023</v>
      </c>
      <c r="K93" s="360">
        <f t="shared" si="79"/>
        <v>2027</v>
      </c>
      <c r="L93" s="360">
        <f t="shared" si="79"/>
        <v>4</v>
      </c>
      <c r="M93" s="358">
        <v>6.5</v>
      </c>
      <c r="N93" s="358">
        <f t="shared" si="71"/>
        <v>1225</v>
      </c>
      <c r="O93" s="358">
        <f t="shared" si="80"/>
        <v>1531.25</v>
      </c>
      <c r="P93" s="358">
        <f t="shared" si="72"/>
        <v>76.5625</v>
      </c>
      <c r="Q93" s="358">
        <f t="shared" si="73"/>
        <v>45.9375</v>
      </c>
      <c r="R93" s="361">
        <f t="shared" si="81"/>
        <v>0</v>
      </c>
      <c r="S93" s="361">
        <f t="shared" si="82"/>
        <v>1653.75</v>
      </c>
      <c r="T93" s="362">
        <f t="shared" si="83"/>
        <v>330.75</v>
      </c>
      <c r="U93" s="363">
        <f>VLOOKUP(M93,B.0.ConsumiblesMaquinaria!C$7:D$16,2)</f>
        <v>3.5000000000000003E-2</v>
      </c>
      <c r="V93" s="358">
        <f t="shared" si="84"/>
        <v>11.55</v>
      </c>
      <c r="W93" s="359">
        <f>+B.0.ConsumiblesMaquinaria!J$23</f>
        <v>9.879999999999999</v>
      </c>
      <c r="X93" s="358">
        <f t="shared" si="85"/>
        <v>1.73</v>
      </c>
      <c r="Y93" s="358">
        <f>1*Y$102</f>
        <v>0.8</v>
      </c>
      <c r="Z93" s="358">
        <f t="shared" si="76"/>
        <v>264</v>
      </c>
      <c r="AA93" s="359">
        <f>+B.0.ConsumiblesMaquinaria!J$22</f>
        <v>1.8</v>
      </c>
      <c r="AB93" s="359">
        <f t="shared" si="77"/>
        <v>7.2</v>
      </c>
      <c r="AC93" s="363">
        <f t="shared" si="78"/>
        <v>0.61250000000000004</v>
      </c>
      <c r="AD93" s="359">
        <f t="shared" si="86"/>
        <v>9.5425000000000004</v>
      </c>
      <c r="AE93" s="360">
        <v>80</v>
      </c>
      <c r="AF93" s="358">
        <f t="shared" si="87"/>
        <v>763.40000000000009</v>
      </c>
      <c r="AG93" s="362">
        <f t="shared" si="88"/>
        <v>152.68000000000004</v>
      </c>
      <c r="AH93" s="417">
        <f t="shared" si="89"/>
        <v>483.43000000000006</v>
      </c>
    </row>
    <row r="94" spans="1:34">
      <c r="A94" s="402">
        <v>0.5</v>
      </c>
      <c r="B94" s="356" t="s">
        <v>615</v>
      </c>
      <c r="C94" s="357" t="s">
        <v>481</v>
      </c>
      <c r="D94" s="357" t="s">
        <v>616</v>
      </c>
      <c r="E94" s="358">
        <v>1875</v>
      </c>
      <c r="F94" s="359"/>
      <c r="G94" s="358">
        <f t="shared" si="90"/>
        <v>330</v>
      </c>
      <c r="H94" s="359">
        <v>2</v>
      </c>
      <c r="I94" s="359"/>
      <c r="J94" s="360">
        <f t="shared" si="79"/>
        <v>2023</v>
      </c>
      <c r="K94" s="360">
        <f t="shared" si="79"/>
        <v>2027</v>
      </c>
      <c r="L94" s="360">
        <f t="shared" si="79"/>
        <v>4</v>
      </c>
      <c r="M94" s="358">
        <v>2.5</v>
      </c>
      <c r="N94" s="358">
        <f t="shared" si="71"/>
        <v>937.5</v>
      </c>
      <c r="O94" s="358">
        <f t="shared" si="80"/>
        <v>937.5</v>
      </c>
      <c r="P94" s="358">
        <f t="shared" si="72"/>
        <v>46.875</v>
      </c>
      <c r="Q94" s="358">
        <f t="shared" si="73"/>
        <v>28.125</v>
      </c>
      <c r="R94" s="361">
        <f t="shared" si="81"/>
        <v>0</v>
      </c>
      <c r="S94" s="361">
        <f t="shared" si="82"/>
        <v>1012.5</v>
      </c>
      <c r="T94" s="362">
        <f t="shared" si="83"/>
        <v>506.25</v>
      </c>
      <c r="U94" s="363">
        <f>VLOOKUP(M94,B.0.ConsumiblesMaquinaria!C$7:D$16,2)</f>
        <v>3.5000000000000003E-2</v>
      </c>
      <c r="V94" s="358">
        <f t="shared" si="84"/>
        <v>11.55</v>
      </c>
      <c r="W94" s="359">
        <f>+B.0.ConsumiblesMaquinaria!J$23</f>
        <v>9.879999999999999</v>
      </c>
      <c r="X94" s="358">
        <f t="shared" si="85"/>
        <v>1.73</v>
      </c>
      <c r="Y94" s="358">
        <f>0*Y$102</f>
        <v>0</v>
      </c>
      <c r="Z94" s="358">
        <f t="shared" si="76"/>
        <v>0</v>
      </c>
      <c r="AA94" s="359">
        <f>+B.0.ConsumiblesMaquinaria!J$22</f>
        <v>1.8</v>
      </c>
      <c r="AB94" s="359">
        <f t="shared" si="77"/>
        <v>0</v>
      </c>
      <c r="AC94" s="363">
        <f t="shared" si="78"/>
        <v>0.1875</v>
      </c>
      <c r="AD94" s="359">
        <f t="shared" si="86"/>
        <v>1.9175</v>
      </c>
      <c r="AE94" s="360">
        <v>80</v>
      </c>
      <c r="AF94" s="358">
        <f t="shared" si="87"/>
        <v>153.4</v>
      </c>
      <c r="AG94" s="362">
        <f t="shared" si="88"/>
        <v>76.7</v>
      </c>
      <c r="AH94" s="417">
        <f t="shared" si="89"/>
        <v>582.95000000000005</v>
      </c>
    </row>
    <row r="95" spans="1:34">
      <c r="A95" s="402">
        <v>0.5</v>
      </c>
      <c r="B95" s="356" t="s">
        <v>617</v>
      </c>
      <c r="C95" s="357" t="s">
        <v>481</v>
      </c>
      <c r="D95" s="357" t="s">
        <v>616</v>
      </c>
      <c r="E95" s="358">
        <v>2125</v>
      </c>
      <c r="F95" s="359">
        <v>253</v>
      </c>
      <c r="G95" s="358">
        <f t="shared" si="90"/>
        <v>330</v>
      </c>
      <c r="H95" s="359">
        <v>4</v>
      </c>
      <c r="I95" s="359"/>
      <c r="J95" s="360">
        <f t="shared" si="79"/>
        <v>2023</v>
      </c>
      <c r="K95" s="360">
        <f t="shared" si="79"/>
        <v>2027</v>
      </c>
      <c r="L95" s="360">
        <f t="shared" si="79"/>
        <v>4</v>
      </c>
      <c r="M95" s="358">
        <v>2</v>
      </c>
      <c r="N95" s="358">
        <f t="shared" si="71"/>
        <v>1062.5</v>
      </c>
      <c r="O95" s="358">
        <f t="shared" si="80"/>
        <v>531.25</v>
      </c>
      <c r="P95" s="358">
        <f t="shared" si="72"/>
        <v>26.5625</v>
      </c>
      <c r="Q95" s="358">
        <f t="shared" si="73"/>
        <v>15.9375</v>
      </c>
      <c r="R95" s="361">
        <f t="shared" si="81"/>
        <v>0</v>
      </c>
      <c r="S95" s="361">
        <f t="shared" si="82"/>
        <v>573.75</v>
      </c>
      <c r="T95" s="362">
        <f t="shared" si="83"/>
        <v>286.875</v>
      </c>
      <c r="U95" s="363">
        <f>VLOOKUP(M95,B.0.ConsumiblesMaquinaria!C$7:D$16,2)</f>
        <v>3.5000000000000003E-2</v>
      </c>
      <c r="V95" s="358">
        <f t="shared" si="84"/>
        <v>11.55</v>
      </c>
      <c r="W95" s="359">
        <f>+B.0.ConsumiblesMaquinaria!J$23</f>
        <v>9.879999999999999</v>
      </c>
      <c r="X95" s="358">
        <f t="shared" si="85"/>
        <v>1.73</v>
      </c>
      <c r="Y95" s="358">
        <f>1*Y$102</f>
        <v>0.8</v>
      </c>
      <c r="Z95" s="358">
        <f t="shared" si="76"/>
        <v>264</v>
      </c>
      <c r="AA95" s="359">
        <f>+B.0.ConsumiblesMaquinaria!J$22</f>
        <v>1.8</v>
      </c>
      <c r="AB95" s="359">
        <f t="shared" si="77"/>
        <v>7.2</v>
      </c>
      <c r="AC95" s="363">
        <f t="shared" si="78"/>
        <v>0.21250000000000002</v>
      </c>
      <c r="AD95" s="359">
        <f t="shared" si="86"/>
        <v>9.1425000000000001</v>
      </c>
      <c r="AE95" s="360">
        <v>80</v>
      </c>
      <c r="AF95" s="358">
        <f t="shared" si="87"/>
        <v>731.4</v>
      </c>
      <c r="AG95" s="362">
        <f t="shared" si="88"/>
        <v>365.7</v>
      </c>
      <c r="AH95" s="417">
        <f t="shared" si="89"/>
        <v>652.57500000000005</v>
      </c>
    </row>
    <row r="96" spans="1:34">
      <c r="A96" s="402">
        <v>0.2</v>
      </c>
      <c r="B96" s="356" t="s">
        <v>618</v>
      </c>
      <c r="C96" s="357" t="s">
        <v>481</v>
      </c>
      <c r="D96" s="357" t="s">
        <v>599</v>
      </c>
      <c r="E96" s="358">
        <v>2250</v>
      </c>
      <c r="F96" s="357"/>
      <c r="G96" s="358">
        <f t="shared" si="90"/>
        <v>330</v>
      </c>
      <c r="H96" s="359">
        <v>4</v>
      </c>
      <c r="I96" s="359"/>
      <c r="J96" s="360">
        <f t="shared" si="79"/>
        <v>2023</v>
      </c>
      <c r="K96" s="360">
        <f t="shared" si="79"/>
        <v>2027</v>
      </c>
      <c r="L96" s="360">
        <f t="shared" si="79"/>
        <v>4</v>
      </c>
      <c r="M96" s="358">
        <v>14</v>
      </c>
      <c r="N96" s="358">
        <f t="shared" si="71"/>
        <v>450</v>
      </c>
      <c r="O96" s="358">
        <f t="shared" si="80"/>
        <v>562.5</v>
      </c>
      <c r="P96" s="358">
        <f t="shared" si="72"/>
        <v>28.125</v>
      </c>
      <c r="Q96" s="358">
        <f t="shared" si="73"/>
        <v>16.875</v>
      </c>
      <c r="R96" s="361">
        <f t="shared" si="81"/>
        <v>0</v>
      </c>
      <c r="S96" s="361">
        <f t="shared" si="82"/>
        <v>607.5</v>
      </c>
      <c r="T96" s="362">
        <f t="shared" si="83"/>
        <v>121.5</v>
      </c>
      <c r="U96" s="363">
        <f>VLOOKUP(M96,B.0.ConsumiblesMaquinaria!C$7:D$16,2)</f>
        <v>3.5000000000000003E-2</v>
      </c>
      <c r="V96" s="358">
        <f t="shared" si="84"/>
        <v>11.55</v>
      </c>
      <c r="W96" s="359">
        <f>+B.0.ConsumiblesMaquinaria!J$23</f>
        <v>9.879999999999999</v>
      </c>
      <c r="X96" s="358">
        <f>+ROUND(U96*AI$1*W96,2)</f>
        <v>1.73</v>
      </c>
      <c r="Y96" s="358">
        <f>1*Y$102</f>
        <v>0.8</v>
      </c>
      <c r="Z96" s="358">
        <f t="shared" si="76"/>
        <v>264</v>
      </c>
      <c r="AA96" s="359">
        <f>+B.0.ConsumiblesMaquinaria!J$22</f>
        <v>1.8</v>
      </c>
      <c r="AB96" s="359">
        <f t="shared" si="77"/>
        <v>7.2</v>
      </c>
      <c r="AC96" s="363">
        <f t="shared" si="78"/>
        <v>0.22500000000000001</v>
      </c>
      <c r="AD96" s="359">
        <f t="shared" si="86"/>
        <v>9.1549999999999994</v>
      </c>
      <c r="AE96" s="360">
        <v>80</v>
      </c>
      <c r="AF96" s="358">
        <f t="shared" si="87"/>
        <v>732.4</v>
      </c>
      <c r="AG96" s="362">
        <f t="shared" si="88"/>
        <v>146.47999999999999</v>
      </c>
      <c r="AH96" s="417">
        <f t="shared" si="89"/>
        <v>267.98</v>
      </c>
    </row>
    <row r="97" spans="1:34">
      <c r="A97" s="402">
        <v>1</v>
      </c>
      <c r="B97" s="356" t="s">
        <v>619</v>
      </c>
      <c r="C97" s="357"/>
      <c r="D97" s="357" t="s">
        <v>620</v>
      </c>
      <c r="E97" s="358">
        <v>6000</v>
      </c>
      <c r="F97" s="359"/>
      <c r="G97" s="358">
        <f>22*8*AI$1</f>
        <v>880</v>
      </c>
      <c r="H97" s="359">
        <v>4</v>
      </c>
      <c r="I97" s="359"/>
      <c r="J97" s="360">
        <f t="shared" si="79"/>
        <v>2023</v>
      </c>
      <c r="K97" s="360">
        <f t="shared" si="79"/>
        <v>2027</v>
      </c>
      <c r="L97" s="360">
        <f t="shared" si="79"/>
        <v>4</v>
      </c>
      <c r="M97" s="358">
        <v>0</v>
      </c>
      <c r="N97" s="358">
        <f t="shared" si="71"/>
        <v>6000</v>
      </c>
      <c r="O97" s="358">
        <f t="shared" si="80"/>
        <v>1500</v>
      </c>
      <c r="P97" s="358">
        <f t="shared" si="72"/>
        <v>75</v>
      </c>
      <c r="Q97" s="358">
        <f t="shared" si="73"/>
        <v>45</v>
      </c>
      <c r="R97" s="361">
        <f t="shared" si="81"/>
        <v>0</v>
      </c>
      <c r="S97" s="361">
        <f t="shared" si="82"/>
        <v>1620</v>
      </c>
      <c r="T97" s="362">
        <f t="shared" si="83"/>
        <v>1620</v>
      </c>
      <c r="U97" s="358">
        <v>0</v>
      </c>
      <c r="V97" s="358">
        <f t="shared" si="84"/>
        <v>0</v>
      </c>
      <c r="W97" s="358">
        <v>0</v>
      </c>
      <c r="X97" s="358">
        <f t="shared" si="85"/>
        <v>0</v>
      </c>
      <c r="Y97" s="358">
        <f>0*Y$102</f>
        <v>0</v>
      </c>
      <c r="Z97" s="358">
        <f t="shared" si="76"/>
        <v>0</v>
      </c>
      <c r="AA97" s="359">
        <v>0</v>
      </c>
      <c r="AB97" s="359">
        <f t="shared" si="77"/>
        <v>0</v>
      </c>
      <c r="AC97" s="363">
        <f t="shared" si="78"/>
        <v>0.6</v>
      </c>
      <c r="AD97" s="359">
        <f t="shared" si="86"/>
        <v>0.6</v>
      </c>
      <c r="AE97" s="360">
        <v>80</v>
      </c>
      <c r="AF97" s="358">
        <f t="shared" si="87"/>
        <v>48</v>
      </c>
      <c r="AG97" s="362">
        <f t="shared" si="88"/>
        <v>48</v>
      </c>
      <c r="AH97" s="417">
        <f t="shared" si="89"/>
        <v>1668</v>
      </c>
    </row>
    <row r="98" spans="1:34">
      <c r="A98" s="404">
        <v>0</v>
      </c>
      <c r="B98" s="405" t="s">
        <v>621</v>
      </c>
      <c r="C98" s="406"/>
      <c r="D98" s="406" t="s">
        <v>445</v>
      </c>
      <c r="E98" s="407">
        <v>3750</v>
      </c>
      <c r="F98" s="408"/>
      <c r="G98" s="407">
        <f>22*8*AI$1</f>
        <v>880</v>
      </c>
      <c r="H98" s="408">
        <v>4</v>
      </c>
      <c r="I98" s="408"/>
      <c r="J98" s="409">
        <f t="shared" si="79"/>
        <v>2023</v>
      </c>
      <c r="K98" s="409">
        <f t="shared" si="79"/>
        <v>2027</v>
      </c>
      <c r="L98" s="409">
        <f t="shared" si="79"/>
        <v>4</v>
      </c>
      <c r="M98" s="407">
        <v>0</v>
      </c>
      <c r="N98" s="407">
        <f t="shared" si="71"/>
        <v>0</v>
      </c>
      <c r="O98" s="407">
        <f t="shared" si="80"/>
        <v>0</v>
      </c>
      <c r="P98" s="407">
        <f t="shared" si="72"/>
        <v>0</v>
      </c>
      <c r="Q98" s="407">
        <f t="shared" si="73"/>
        <v>0</v>
      </c>
      <c r="R98" s="410">
        <f t="shared" si="81"/>
        <v>0</v>
      </c>
      <c r="S98" s="410">
        <f t="shared" si="82"/>
        <v>0</v>
      </c>
      <c r="T98" s="420">
        <f t="shared" si="83"/>
        <v>0</v>
      </c>
      <c r="U98" s="407">
        <v>0</v>
      </c>
      <c r="V98" s="407">
        <f t="shared" si="84"/>
        <v>0</v>
      </c>
      <c r="W98" s="407">
        <v>0</v>
      </c>
      <c r="X98" s="407">
        <f t="shared" si="85"/>
        <v>0</v>
      </c>
      <c r="Y98" s="407">
        <f>0*Y$102</f>
        <v>0</v>
      </c>
      <c r="Z98" s="407">
        <f t="shared" si="76"/>
        <v>0</v>
      </c>
      <c r="AA98" s="408">
        <v>0</v>
      </c>
      <c r="AB98" s="408">
        <f t="shared" si="77"/>
        <v>0</v>
      </c>
      <c r="AC98" s="419">
        <f t="shared" si="78"/>
        <v>0</v>
      </c>
      <c r="AD98" s="408">
        <f t="shared" si="86"/>
        <v>0</v>
      </c>
      <c r="AE98" s="409">
        <v>80</v>
      </c>
      <c r="AF98" s="407">
        <f t="shared" si="87"/>
        <v>0</v>
      </c>
      <c r="AG98" s="420">
        <f t="shared" si="88"/>
        <v>0</v>
      </c>
      <c r="AH98" s="421">
        <f t="shared" si="89"/>
        <v>0</v>
      </c>
    </row>
    <row r="101" spans="1:34">
      <c r="X101" s="110"/>
      <c r="Y101" s="110"/>
      <c r="Z101" s="110"/>
    </row>
    <row r="102" spans="1:34">
      <c r="X102" s="110"/>
      <c r="Y102" s="110">
        <v>0.8</v>
      </c>
      <c r="Z102" s="110"/>
    </row>
    <row r="103" spans="1:34">
      <c r="X103" s="110"/>
      <c r="Y103" s="110"/>
      <c r="Z103" s="110"/>
    </row>
    <row r="104" spans="1:34">
      <c r="X104" s="110"/>
      <c r="Y104" s="110"/>
      <c r="Z104" s="110"/>
    </row>
  </sheetData>
  <mergeCells count="35">
    <mergeCell ref="A61:C61"/>
    <mergeCell ref="A65:C65"/>
    <mergeCell ref="A79:C79"/>
    <mergeCell ref="A3:A4"/>
    <mergeCell ref="B3:B4"/>
    <mergeCell ref="C3:C4"/>
    <mergeCell ref="A6:F6"/>
    <mergeCell ref="A26:C26"/>
    <mergeCell ref="A31:C31"/>
    <mergeCell ref="A48:C48"/>
    <mergeCell ref="A55:C55"/>
    <mergeCell ref="A1:AH1"/>
    <mergeCell ref="A2:M2"/>
    <mergeCell ref="N2:T2"/>
    <mergeCell ref="U2:AE2"/>
    <mergeCell ref="U3:X3"/>
    <mergeCell ref="Y3:AB3"/>
    <mergeCell ref="D3:D4"/>
    <mergeCell ref="E3:E4"/>
    <mergeCell ref="F3:F4"/>
    <mergeCell ref="G3:G4"/>
    <mergeCell ref="H3:H4"/>
    <mergeCell ref="M3:M4"/>
    <mergeCell ref="AH2:AH5"/>
    <mergeCell ref="N3:N4"/>
    <mergeCell ref="O3:O4"/>
    <mergeCell ref="P3:P4"/>
    <mergeCell ref="Q3:Q4"/>
    <mergeCell ref="R3:R4"/>
    <mergeCell ref="S3:S4"/>
    <mergeCell ref="AD3:AD5"/>
    <mergeCell ref="AE3:AE5"/>
    <mergeCell ref="AG3:AG5"/>
    <mergeCell ref="T3:T4"/>
    <mergeCell ref="AF3:AF5"/>
  </mergeCells>
  <conditionalFormatting sqref="N8:T98 N7:R7 T7">
    <cfRule type="cellIs" dxfId="28" priority="18" operator="equal">
      <formula>0</formula>
    </cfRule>
  </conditionalFormatting>
  <conditionalFormatting sqref="R8:S25 R7">
    <cfRule type="cellIs" dxfId="27" priority="27" operator="equal">
      <formula>0</formula>
    </cfRule>
  </conditionalFormatting>
  <conditionalFormatting sqref="R27:S30">
    <cfRule type="cellIs" dxfId="26" priority="26" operator="equal">
      <formula>0</formula>
    </cfRule>
  </conditionalFormatting>
  <conditionalFormatting sqref="R32:S47">
    <cfRule type="cellIs" dxfId="25" priority="25" operator="equal">
      <formula>0</formula>
    </cfRule>
  </conditionalFormatting>
  <conditionalFormatting sqref="R49:S54">
    <cfRule type="cellIs" dxfId="24" priority="24" operator="equal">
      <formula>0</formula>
    </cfRule>
  </conditionalFormatting>
  <conditionalFormatting sqref="R56:S60">
    <cfRule type="cellIs" dxfId="23" priority="23" operator="equal">
      <formula>0</formula>
    </cfRule>
  </conditionalFormatting>
  <conditionalFormatting sqref="R62:S64">
    <cfRule type="cellIs" dxfId="22" priority="22" operator="equal">
      <formula>0</formula>
    </cfRule>
  </conditionalFormatting>
  <conditionalFormatting sqref="R66:S78">
    <cfRule type="cellIs" dxfId="21" priority="21" operator="equal">
      <formula>0</formula>
    </cfRule>
  </conditionalFormatting>
  <conditionalFormatting sqref="R80:S98">
    <cfRule type="cellIs" dxfId="20" priority="20" operator="equal">
      <formula>0</formula>
    </cfRule>
  </conditionalFormatting>
  <conditionalFormatting sqref="AH7:AH25">
    <cfRule type="cellIs" dxfId="19" priority="15" operator="equal">
      <formula>0</formula>
    </cfRule>
  </conditionalFormatting>
  <conditionalFormatting sqref="AH27:AH47">
    <cfRule type="cellIs" dxfId="18" priority="8" operator="equal">
      <formula>0</formula>
    </cfRule>
  </conditionalFormatting>
  <conditionalFormatting sqref="AH49:AH54">
    <cfRule type="cellIs" dxfId="17" priority="7" operator="equal">
      <formula>0</formula>
    </cfRule>
  </conditionalFormatting>
  <conditionalFormatting sqref="AH56:AH60">
    <cfRule type="cellIs" dxfId="16" priority="6" operator="equal">
      <formula>0</formula>
    </cfRule>
  </conditionalFormatting>
  <conditionalFormatting sqref="AH62:AH64">
    <cfRule type="cellIs" dxfId="15" priority="5" operator="equal">
      <formula>0</formula>
    </cfRule>
  </conditionalFormatting>
  <conditionalFormatting sqref="AH66:AH78">
    <cfRule type="cellIs" dxfId="14" priority="4" operator="equal">
      <formula>0</formula>
    </cfRule>
  </conditionalFormatting>
  <conditionalFormatting sqref="AH80:AH98">
    <cfRule type="cellIs" dxfId="13" priority="3" operator="equal">
      <formula>0</formula>
    </cfRule>
  </conditionalFormatting>
  <conditionalFormatting sqref="S7">
    <cfRule type="cellIs" dxfId="12" priority="2" operator="equal">
      <formula>0</formula>
    </cfRule>
  </conditionalFormatting>
  <conditionalFormatting sqref="U7:AG98">
    <cfRule type="cellIs" dxfId="11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8" scale="47" orientation="landscape" r:id="rId1"/>
  <colBreaks count="1" manualBreakCount="1">
    <brk id="34" max="1048575" man="1"/>
  </col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Q517"/>
  <sheetViews>
    <sheetView showGridLines="0" workbookViewId="0">
      <selection activeCell="B1" sqref="B1:Q11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454" t="s">
        <v>622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31" t="s">
        <v>107</v>
      </c>
      <c r="C3" s="632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587" t="s">
        <v>623</v>
      </c>
      <c r="O3" s="587"/>
      <c r="P3" s="587"/>
      <c r="Q3" s="588"/>
    </row>
    <row r="4" spans="2:17" ht="15" customHeight="1">
      <c r="B4" s="54" t="s">
        <v>624</v>
      </c>
      <c r="C4" s="468" t="s">
        <v>625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633">
        <f>N5+N6</f>
        <v>40555.273499999996</v>
      </c>
      <c r="O4" s="633"/>
      <c r="P4" s="633"/>
      <c r="Q4" s="633"/>
    </row>
    <row r="5" spans="2:17" ht="15" customHeight="1">
      <c r="B5" s="54"/>
      <c r="C5" s="94" t="s">
        <v>626</v>
      </c>
      <c r="D5" s="612"/>
      <c r="E5" s="613"/>
      <c r="F5" s="613"/>
      <c r="G5" s="613"/>
      <c r="H5" s="613"/>
      <c r="I5" s="613"/>
      <c r="J5" s="613"/>
      <c r="K5" s="613"/>
      <c r="L5" s="613"/>
      <c r="M5" s="614"/>
      <c r="N5" s="633">
        <f>C.1.1.Vestuario_Equip!G14</f>
        <v>17098.2</v>
      </c>
      <c r="O5" s="633"/>
      <c r="P5" s="633"/>
      <c r="Q5" s="633"/>
    </row>
    <row r="6" spans="2:17" ht="15" customHeight="1">
      <c r="B6" s="54"/>
      <c r="C6" s="94" t="s">
        <v>627</v>
      </c>
      <c r="D6" s="95"/>
      <c r="E6" s="96"/>
      <c r="F6" s="96"/>
      <c r="G6" s="96"/>
      <c r="H6" s="96"/>
      <c r="I6" s="96"/>
      <c r="J6" s="96"/>
      <c r="K6" s="96"/>
      <c r="L6" s="96"/>
      <c r="M6" s="97"/>
      <c r="N6" s="633">
        <f>C.1.2.PRL!I34</f>
        <v>23457.073499999999</v>
      </c>
      <c r="O6" s="633"/>
      <c r="P6" s="633"/>
      <c r="Q6" s="633"/>
    </row>
    <row r="7" spans="2:17" ht="15" customHeight="1">
      <c r="B7" s="54" t="s">
        <v>628</v>
      </c>
      <c r="C7" s="468" t="s">
        <v>629</v>
      </c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633">
        <f>'C.2. Herramientas'!I90</f>
        <v>13248.437999999996</v>
      </c>
      <c r="O7" s="633"/>
      <c r="P7" s="633"/>
      <c r="Q7" s="633"/>
    </row>
    <row r="8" spans="2:17" ht="15" customHeight="1">
      <c r="B8" s="74" t="s">
        <v>630</v>
      </c>
      <c r="C8" s="74"/>
      <c r="D8" s="56"/>
      <c r="E8" s="57"/>
      <c r="F8" s="57"/>
      <c r="G8" s="57"/>
      <c r="H8" s="58"/>
      <c r="I8" s="58"/>
      <c r="J8" s="58"/>
      <c r="K8" s="58"/>
      <c r="L8" s="58"/>
      <c r="M8" s="58"/>
      <c r="N8" s="627">
        <f>N7+N4</f>
        <v>53803.71149999999</v>
      </c>
      <c r="O8" s="627"/>
      <c r="P8" s="627"/>
      <c r="Q8" s="627"/>
    </row>
    <row r="9" spans="2:17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s="49" customFormat="1" ht="15" customHeight="1">
      <c r="B11" s="50"/>
      <c r="C11" s="75" t="s">
        <v>318</v>
      </c>
      <c r="D11" s="76">
        <v>0.05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  <row r="512" spans="2:17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</row>
    <row r="513" spans="2:17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</row>
    <row r="514" spans="2:17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2:17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</row>
    <row r="516" spans="2:17" s="49" customFormat="1" ht="15" customHeight="1">
      <c r="B516" s="50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</row>
    <row r="517" spans="2:17" s="49" customFormat="1" ht="15" customHeight="1">
      <c r="B517" s="50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</row>
  </sheetData>
  <mergeCells count="11">
    <mergeCell ref="N8:Q8"/>
    <mergeCell ref="D5:M5"/>
    <mergeCell ref="N5:Q5"/>
    <mergeCell ref="N6:Q6"/>
    <mergeCell ref="C7:M7"/>
    <mergeCell ref="N7:Q7"/>
    <mergeCell ref="B1:Q1"/>
    <mergeCell ref="B3:C3"/>
    <mergeCell ref="N3:Q3"/>
    <mergeCell ref="C4:M4"/>
    <mergeCell ref="N4:Q4"/>
  </mergeCells>
  <pageMargins left="0.511811023622047" right="0.511811023622047" top="0.55118110236220497" bottom="0.55118110236220497" header="0.31496062992126" footer="0.31496062992126"/>
  <pageSetup paperSize="9" scale="74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K14"/>
  <sheetViews>
    <sheetView workbookViewId="0">
      <selection sqref="A1:G14"/>
    </sheetView>
  </sheetViews>
  <sheetFormatPr baseColWidth="10" defaultColWidth="11.44140625" defaultRowHeight="13.8"/>
  <cols>
    <col min="1" max="1" width="12.5546875" style="89" customWidth="1"/>
    <col min="2" max="2" width="26.109375" style="90" customWidth="1"/>
    <col min="3" max="3" width="9.6640625" style="90" customWidth="1"/>
    <col min="4" max="4" width="15.33203125" style="89" customWidth="1"/>
    <col min="5" max="5" width="19.33203125" style="90" customWidth="1"/>
    <col min="6" max="6" width="23.88671875" style="90" customWidth="1"/>
    <col min="7" max="7" width="20.6640625" style="90" customWidth="1"/>
    <col min="8" max="16384" width="11.44140625" style="90"/>
  </cols>
  <sheetData>
    <row r="1" spans="1:11" ht="18.75" customHeight="1">
      <c r="A1" s="737" t="s">
        <v>631</v>
      </c>
      <c r="B1" s="738"/>
      <c r="C1" s="738"/>
      <c r="D1" s="738"/>
      <c r="E1" s="738"/>
      <c r="F1" s="738"/>
      <c r="G1" s="739"/>
    </row>
    <row r="2" spans="1:11" ht="20.100000000000001" customHeight="1">
      <c r="A2" s="24" t="s">
        <v>632</v>
      </c>
      <c r="B2" s="6" t="s">
        <v>360</v>
      </c>
      <c r="C2" s="6" t="s">
        <v>633</v>
      </c>
      <c r="D2" s="6" t="s">
        <v>634</v>
      </c>
      <c r="E2" s="6" t="s">
        <v>635</v>
      </c>
      <c r="F2" s="91" t="s">
        <v>636</v>
      </c>
      <c r="G2" s="25" t="s">
        <v>637</v>
      </c>
    </row>
    <row r="3" spans="1:11" ht="20.100000000000001" customHeight="1">
      <c r="A3" s="303"/>
      <c r="B3" s="304" t="s">
        <v>638</v>
      </c>
      <c r="C3" s="305"/>
      <c r="D3" s="306"/>
      <c r="E3" s="305"/>
      <c r="F3" s="305">
        <f>'C. Resumen Costes Vest_Util_Her'!$D$11</f>
        <v>0.05</v>
      </c>
      <c r="G3" s="307"/>
      <c r="H3" s="92"/>
    </row>
    <row r="4" spans="1:11" ht="15.75" customHeight="1">
      <c r="A4" s="93">
        <f>K4</f>
        <v>80</v>
      </c>
      <c r="B4" s="10" t="s">
        <v>639</v>
      </c>
      <c r="C4" s="66">
        <f>17</f>
        <v>17</v>
      </c>
      <c r="D4" s="9">
        <v>1</v>
      </c>
      <c r="E4" s="66">
        <f>17</f>
        <v>17</v>
      </c>
      <c r="F4" s="66">
        <f>E4*$F$3</f>
        <v>0.85000000000000009</v>
      </c>
      <c r="G4" s="35">
        <f>E4*A4+A4*F4</f>
        <v>1428</v>
      </c>
      <c r="H4" s="92"/>
      <c r="I4" s="46"/>
      <c r="J4" s="47" t="s">
        <v>121</v>
      </c>
      <c r="K4" s="48">
        <f>'A. Resumen Costes Personal'!J20+'A. Resumen Costes Personal'!J21+'A. Resumen Costes Personal'!J22+'A. Resumen Costes Personal'!J23+'A. Resumen Costes Personal'!J24</f>
        <v>80</v>
      </c>
    </row>
    <row r="5" spans="1:11" ht="15.75" customHeight="1">
      <c r="A5" s="93">
        <f>K4</f>
        <v>80</v>
      </c>
      <c r="B5" s="10" t="s">
        <v>640</v>
      </c>
      <c r="C5" s="66">
        <f>20</f>
        <v>20</v>
      </c>
      <c r="D5" s="9">
        <v>1</v>
      </c>
      <c r="E5" s="66">
        <f>20</f>
        <v>20</v>
      </c>
      <c r="F5" s="66">
        <f t="shared" ref="F5:F7" si="0">E5*$F$3</f>
        <v>1</v>
      </c>
      <c r="G5" s="35">
        <f t="shared" ref="G5:G7" si="1">E5*A5+A5*F5</f>
        <v>1680</v>
      </c>
      <c r="H5" s="92"/>
      <c r="I5" s="46"/>
      <c r="J5" s="47" t="s">
        <v>641</v>
      </c>
      <c r="K5" s="48">
        <f>SUM('A.1_Tabla Costes Subrogación'!A93)+SUM('A.2_Tabla Costes Nueva Contr'!A26)</f>
        <v>1</v>
      </c>
    </row>
    <row r="6" spans="1:11" ht="15.75" customHeight="1">
      <c r="A6" s="93">
        <f>K4</f>
        <v>80</v>
      </c>
      <c r="B6" s="10" t="s">
        <v>642</v>
      </c>
      <c r="C6" s="66">
        <f>14</f>
        <v>14</v>
      </c>
      <c r="D6" s="9">
        <v>1</v>
      </c>
      <c r="E6" s="66">
        <f>14</f>
        <v>14</v>
      </c>
      <c r="F6" s="66">
        <f t="shared" si="0"/>
        <v>0.70000000000000007</v>
      </c>
      <c r="G6" s="35">
        <f t="shared" si="1"/>
        <v>1176</v>
      </c>
      <c r="H6" s="92"/>
      <c r="I6" s="46"/>
      <c r="J6" s="47" t="s">
        <v>643</v>
      </c>
      <c r="K6" s="48">
        <f>'A. Resumen Costes Personal'!J25</f>
        <v>2</v>
      </c>
    </row>
    <row r="7" spans="1:11" ht="15.75" customHeight="1">
      <c r="A7" s="93">
        <f>K4</f>
        <v>80</v>
      </c>
      <c r="B7" s="10" t="s">
        <v>644</v>
      </c>
      <c r="C7" s="66">
        <f>18</f>
        <v>18</v>
      </c>
      <c r="D7" s="9">
        <v>1</v>
      </c>
      <c r="E7" s="66">
        <f>18</f>
        <v>18</v>
      </c>
      <c r="F7" s="66">
        <f t="shared" si="0"/>
        <v>0.9</v>
      </c>
      <c r="G7" s="35">
        <f t="shared" si="1"/>
        <v>1512</v>
      </c>
      <c r="H7" s="92"/>
    </row>
    <row r="8" spans="1:11" ht="20.100000000000001" customHeight="1">
      <c r="A8" s="303"/>
      <c r="B8" s="304" t="s">
        <v>645</v>
      </c>
      <c r="C8" s="305"/>
      <c r="D8" s="306"/>
      <c r="E8" s="305"/>
      <c r="F8" s="305"/>
      <c r="G8" s="308"/>
      <c r="H8" s="92"/>
    </row>
    <row r="9" spans="1:11" ht="15.75" customHeight="1">
      <c r="A9" s="93">
        <f>K4</f>
        <v>80</v>
      </c>
      <c r="B9" s="10" t="s">
        <v>646</v>
      </c>
      <c r="C9" s="66">
        <f>20</f>
        <v>20</v>
      </c>
      <c r="D9" s="9">
        <v>1</v>
      </c>
      <c r="E9" s="66">
        <f>20</f>
        <v>20</v>
      </c>
      <c r="F9" s="66">
        <f t="shared" ref="F9:F13" si="2">E9*$F$3</f>
        <v>1</v>
      </c>
      <c r="G9" s="35">
        <f t="shared" ref="G9:G13" si="3">E9*A9+A9*F9</f>
        <v>1680</v>
      </c>
      <c r="H9" s="92"/>
    </row>
    <row r="10" spans="1:11" ht="15.75" customHeight="1">
      <c r="A10" s="93">
        <f>K4</f>
        <v>80</v>
      </c>
      <c r="B10" s="10" t="s">
        <v>647</v>
      </c>
      <c r="C10" s="66">
        <f>23</f>
        <v>23</v>
      </c>
      <c r="D10" s="9">
        <v>1</v>
      </c>
      <c r="E10" s="66">
        <f>23</f>
        <v>23</v>
      </c>
      <c r="F10" s="66">
        <f t="shared" si="2"/>
        <v>1.1500000000000001</v>
      </c>
      <c r="G10" s="35">
        <f t="shared" si="3"/>
        <v>1932</v>
      </c>
      <c r="H10" s="92"/>
    </row>
    <row r="11" spans="1:11" ht="15.75" customHeight="1">
      <c r="A11" s="93">
        <f>K4</f>
        <v>80</v>
      </c>
      <c r="B11" s="10" t="s">
        <v>648</v>
      </c>
      <c r="C11" s="66">
        <f>28</f>
        <v>28</v>
      </c>
      <c r="D11" s="9">
        <v>1</v>
      </c>
      <c r="E11" s="66">
        <f>28</f>
        <v>28</v>
      </c>
      <c r="F11" s="66">
        <f t="shared" si="2"/>
        <v>1.4000000000000001</v>
      </c>
      <c r="G11" s="35">
        <f t="shared" si="3"/>
        <v>2352</v>
      </c>
      <c r="H11" s="92"/>
    </row>
    <row r="12" spans="1:11" ht="15.75" customHeight="1">
      <c r="A12" s="93">
        <f>K4+K6</f>
        <v>82</v>
      </c>
      <c r="B12" s="10" t="s">
        <v>649</v>
      </c>
      <c r="C12" s="66">
        <f>45</f>
        <v>45</v>
      </c>
      <c r="D12" s="9">
        <v>1</v>
      </c>
      <c r="E12" s="66">
        <f>45</f>
        <v>45</v>
      </c>
      <c r="F12" s="66">
        <f t="shared" si="2"/>
        <v>2.25</v>
      </c>
      <c r="G12" s="35">
        <f t="shared" si="3"/>
        <v>3874.5</v>
      </c>
      <c r="H12" s="92"/>
    </row>
    <row r="13" spans="1:11" ht="15.75" customHeight="1">
      <c r="A13" s="93">
        <f>K4+K6</f>
        <v>82</v>
      </c>
      <c r="B13" s="10" t="s">
        <v>642</v>
      </c>
      <c r="C13" s="66">
        <f>17</f>
        <v>17</v>
      </c>
      <c r="D13" s="9">
        <v>1</v>
      </c>
      <c r="E13" s="66">
        <f>17</f>
        <v>17</v>
      </c>
      <c r="F13" s="66">
        <f t="shared" si="2"/>
        <v>0.85000000000000009</v>
      </c>
      <c r="G13" s="35">
        <f t="shared" si="3"/>
        <v>1463.7</v>
      </c>
      <c r="H13" s="92"/>
    </row>
    <row r="14" spans="1:11" ht="20.100000000000001" customHeight="1">
      <c r="A14" s="309"/>
      <c r="B14" s="310"/>
      <c r="C14" s="310"/>
      <c r="D14" s="311"/>
      <c r="E14" s="312" t="s">
        <v>56</v>
      </c>
      <c r="F14" s="313"/>
      <c r="G14" s="314">
        <f>SUM(G4:G13)</f>
        <v>17098.2</v>
      </c>
    </row>
  </sheetData>
  <mergeCells count="1">
    <mergeCell ref="A1:G1"/>
  </mergeCells>
  <printOptions horizontalCentered="1"/>
  <pageMargins left="0.78740157480314998" right="0.59055118110236204" top="0.78740157480314998" bottom="0.59055118110236204" header="0" footer="0"/>
  <pageSetup paperSize="9" scale="70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47"/>
  <sheetViews>
    <sheetView workbookViewId="0">
      <selection activeCell="F15" sqref="F15"/>
    </sheetView>
  </sheetViews>
  <sheetFormatPr baseColWidth="10" defaultColWidth="11.44140625" defaultRowHeight="11.4"/>
  <cols>
    <col min="1" max="1" width="11.44140625" style="41"/>
    <col min="2" max="2" width="1.109375" style="18" customWidth="1"/>
    <col min="3" max="3" width="11.44140625" style="18"/>
    <col min="4" max="4" width="26.6640625" style="18" customWidth="1"/>
    <col min="5" max="5" width="14.109375" style="41" customWidth="1"/>
    <col min="6" max="6" width="11.109375" style="41" customWidth="1"/>
    <col min="7" max="7" width="15.5546875" style="80" customWidth="1"/>
    <col min="8" max="8" width="8.88671875" style="81" customWidth="1"/>
    <col min="9" max="9" width="10.6640625" style="80" customWidth="1"/>
    <col min="10" max="16384" width="11.44140625" style="18"/>
  </cols>
  <sheetData>
    <row r="1" spans="1:13" ht="15.6">
      <c r="B1" s="22"/>
      <c r="C1" s="737" t="s">
        <v>650</v>
      </c>
      <c r="D1" s="738"/>
      <c r="E1" s="738"/>
      <c r="F1" s="738"/>
      <c r="G1" s="738"/>
      <c r="H1" s="738"/>
      <c r="I1" s="739"/>
    </row>
    <row r="2" spans="1:13" ht="43.2">
      <c r="A2" s="42" t="s">
        <v>651</v>
      </c>
      <c r="B2" s="23"/>
      <c r="C2" s="24" t="s">
        <v>632</v>
      </c>
      <c r="D2" s="6" t="s">
        <v>360</v>
      </c>
      <c r="E2" s="6" t="s">
        <v>633</v>
      </c>
      <c r="F2" s="6" t="s">
        <v>634</v>
      </c>
      <c r="G2" s="6" t="s">
        <v>635</v>
      </c>
      <c r="H2" s="6" t="s">
        <v>636</v>
      </c>
      <c r="I2" s="25" t="s">
        <v>637</v>
      </c>
      <c r="L2" s="86"/>
      <c r="M2" s="87"/>
    </row>
    <row r="3" spans="1:13" s="79" customFormat="1" ht="17.100000000000001" customHeight="1">
      <c r="A3" s="315"/>
      <c r="B3" s="82"/>
      <c r="C3" s="316"/>
      <c r="D3" s="304" t="s">
        <v>652</v>
      </c>
      <c r="E3" s="304"/>
      <c r="F3" s="315"/>
      <c r="G3" s="304"/>
      <c r="H3" s="317">
        <f>'C. Resumen Costes Vest_Util_Her'!$D$11</f>
        <v>0.05</v>
      </c>
      <c r="I3" s="318"/>
    </row>
    <row r="4" spans="1:13" s="79" customFormat="1" ht="20.100000000000001" customHeight="1">
      <c r="A4" s="43">
        <v>2</v>
      </c>
      <c r="B4" s="83"/>
      <c r="C4" s="60">
        <f>ROUNDUP(M$4*A4/10,0)</f>
        <v>16</v>
      </c>
      <c r="D4" s="7" t="s">
        <v>653</v>
      </c>
      <c r="E4" s="8">
        <v>31</v>
      </c>
      <c r="F4" s="9">
        <v>4</v>
      </c>
      <c r="G4" s="8">
        <f>E4/F4</f>
        <v>7.75</v>
      </c>
      <c r="H4" s="8">
        <f>G4*$H$3</f>
        <v>0.38750000000000001</v>
      </c>
      <c r="I4" s="35">
        <f>C4*(G4+H4)</f>
        <v>130.19999999999999</v>
      </c>
      <c r="K4" s="46"/>
      <c r="L4" s="47" t="s">
        <v>121</v>
      </c>
      <c r="M4" s="48">
        <f>C.1.1.Vestuario_Equip!K4</f>
        <v>80</v>
      </c>
    </row>
    <row r="5" spans="1:13" s="79" customFormat="1" ht="20.100000000000001" customHeight="1">
      <c r="A5" s="43">
        <v>5</v>
      </c>
      <c r="B5" s="83"/>
      <c r="C5" s="60">
        <f t="shared" ref="C5:C13" si="0">ROUNDUP(M$4*A5/10,0)</f>
        <v>40</v>
      </c>
      <c r="D5" s="10" t="s">
        <v>654</v>
      </c>
      <c r="E5" s="8">
        <v>6.5</v>
      </c>
      <c r="F5" s="9">
        <v>2</v>
      </c>
      <c r="G5" s="8">
        <f t="shared" ref="G5:G33" si="1">E5/F5</f>
        <v>3.25</v>
      </c>
      <c r="H5" s="8">
        <f t="shared" ref="H5:H13" si="2">G5*$H$3</f>
        <v>0.16250000000000001</v>
      </c>
      <c r="I5" s="35">
        <f>C5*(G5+H5)</f>
        <v>136.5</v>
      </c>
      <c r="K5" s="46"/>
      <c r="L5" s="47" t="s">
        <v>641</v>
      </c>
      <c r="M5" s="48">
        <f>C.1.1.Vestuario_Equip!K5</f>
        <v>1</v>
      </c>
    </row>
    <row r="6" spans="1:13" s="79" customFormat="1" ht="20.100000000000001" customHeight="1">
      <c r="A6" s="43">
        <v>1</v>
      </c>
      <c r="B6" s="83"/>
      <c r="C6" s="60">
        <f t="shared" si="0"/>
        <v>8</v>
      </c>
      <c r="D6" s="10" t="s">
        <v>655</v>
      </c>
      <c r="E6" s="8">
        <v>67.41</v>
      </c>
      <c r="F6" s="9">
        <v>4</v>
      </c>
      <c r="G6" s="8">
        <f t="shared" si="1"/>
        <v>16.852499999999999</v>
      </c>
      <c r="H6" s="8">
        <f t="shared" si="2"/>
        <v>0.84262499999999996</v>
      </c>
      <c r="I6" s="35">
        <f t="shared" ref="I6:I33" si="3">C6*(G6+H6)</f>
        <v>141.56099999999998</v>
      </c>
      <c r="K6" s="46"/>
      <c r="L6" s="47" t="s">
        <v>643</v>
      </c>
      <c r="M6" s="48">
        <f>C.1.1.Vestuario_Equip!K6</f>
        <v>2</v>
      </c>
    </row>
    <row r="7" spans="1:13" s="79" customFormat="1" ht="20.100000000000001" customHeight="1">
      <c r="A7" s="43">
        <v>1</v>
      </c>
      <c r="B7" s="83"/>
      <c r="C7" s="60">
        <f t="shared" si="0"/>
        <v>8</v>
      </c>
      <c r="D7" s="10" t="s">
        <v>656</v>
      </c>
      <c r="E7" s="8">
        <v>112</v>
      </c>
      <c r="F7" s="9">
        <v>4</v>
      </c>
      <c r="G7" s="8">
        <f t="shared" si="1"/>
        <v>28</v>
      </c>
      <c r="H7" s="8">
        <f t="shared" si="2"/>
        <v>1.4000000000000001</v>
      </c>
      <c r="I7" s="35">
        <f t="shared" si="3"/>
        <v>235.2</v>
      </c>
    </row>
    <row r="8" spans="1:13" s="79" customFormat="1" ht="20.100000000000001" customHeight="1">
      <c r="A8" s="43">
        <v>2</v>
      </c>
      <c r="B8" s="83"/>
      <c r="C8" s="60">
        <f t="shared" si="0"/>
        <v>16</v>
      </c>
      <c r="D8" s="10" t="s">
        <v>657</v>
      </c>
      <c r="E8" s="8">
        <v>112</v>
      </c>
      <c r="F8" s="9">
        <v>4</v>
      </c>
      <c r="G8" s="8">
        <f t="shared" si="1"/>
        <v>28</v>
      </c>
      <c r="H8" s="8">
        <f t="shared" si="2"/>
        <v>1.4000000000000001</v>
      </c>
      <c r="I8" s="35">
        <f t="shared" si="3"/>
        <v>470.4</v>
      </c>
    </row>
    <row r="9" spans="1:13" s="79" customFormat="1" ht="20.100000000000001" customHeight="1">
      <c r="A9" s="43">
        <v>10</v>
      </c>
      <c r="B9" s="83"/>
      <c r="C9" s="60">
        <f t="shared" si="0"/>
        <v>80</v>
      </c>
      <c r="D9" s="10" t="s">
        <v>658</v>
      </c>
      <c r="E9" s="8">
        <v>2</v>
      </c>
      <c r="F9" s="9">
        <v>1</v>
      </c>
      <c r="G9" s="8">
        <f t="shared" si="1"/>
        <v>2</v>
      </c>
      <c r="H9" s="8">
        <f t="shared" si="2"/>
        <v>0.1</v>
      </c>
      <c r="I9" s="35">
        <f t="shared" si="3"/>
        <v>168</v>
      </c>
    </row>
    <row r="10" spans="1:13" s="79" customFormat="1" ht="20.100000000000001" customHeight="1">
      <c r="A10" s="43">
        <v>2</v>
      </c>
      <c r="B10" s="83"/>
      <c r="C10" s="60">
        <f t="shared" si="0"/>
        <v>16</v>
      </c>
      <c r="D10" s="10" t="s">
        <v>659</v>
      </c>
      <c r="E10" s="8">
        <v>20</v>
      </c>
      <c r="F10" s="9">
        <v>4</v>
      </c>
      <c r="G10" s="8">
        <f t="shared" si="1"/>
        <v>5</v>
      </c>
      <c r="H10" s="8">
        <f t="shared" si="2"/>
        <v>0.25</v>
      </c>
      <c r="I10" s="35">
        <f t="shared" si="3"/>
        <v>84</v>
      </c>
    </row>
    <row r="11" spans="1:13" s="79" customFormat="1" ht="20.100000000000001" customHeight="1">
      <c r="A11" s="43">
        <v>1</v>
      </c>
      <c r="B11" s="83"/>
      <c r="C11" s="60">
        <f t="shared" si="0"/>
        <v>8</v>
      </c>
      <c r="D11" s="10" t="s">
        <v>660</v>
      </c>
      <c r="E11" s="8">
        <v>31.85</v>
      </c>
      <c r="F11" s="9">
        <v>4</v>
      </c>
      <c r="G11" s="8">
        <f t="shared" si="1"/>
        <v>7.9625000000000004</v>
      </c>
      <c r="H11" s="8">
        <f t="shared" si="2"/>
        <v>0.39812500000000006</v>
      </c>
      <c r="I11" s="35">
        <f t="shared" si="3"/>
        <v>66.885000000000005</v>
      </c>
    </row>
    <row r="12" spans="1:13" s="79" customFormat="1" ht="20.100000000000001" customHeight="1">
      <c r="A12" s="43">
        <v>2</v>
      </c>
      <c r="B12" s="83"/>
      <c r="C12" s="60">
        <f t="shared" si="0"/>
        <v>16</v>
      </c>
      <c r="D12" s="10" t="s">
        <v>661</v>
      </c>
      <c r="E12" s="8">
        <v>22</v>
      </c>
      <c r="F12" s="9">
        <v>4</v>
      </c>
      <c r="G12" s="8">
        <f t="shared" si="1"/>
        <v>5.5</v>
      </c>
      <c r="H12" s="8">
        <f t="shared" si="2"/>
        <v>0.27500000000000002</v>
      </c>
      <c r="I12" s="35">
        <f t="shared" si="3"/>
        <v>92.4</v>
      </c>
    </row>
    <row r="13" spans="1:13" s="79" customFormat="1" ht="20.100000000000001" customHeight="1">
      <c r="A13" s="43">
        <v>10</v>
      </c>
      <c r="B13" s="83"/>
      <c r="C13" s="60">
        <f t="shared" si="0"/>
        <v>80</v>
      </c>
      <c r="D13" s="10" t="s">
        <v>662</v>
      </c>
      <c r="E13" s="8">
        <v>5</v>
      </c>
      <c r="F13" s="9">
        <v>2</v>
      </c>
      <c r="G13" s="8">
        <f t="shared" si="1"/>
        <v>2.5</v>
      </c>
      <c r="H13" s="8">
        <f t="shared" si="2"/>
        <v>0.125</v>
      </c>
      <c r="I13" s="35">
        <f t="shared" si="3"/>
        <v>210</v>
      </c>
    </row>
    <row r="14" spans="1:13" s="79" customFormat="1" ht="17.100000000000001" customHeight="1">
      <c r="A14" s="296"/>
      <c r="B14" s="82"/>
      <c r="C14" s="316"/>
      <c r="D14" s="304" t="s">
        <v>663</v>
      </c>
      <c r="E14" s="319"/>
      <c r="F14" s="315"/>
      <c r="G14" s="304"/>
      <c r="H14" s="319"/>
      <c r="I14" s="320"/>
    </row>
    <row r="15" spans="1:13" s="79" customFormat="1" ht="20.100000000000001" customHeight="1">
      <c r="A15" s="43">
        <v>1</v>
      </c>
      <c r="B15" s="83"/>
      <c r="C15" s="60">
        <f t="shared" ref="C15:C17" si="4">ROUNDUP(M$4*A15/10,0)</f>
        <v>8</v>
      </c>
      <c r="D15" s="10" t="s">
        <v>664</v>
      </c>
      <c r="E15" s="8">
        <v>15</v>
      </c>
      <c r="F15" s="9">
        <v>0.5</v>
      </c>
      <c r="G15" s="8">
        <f t="shared" si="1"/>
        <v>30</v>
      </c>
      <c r="H15" s="8">
        <f t="shared" ref="H15:H17" si="5">G15*$H$3</f>
        <v>1.5</v>
      </c>
      <c r="I15" s="35">
        <f t="shared" si="3"/>
        <v>252</v>
      </c>
    </row>
    <row r="16" spans="1:13" s="79" customFormat="1" ht="20.100000000000001" customHeight="1">
      <c r="A16" s="43">
        <v>40</v>
      </c>
      <c r="B16" s="83"/>
      <c r="C16" s="60">
        <f t="shared" si="4"/>
        <v>320</v>
      </c>
      <c r="D16" s="10" t="s">
        <v>665</v>
      </c>
      <c r="E16" s="8">
        <v>15</v>
      </c>
      <c r="F16" s="9">
        <v>0.5</v>
      </c>
      <c r="G16" s="8">
        <f t="shared" si="1"/>
        <v>30</v>
      </c>
      <c r="H16" s="8">
        <f t="shared" si="5"/>
        <v>1.5</v>
      </c>
      <c r="I16" s="35">
        <f t="shared" si="3"/>
        <v>10080</v>
      </c>
    </row>
    <row r="17" spans="1:9" s="79" customFormat="1" ht="20.100000000000001" customHeight="1">
      <c r="A17" s="43">
        <v>4</v>
      </c>
      <c r="B17" s="83"/>
      <c r="C17" s="60">
        <f t="shared" si="4"/>
        <v>32</v>
      </c>
      <c r="D17" s="10" t="s">
        <v>666</v>
      </c>
      <c r="E17" s="8">
        <v>4</v>
      </c>
      <c r="F17" s="9">
        <v>0.5</v>
      </c>
      <c r="G17" s="8">
        <f t="shared" si="1"/>
        <v>8</v>
      </c>
      <c r="H17" s="8">
        <f t="shared" si="5"/>
        <v>0.4</v>
      </c>
      <c r="I17" s="35">
        <f t="shared" si="3"/>
        <v>268.8</v>
      </c>
    </row>
    <row r="18" spans="1:9" s="79" customFormat="1" ht="17.100000000000001" customHeight="1">
      <c r="A18" s="296"/>
      <c r="B18" s="82"/>
      <c r="C18" s="316"/>
      <c r="D18" s="304" t="s">
        <v>667</v>
      </c>
      <c r="E18" s="319"/>
      <c r="F18" s="315"/>
      <c r="G18" s="304"/>
      <c r="H18" s="319"/>
      <c r="I18" s="320"/>
    </row>
    <row r="19" spans="1:9" s="79" customFormat="1" ht="20.100000000000001" customHeight="1">
      <c r="A19" s="43">
        <v>1</v>
      </c>
      <c r="B19" s="83"/>
      <c r="C19" s="60">
        <f t="shared" ref="C19:C22" si="6">ROUNDUP(M$4*A19/10,0)</f>
        <v>8</v>
      </c>
      <c r="D19" s="10" t="s">
        <v>668</v>
      </c>
      <c r="E19" s="8">
        <v>5</v>
      </c>
      <c r="F19" s="9">
        <v>4</v>
      </c>
      <c r="G19" s="8">
        <f t="shared" si="1"/>
        <v>1.25</v>
      </c>
      <c r="H19" s="8">
        <f t="shared" ref="H19:H22" si="7">G19*$H$3</f>
        <v>6.25E-2</v>
      </c>
      <c r="I19" s="35">
        <f t="shared" si="3"/>
        <v>10.5</v>
      </c>
    </row>
    <row r="20" spans="1:9" s="79" customFormat="1" ht="20.100000000000001" customHeight="1">
      <c r="A20" s="43">
        <v>10</v>
      </c>
      <c r="B20" s="83"/>
      <c r="C20" s="60">
        <f t="shared" si="6"/>
        <v>80</v>
      </c>
      <c r="D20" s="10" t="s">
        <v>669</v>
      </c>
      <c r="E20" s="8">
        <v>8.6</v>
      </c>
      <c r="F20" s="9">
        <v>4</v>
      </c>
      <c r="G20" s="8">
        <f t="shared" si="1"/>
        <v>2.15</v>
      </c>
      <c r="H20" s="8">
        <f t="shared" si="7"/>
        <v>0.1075</v>
      </c>
      <c r="I20" s="35">
        <f t="shared" si="3"/>
        <v>180.6</v>
      </c>
    </row>
    <row r="21" spans="1:9" s="79" customFormat="1" ht="20.100000000000001" customHeight="1">
      <c r="A21" s="43">
        <v>5</v>
      </c>
      <c r="B21" s="83"/>
      <c r="C21" s="60">
        <f t="shared" si="6"/>
        <v>40</v>
      </c>
      <c r="D21" s="10" t="s">
        <v>670</v>
      </c>
      <c r="E21" s="8">
        <v>150</v>
      </c>
      <c r="F21" s="9">
        <v>4</v>
      </c>
      <c r="G21" s="8">
        <f t="shared" si="1"/>
        <v>37.5</v>
      </c>
      <c r="H21" s="8">
        <f t="shared" si="7"/>
        <v>1.875</v>
      </c>
      <c r="I21" s="35">
        <f t="shared" si="3"/>
        <v>1575</v>
      </c>
    </row>
    <row r="22" spans="1:9" s="79" customFormat="1" ht="20.100000000000001" customHeight="1">
      <c r="A22" s="43">
        <v>3</v>
      </c>
      <c r="B22" s="83"/>
      <c r="C22" s="60">
        <f t="shared" si="6"/>
        <v>24</v>
      </c>
      <c r="D22" s="10" t="s">
        <v>671</v>
      </c>
      <c r="E22" s="8">
        <v>150</v>
      </c>
      <c r="F22" s="9">
        <v>4</v>
      </c>
      <c r="G22" s="8">
        <f t="shared" si="1"/>
        <v>37.5</v>
      </c>
      <c r="H22" s="8">
        <f t="shared" si="7"/>
        <v>1.875</v>
      </c>
      <c r="I22" s="35">
        <f t="shared" si="3"/>
        <v>945</v>
      </c>
    </row>
    <row r="23" spans="1:9" ht="17.100000000000001" customHeight="1">
      <c r="A23" s="296"/>
      <c r="B23" s="82"/>
      <c r="C23" s="316"/>
      <c r="D23" s="304" t="s">
        <v>672</v>
      </c>
      <c r="E23" s="319"/>
      <c r="F23" s="315"/>
      <c r="G23" s="304"/>
      <c r="H23" s="319"/>
      <c r="I23" s="320"/>
    </row>
    <row r="24" spans="1:9" s="79" customFormat="1" ht="20.100000000000001" customHeight="1">
      <c r="A24" s="43">
        <v>1</v>
      </c>
      <c r="B24" s="83"/>
      <c r="C24" s="60">
        <f t="shared" ref="C24:C31" si="8">ROUNDUP(M$4*A24/10,0)</f>
        <v>8</v>
      </c>
      <c r="D24" s="10" t="s">
        <v>673</v>
      </c>
      <c r="E24" s="8">
        <v>24</v>
      </c>
      <c r="F24" s="9">
        <v>4</v>
      </c>
      <c r="G24" s="8">
        <f t="shared" si="1"/>
        <v>6</v>
      </c>
      <c r="H24" s="8">
        <f t="shared" ref="H24:H33" si="9">G24*$H$3</f>
        <v>0.30000000000000004</v>
      </c>
      <c r="I24" s="35">
        <f t="shared" si="3"/>
        <v>50.4</v>
      </c>
    </row>
    <row r="25" spans="1:9" s="79" customFormat="1" ht="20.100000000000001" customHeight="1">
      <c r="A25" s="43">
        <v>1</v>
      </c>
      <c r="B25" s="83"/>
      <c r="C25" s="60">
        <f t="shared" si="8"/>
        <v>8</v>
      </c>
      <c r="D25" s="10" t="s">
        <v>674</v>
      </c>
      <c r="E25" s="8">
        <v>24</v>
      </c>
      <c r="F25" s="9">
        <v>4</v>
      </c>
      <c r="G25" s="8">
        <f t="shared" si="1"/>
        <v>6</v>
      </c>
      <c r="H25" s="8">
        <f t="shared" si="9"/>
        <v>0.30000000000000004</v>
      </c>
      <c r="I25" s="35">
        <f t="shared" si="3"/>
        <v>50.4</v>
      </c>
    </row>
    <row r="26" spans="1:9" s="79" customFormat="1" ht="20.100000000000001" customHeight="1">
      <c r="A26" s="43">
        <v>1</v>
      </c>
      <c r="B26" s="83"/>
      <c r="C26" s="60">
        <f t="shared" si="8"/>
        <v>8</v>
      </c>
      <c r="D26" s="10" t="s">
        <v>675</v>
      </c>
      <c r="E26" s="8">
        <v>24</v>
      </c>
      <c r="F26" s="9">
        <v>4</v>
      </c>
      <c r="G26" s="8">
        <f t="shared" si="1"/>
        <v>6</v>
      </c>
      <c r="H26" s="8">
        <f t="shared" si="9"/>
        <v>0.30000000000000004</v>
      </c>
      <c r="I26" s="35">
        <f t="shared" si="3"/>
        <v>50.4</v>
      </c>
    </row>
    <row r="27" spans="1:9" s="79" customFormat="1" ht="20.100000000000001" customHeight="1">
      <c r="A27" s="43">
        <v>1</v>
      </c>
      <c r="B27" s="83"/>
      <c r="C27" s="60">
        <f t="shared" si="8"/>
        <v>8</v>
      </c>
      <c r="D27" s="10" t="s">
        <v>676</v>
      </c>
      <c r="E27" s="8">
        <v>44</v>
      </c>
      <c r="F27" s="9">
        <v>4</v>
      </c>
      <c r="G27" s="8">
        <f t="shared" si="1"/>
        <v>11</v>
      </c>
      <c r="H27" s="8">
        <f t="shared" si="9"/>
        <v>0.55000000000000004</v>
      </c>
      <c r="I27" s="35">
        <f t="shared" si="3"/>
        <v>92.4</v>
      </c>
    </row>
    <row r="28" spans="1:9" s="79" customFormat="1" ht="20.100000000000001" customHeight="1">
      <c r="A28" s="43">
        <v>1</v>
      </c>
      <c r="B28" s="83"/>
      <c r="C28" s="60">
        <f t="shared" si="8"/>
        <v>8</v>
      </c>
      <c r="D28" s="10" t="s">
        <v>677</v>
      </c>
      <c r="E28" s="8">
        <v>44</v>
      </c>
      <c r="F28" s="9">
        <v>4</v>
      </c>
      <c r="G28" s="8">
        <f t="shared" si="1"/>
        <v>11</v>
      </c>
      <c r="H28" s="8">
        <f t="shared" si="9"/>
        <v>0.55000000000000004</v>
      </c>
      <c r="I28" s="35">
        <f t="shared" si="3"/>
        <v>92.4</v>
      </c>
    </row>
    <row r="29" spans="1:9" s="79" customFormat="1" ht="20.100000000000001" customHeight="1">
      <c r="A29" s="43">
        <v>2</v>
      </c>
      <c r="B29" s="83"/>
      <c r="C29" s="60">
        <f t="shared" si="8"/>
        <v>16</v>
      </c>
      <c r="D29" s="10" t="s">
        <v>678</v>
      </c>
      <c r="E29" s="8">
        <v>77</v>
      </c>
      <c r="F29" s="9">
        <v>4</v>
      </c>
      <c r="G29" s="8">
        <f t="shared" si="1"/>
        <v>19.25</v>
      </c>
      <c r="H29" s="8">
        <f t="shared" si="9"/>
        <v>0.96250000000000002</v>
      </c>
      <c r="I29" s="35">
        <f t="shared" si="3"/>
        <v>323.39999999999998</v>
      </c>
    </row>
    <row r="30" spans="1:9" s="79" customFormat="1" ht="20.100000000000001" customHeight="1">
      <c r="A30" s="43">
        <v>2</v>
      </c>
      <c r="B30" s="83"/>
      <c r="C30" s="60">
        <f t="shared" si="8"/>
        <v>16</v>
      </c>
      <c r="D30" s="10" t="s">
        <v>679</v>
      </c>
      <c r="E30" s="8">
        <v>53</v>
      </c>
      <c r="F30" s="9">
        <v>1</v>
      </c>
      <c r="G30" s="8">
        <f t="shared" si="1"/>
        <v>53</v>
      </c>
      <c r="H30" s="8">
        <f t="shared" si="9"/>
        <v>2.6500000000000004</v>
      </c>
      <c r="I30" s="35">
        <f t="shared" si="3"/>
        <v>890.4</v>
      </c>
    </row>
    <row r="31" spans="1:9" s="79" customFormat="1" ht="20.100000000000001" customHeight="1">
      <c r="A31" s="43">
        <v>1</v>
      </c>
      <c r="B31" s="83"/>
      <c r="C31" s="60">
        <f t="shared" si="8"/>
        <v>8</v>
      </c>
      <c r="D31" s="10" t="s">
        <v>680</v>
      </c>
      <c r="E31" s="8">
        <v>36</v>
      </c>
      <c r="F31" s="9">
        <v>4</v>
      </c>
      <c r="G31" s="8">
        <f t="shared" si="1"/>
        <v>9</v>
      </c>
      <c r="H31" s="8">
        <f t="shared" si="9"/>
        <v>0.45</v>
      </c>
      <c r="I31" s="35">
        <f t="shared" si="3"/>
        <v>75.599999999999994</v>
      </c>
    </row>
    <row r="32" spans="1:9" s="79" customFormat="1" ht="20.100000000000001" customHeight="1">
      <c r="A32" s="43" t="s">
        <v>681</v>
      </c>
      <c r="B32" s="83"/>
      <c r="C32" s="60">
        <f>(M4+M5+M6)</f>
        <v>83</v>
      </c>
      <c r="D32" s="10" t="s">
        <v>682</v>
      </c>
      <c r="E32" s="8">
        <f>59*60%</f>
        <v>35.4</v>
      </c>
      <c r="F32" s="9">
        <v>4</v>
      </c>
      <c r="G32" s="8">
        <f t="shared" si="1"/>
        <v>8.85</v>
      </c>
      <c r="H32" s="8">
        <f t="shared" si="9"/>
        <v>0.4425</v>
      </c>
      <c r="I32" s="35">
        <f t="shared" si="3"/>
        <v>771.27750000000003</v>
      </c>
    </row>
    <row r="33" spans="1:9" s="79" customFormat="1" ht="20.100000000000001" customHeight="1">
      <c r="A33" s="43" t="s">
        <v>681</v>
      </c>
      <c r="B33" s="83"/>
      <c r="C33" s="60">
        <f>M4++M5+M6</f>
        <v>83</v>
      </c>
      <c r="D33" s="10" t="s">
        <v>683</v>
      </c>
      <c r="E33" s="8">
        <v>69</v>
      </c>
      <c r="F33" s="9">
        <v>1</v>
      </c>
      <c r="G33" s="8">
        <f t="shared" si="1"/>
        <v>69</v>
      </c>
      <c r="H33" s="8">
        <f t="shared" si="9"/>
        <v>3.45</v>
      </c>
      <c r="I33" s="35">
        <f t="shared" si="3"/>
        <v>6013.35</v>
      </c>
    </row>
    <row r="34" spans="1:9" ht="17.100000000000001" customHeight="1">
      <c r="B34" s="22"/>
      <c r="C34" s="309"/>
      <c r="D34" s="310"/>
      <c r="E34" s="310"/>
      <c r="F34" s="311"/>
      <c r="G34" s="312" t="s">
        <v>56</v>
      </c>
      <c r="H34" s="312"/>
      <c r="I34" s="314">
        <f>SUM(I4:I33)</f>
        <v>23457.073499999999</v>
      </c>
    </row>
    <row r="35" spans="1:9" ht="12.75" customHeight="1">
      <c r="I35" s="88"/>
    </row>
    <row r="36" spans="1:9" ht="12.75" customHeight="1">
      <c r="I36" s="88"/>
    </row>
    <row r="37" spans="1:9" ht="12.75" customHeight="1">
      <c r="I37" s="88"/>
    </row>
    <row r="38" spans="1:9" ht="12.75" customHeight="1">
      <c r="D38" s="84"/>
      <c r="I38" s="88"/>
    </row>
    <row r="39" spans="1:9" ht="12.75" customHeight="1">
      <c r="D39" s="85"/>
      <c r="I39" s="88"/>
    </row>
    <row r="40" spans="1:9" ht="12.75" customHeight="1">
      <c r="D40" s="85"/>
      <c r="I40" s="88"/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</sheetData>
  <mergeCells count="1">
    <mergeCell ref="C1:I1"/>
  </mergeCells>
  <printOptions horizontalCentered="1"/>
  <pageMargins left="0.98425196850393704" right="0.78740157480314998" top="0.78740157480314998" bottom="0.39370078740157499" header="0.59055118110236204" footer="0.78740157480314998"/>
  <pageSetup paperSize="9" scale="85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90"/>
  <sheetViews>
    <sheetView topLeftCell="A2" workbookViewId="0">
      <selection activeCell="D94" sqref="D94"/>
    </sheetView>
  </sheetViews>
  <sheetFormatPr baseColWidth="10" defaultColWidth="11" defaultRowHeight="13.2"/>
  <cols>
    <col min="1" max="1" width="11.88671875" customWidth="1"/>
    <col min="2" max="2" width="1.5546875" style="77" customWidth="1"/>
    <col min="4" max="4" width="20.33203125" customWidth="1"/>
    <col min="8" max="8" width="13.88671875" customWidth="1"/>
  </cols>
  <sheetData>
    <row r="1" spans="1:14" s="18" customFormat="1" ht="15.6">
      <c r="A1" s="41"/>
      <c r="B1" s="22"/>
      <c r="C1" s="737" t="s">
        <v>684</v>
      </c>
      <c r="D1" s="738"/>
      <c r="E1" s="738"/>
      <c r="F1" s="738"/>
      <c r="G1" s="738"/>
      <c r="H1" s="738"/>
      <c r="I1" s="739"/>
    </row>
    <row r="2" spans="1:14" s="18" customFormat="1" ht="43.2">
      <c r="A2" s="42" t="s">
        <v>651</v>
      </c>
      <c r="B2" s="23"/>
      <c r="C2" s="24" t="s">
        <v>632</v>
      </c>
      <c r="D2" s="6" t="s">
        <v>360</v>
      </c>
      <c r="E2" s="6" t="s">
        <v>633</v>
      </c>
      <c r="F2" s="6" t="s">
        <v>634</v>
      </c>
      <c r="G2" s="6" t="s">
        <v>635</v>
      </c>
      <c r="H2" s="6" t="s">
        <v>636</v>
      </c>
      <c r="I2" s="25" t="s">
        <v>637</v>
      </c>
      <c r="J2" s="19"/>
      <c r="K2" s="19"/>
      <c r="L2" s="19"/>
      <c r="M2" s="45"/>
    </row>
    <row r="3" spans="1:14" s="20" customFormat="1" ht="15" customHeight="1">
      <c r="A3" s="304"/>
      <c r="B3" s="26"/>
      <c r="C3" s="316"/>
      <c r="D3" s="304" t="s">
        <v>685</v>
      </c>
      <c r="E3" s="304"/>
      <c r="F3" s="304"/>
      <c r="G3" s="304"/>
      <c r="H3" s="317">
        <f>'C. Resumen Costes Vest_Util_Her'!$D$11</f>
        <v>0.05</v>
      </c>
      <c r="I3" s="318"/>
      <c r="K3"/>
      <c r="L3"/>
      <c r="M3"/>
      <c r="N3"/>
    </row>
    <row r="4" spans="1:14" s="21" customFormat="1" ht="14.4">
      <c r="A4" s="43">
        <v>5</v>
      </c>
      <c r="B4" s="27"/>
      <c r="C4" s="60">
        <f>ROUND(+M$4*A4/10,0)</f>
        <v>40</v>
      </c>
      <c r="D4" s="7" t="s">
        <v>686</v>
      </c>
      <c r="E4" s="8">
        <v>16</v>
      </c>
      <c r="F4" s="9">
        <v>4</v>
      </c>
      <c r="G4" s="8">
        <f>E4/F4</f>
        <v>4</v>
      </c>
      <c r="H4" s="8">
        <f>G4*$H$3</f>
        <v>0.2</v>
      </c>
      <c r="I4" s="35">
        <f>C4*(G4+H4)</f>
        <v>168</v>
      </c>
      <c r="K4" s="46"/>
      <c r="L4" s="47" t="s">
        <v>121</v>
      </c>
      <c r="M4" s="48">
        <f>C.1.1.Vestuario_Equip!K4</f>
        <v>80</v>
      </c>
      <c r="N4" s="18"/>
    </row>
    <row r="5" spans="1:14" s="21" customFormat="1" ht="14.4">
      <c r="A5" s="43">
        <v>5</v>
      </c>
      <c r="B5" s="27"/>
      <c r="C5" s="60">
        <f t="shared" ref="C5:C68" si="0">ROUND(+M$4*A5/10,0)</f>
        <v>40</v>
      </c>
      <c r="D5" s="7" t="s">
        <v>687</v>
      </c>
      <c r="E5" s="8">
        <v>13</v>
      </c>
      <c r="F5" s="9">
        <v>4</v>
      </c>
      <c r="G5" s="8">
        <f t="shared" ref="G5:G24" si="1">E5/F5</f>
        <v>3.25</v>
      </c>
      <c r="H5" s="8">
        <f t="shared" ref="H5:H68" si="2">G5*$H$3</f>
        <v>0.16250000000000001</v>
      </c>
      <c r="I5" s="35">
        <f t="shared" ref="I5:I24" si="3">C5*(G5+H5)</f>
        <v>136.5</v>
      </c>
      <c r="K5" s="46"/>
      <c r="L5" s="47" t="s">
        <v>641</v>
      </c>
      <c r="M5" s="48">
        <f>C.1.1.Vestuario_Equip!K5</f>
        <v>1</v>
      </c>
      <c r="N5" s="18"/>
    </row>
    <row r="6" spans="1:14" s="21" customFormat="1" ht="14.4">
      <c r="A6" s="43">
        <v>4</v>
      </c>
      <c r="B6" s="27"/>
      <c r="C6" s="60">
        <f t="shared" si="0"/>
        <v>32</v>
      </c>
      <c r="D6" s="7" t="s">
        <v>688</v>
      </c>
      <c r="E6" s="8">
        <v>12</v>
      </c>
      <c r="F6" s="9">
        <v>4</v>
      </c>
      <c r="G6" s="8">
        <f t="shared" si="1"/>
        <v>3</v>
      </c>
      <c r="H6" s="8">
        <f t="shared" si="2"/>
        <v>0.15000000000000002</v>
      </c>
      <c r="I6" s="35">
        <f t="shared" si="3"/>
        <v>100.8</v>
      </c>
      <c r="K6" s="46"/>
      <c r="L6" s="47" t="s">
        <v>643</v>
      </c>
      <c r="M6" s="48">
        <f>C.1.1.Vestuario_Equip!K6</f>
        <v>2</v>
      </c>
      <c r="N6" s="18"/>
    </row>
    <row r="7" spans="1:14" s="21" customFormat="1" ht="14.4">
      <c r="A7" s="43">
        <v>4</v>
      </c>
      <c r="B7" s="27"/>
      <c r="C7" s="60">
        <f t="shared" si="0"/>
        <v>32</v>
      </c>
      <c r="D7" s="7" t="s">
        <v>689</v>
      </c>
      <c r="E7" s="8">
        <v>12</v>
      </c>
      <c r="F7" s="9">
        <v>4</v>
      </c>
      <c r="G7" s="8">
        <f t="shared" si="1"/>
        <v>3</v>
      </c>
      <c r="H7" s="8">
        <f t="shared" si="2"/>
        <v>0.15000000000000002</v>
      </c>
      <c r="I7" s="35">
        <f t="shared" si="3"/>
        <v>100.8</v>
      </c>
      <c r="K7" s="18"/>
      <c r="L7" s="18"/>
      <c r="M7" s="18"/>
      <c r="N7" s="18"/>
    </row>
    <row r="8" spans="1:14" s="21" customFormat="1" ht="14.4">
      <c r="A8" s="43">
        <v>3</v>
      </c>
      <c r="B8" s="27"/>
      <c r="C8" s="60">
        <f t="shared" si="0"/>
        <v>24</v>
      </c>
      <c r="D8" s="7" t="s">
        <v>690</v>
      </c>
      <c r="E8" s="8">
        <v>29</v>
      </c>
      <c r="F8" s="9">
        <v>4</v>
      </c>
      <c r="G8" s="8">
        <f t="shared" si="1"/>
        <v>7.25</v>
      </c>
      <c r="H8" s="8">
        <f t="shared" si="2"/>
        <v>0.36250000000000004</v>
      </c>
      <c r="I8" s="35">
        <f t="shared" si="3"/>
        <v>182.7</v>
      </c>
      <c r="K8" s="18"/>
      <c r="L8" s="18"/>
      <c r="M8" s="18"/>
      <c r="N8" s="18"/>
    </row>
    <row r="9" spans="1:14" s="21" customFormat="1" ht="14.4">
      <c r="A9" s="43">
        <v>6</v>
      </c>
      <c r="B9" s="27"/>
      <c r="C9" s="60">
        <f t="shared" si="0"/>
        <v>48</v>
      </c>
      <c r="D9" s="7" t="s">
        <v>691</v>
      </c>
      <c r="E9" s="8">
        <v>7.5</v>
      </c>
      <c r="F9" s="9">
        <v>4</v>
      </c>
      <c r="G9" s="8">
        <f t="shared" si="1"/>
        <v>1.875</v>
      </c>
      <c r="H9" s="8">
        <f t="shared" si="2"/>
        <v>9.375E-2</v>
      </c>
      <c r="I9" s="35">
        <f t="shared" si="3"/>
        <v>94.5</v>
      </c>
      <c r="K9" s="18"/>
      <c r="L9" s="18"/>
      <c r="M9" s="18"/>
      <c r="N9" s="18"/>
    </row>
    <row r="10" spans="1:14" s="21" customFormat="1" ht="14.4">
      <c r="A10" s="43">
        <v>6</v>
      </c>
      <c r="B10" s="27"/>
      <c r="C10" s="60">
        <f t="shared" si="0"/>
        <v>48</v>
      </c>
      <c r="D10" s="7" t="s">
        <v>692</v>
      </c>
      <c r="E10" s="8">
        <v>9</v>
      </c>
      <c r="F10" s="9">
        <v>4</v>
      </c>
      <c r="G10" s="8">
        <f t="shared" si="1"/>
        <v>2.25</v>
      </c>
      <c r="H10" s="8">
        <f t="shared" si="2"/>
        <v>0.1125</v>
      </c>
      <c r="I10" s="35">
        <f t="shared" si="3"/>
        <v>113.39999999999999</v>
      </c>
      <c r="K10" s="18"/>
      <c r="L10" s="18"/>
      <c r="M10" s="18"/>
      <c r="N10" s="18"/>
    </row>
    <row r="11" spans="1:14" s="21" customFormat="1" ht="14.4">
      <c r="A11" s="43">
        <v>3</v>
      </c>
      <c r="B11" s="27"/>
      <c r="C11" s="60">
        <f t="shared" si="0"/>
        <v>24</v>
      </c>
      <c r="D11" s="7" t="s">
        <v>693</v>
      </c>
      <c r="E11" s="8">
        <v>14</v>
      </c>
      <c r="F11" s="9">
        <v>2</v>
      </c>
      <c r="G11" s="8">
        <f t="shared" si="1"/>
        <v>7</v>
      </c>
      <c r="H11" s="8">
        <f t="shared" si="2"/>
        <v>0.35000000000000003</v>
      </c>
      <c r="I11" s="35">
        <f t="shared" si="3"/>
        <v>176.39999999999998</v>
      </c>
      <c r="K11" s="18"/>
      <c r="L11" s="18"/>
      <c r="M11" s="18"/>
      <c r="N11" s="18"/>
    </row>
    <row r="12" spans="1:14" s="21" customFormat="1" ht="14.4">
      <c r="A12" s="43">
        <v>1</v>
      </c>
      <c r="B12" s="27"/>
      <c r="C12" s="60">
        <f t="shared" si="0"/>
        <v>8</v>
      </c>
      <c r="D12" s="7" t="s">
        <v>694</v>
      </c>
      <c r="E12" s="8">
        <v>24</v>
      </c>
      <c r="F12" s="9">
        <v>2</v>
      </c>
      <c r="G12" s="8">
        <f t="shared" si="1"/>
        <v>12</v>
      </c>
      <c r="H12" s="8">
        <f t="shared" si="2"/>
        <v>0.60000000000000009</v>
      </c>
      <c r="I12" s="35">
        <f t="shared" si="3"/>
        <v>100.8</v>
      </c>
      <c r="K12" s="18"/>
      <c r="L12" s="18"/>
      <c r="M12" s="18"/>
      <c r="N12" s="18"/>
    </row>
    <row r="13" spans="1:14" s="21" customFormat="1" ht="14.4">
      <c r="A13" s="43">
        <v>1</v>
      </c>
      <c r="B13" s="27"/>
      <c r="C13" s="60">
        <f t="shared" si="0"/>
        <v>8</v>
      </c>
      <c r="D13" s="7" t="s">
        <v>695</v>
      </c>
      <c r="E13" s="8">
        <v>20</v>
      </c>
      <c r="F13" s="9">
        <v>2</v>
      </c>
      <c r="G13" s="8">
        <f t="shared" si="1"/>
        <v>10</v>
      </c>
      <c r="H13" s="8">
        <f t="shared" si="2"/>
        <v>0.5</v>
      </c>
      <c r="I13" s="35">
        <f t="shared" si="3"/>
        <v>84</v>
      </c>
      <c r="K13" s="18"/>
      <c r="L13" s="18"/>
      <c r="M13" s="18"/>
      <c r="N13" s="18"/>
    </row>
    <row r="14" spans="1:14" s="21" customFormat="1" ht="14.4">
      <c r="A14" s="43">
        <v>1</v>
      </c>
      <c r="B14" s="27"/>
      <c r="C14" s="60">
        <f t="shared" si="0"/>
        <v>8</v>
      </c>
      <c r="D14" s="7" t="s">
        <v>696</v>
      </c>
      <c r="E14" s="8">
        <v>16</v>
      </c>
      <c r="F14" s="9">
        <v>4</v>
      </c>
      <c r="G14" s="8">
        <f t="shared" si="1"/>
        <v>4</v>
      </c>
      <c r="H14" s="8">
        <f t="shared" si="2"/>
        <v>0.2</v>
      </c>
      <c r="I14" s="35">
        <f t="shared" si="3"/>
        <v>33.6</v>
      </c>
      <c r="K14" s="18"/>
      <c r="L14" s="18"/>
      <c r="M14" s="18"/>
      <c r="N14" s="18"/>
    </row>
    <row r="15" spans="1:14" s="21" customFormat="1" ht="14.4">
      <c r="A15" s="43">
        <v>1</v>
      </c>
      <c r="B15" s="27"/>
      <c r="C15" s="60">
        <f t="shared" si="0"/>
        <v>8</v>
      </c>
      <c r="D15" s="7" t="s">
        <v>697</v>
      </c>
      <c r="E15" s="8">
        <v>12</v>
      </c>
      <c r="F15" s="9">
        <v>4</v>
      </c>
      <c r="G15" s="8">
        <f t="shared" si="1"/>
        <v>3</v>
      </c>
      <c r="H15" s="8">
        <f t="shared" si="2"/>
        <v>0.15000000000000002</v>
      </c>
      <c r="I15" s="35">
        <f t="shared" si="3"/>
        <v>25.2</v>
      </c>
      <c r="K15" s="18"/>
      <c r="L15" s="18"/>
      <c r="M15" s="18"/>
      <c r="N15" s="18"/>
    </row>
    <row r="16" spans="1:14" s="21" customFormat="1" ht="14.4">
      <c r="A16" s="43">
        <v>1</v>
      </c>
      <c r="B16" s="27"/>
      <c r="C16" s="60">
        <f t="shared" si="0"/>
        <v>8</v>
      </c>
      <c r="D16" s="7" t="s">
        <v>698</v>
      </c>
      <c r="E16" s="8">
        <v>6</v>
      </c>
      <c r="F16" s="9">
        <v>4</v>
      </c>
      <c r="G16" s="8">
        <f t="shared" si="1"/>
        <v>1.5</v>
      </c>
      <c r="H16" s="8">
        <f t="shared" si="2"/>
        <v>7.5000000000000011E-2</v>
      </c>
      <c r="I16" s="35">
        <f t="shared" si="3"/>
        <v>12.6</v>
      </c>
      <c r="K16" s="18"/>
      <c r="L16" s="18"/>
      <c r="M16" s="18"/>
      <c r="N16" s="18"/>
    </row>
    <row r="17" spans="1:14" s="21" customFormat="1" ht="14.4">
      <c r="A17" s="43">
        <f>+A4+A5</f>
        <v>10</v>
      </c>
      <c r="B17" s="27"/>
      <c r="C17" s="60">
        <f t="shared" si="0"/>
        <v>80</v>
      </c>
      <c r="D17" s="7" t="s">
        <v>699</v>
      </c>
      <c r="E17" s="8">
        <v>5</v>
      </c>
      <c r="F17" s="9">
        <v>4</v>
      </c>
      <c r="G17" s="8">
        <f t="shared" si="1"/>
        <v>1.25</v>
      </c>
      <c r="H17" s="8">
        <f t="shared" si="2"/>
        <v>6.25E-2</v>
      </c>
      <c r="I17" s="35">
        <f t="shared" si="3"/>
        <v>105</v>
      </c>
      <c r="K17" s="18"/>
      <c r="L17" s="18"/>
      <c r="M17" s="18"/>
      <c r="N17" s="18"/>
    </row>
    <row r="18" spans="1:14" s="21" customFormat="1" ht="14.4">
      <c r="A18" s="43">
        <v>2</v>
      </c>
      <c r="B18" s="27"/>
      <c r="C18" s="60">
        <f t="shared" si="0"/>
        <v>16</v>
      </c>
      <c r="D18" s="7" t="s">
        <v>700</v>
      </c>
      <c r="E18" s="8">
        <v>10</v>
      </c>
      <c r="F18" s="9">
        <v>4</v>
      </c>
      <c r="G18" s="8">
        <f t="shared" si="1"/>
        <v>2.5</v>
      </c>
      <c r="H18" s="8">
        <f t="shared" si="2"/>
        <v>0.125</v>
      </c>
      <c r="I18" s="35">
        <f t="shared" si="3"/>
        <v>42</v>
      </c>
      <c r="K18" s="18"/>
      <c r="L18" s="18"/>
      <c r="M18" s="18"/>
      <c r="N18" s="18"/>
    </row>
    <row r="19" spans="1:14" s="21" customFormat="1" ht="14.4">
      <c r="A19" s="43">
        <v>2</v>
      </c>
      <c r="B19" s="27"/>
      <c r="C19" s="60">
        <f t="shared" si="0"/>
        <v>16</v>
      </c>
      <c r="D19" s="7" t="s">
        <v>701</v>
      </c>
      <c r="E19" s="8">
        <v>6</v>
      </c>
      <c r="F19" s="9">
        <v>2</v>
      </c>
      <c r="G19" s="8">
        <f t="shared" si="1"/>
        <v>3</v>
      </c>
      <c r="H19" s="8">
        <f t="shared" si="2"/>
        <v>0.15000000000000002</v>
      </c>
      <c r="I19" s="35">
        <f t="shared" si="3"/>
        <v>50.4</v>
      </c>
      <c r="K19" s="18"/>
      <c r="L19" s="18"/>
      <c r="M19" s="18"/>
      <c r="N19" s="18"/>
    </row>
    <row r="20" spans="1:14" s="21" customFormat="1" ht="14.4">
      <c r="A20" s="43">
        <v>4</v>
      </c>
      <c r="B20" s="27"/>
      <c r="C20" s="60">
        <f t="shared" si="0"/>
        <v>32</v>
      </c>
      <c r="D20" s="7" t="s">
        <v>702</v>
      </c>
      <c r="E20" s="8">
        <v>6</v>
      </c>
      <c r="F20" s="9">
        <v>2</v>
      </c>
      <c r="G20" s="8">
        <f t="shared" si="1"/>
        <v>3</v>
      </c>
      <c r="H20" s="8">
        <f t="shared" si="2"/>
        <v>0.15000000000000002</v>
      </c>
      <c r="I20" s="35">
        <f t="shared" si="3"/>
        <v>100.8</v>
      </c>
      <c r="K20" s="18"/>
      <c r="L20" s="18"/>
      <c r="M20" s="18"/>
      <c r="N20" s="18"/>
    </row>
    <row r="21" spans="1:14" s="21" customFormat="1" ht="14.4">
      <c r="A21" s="43">
        <v>1</v>
      </c>
      <c r="B21" s="27"/>
      <c r="C21" s="60">
        <f t="shared" si="0"/>
        <v>8</v>
      </c>
      <c r="D21" s="7" t="s">
        <v>703</v>
      </c>
      <c r="E21" s="8">
        <v>12</v>
      </c>
      <c r="F21" s="9">
        <v>2</v>
      </c>
      <c r="G21" s="8">
        <f t="shared" si="1"/>
        <v>6</v>
      </c>
      <c r="H21" s="8">
        <f t="shared" si="2"/>
        <v>0.30000000000000004</v>
      </c>
      <c r="I21" s="35">
        <f t="shared" si="3"/>
        <v>50.4</v>
      </c>
      <c r="K21" s="18"/>
      <c r="L21" s="18"/>
      <c r="M21" s="18"/>
      <c r="N21" s="18"/>
    </row>
    <row r="22" spans="1:14" s="21" customFormat="1" ht="14.4">
      <c r="A22" s="43">
        <v>1</v>
      </c>
      <c r="B22" s="27"/>
      <c r="C22" s="60">
        <f t="shared" si="0"/>
        <v>8</v>
      </c>
      <c r="D22" s="7" t="s">
        <v>704</v>
      </c>
      <c r="E22" s="8">
        <v>24</v>
      </c>
      <c r="F22" s="9">
        <v>4</v>
      </c>
      <c r="G22" s="8">
        <f t="shared" si="1"/>
        <v>6</v>
      </c>
      <c r="H22" s="8">
        <f t="shared" si="2"/>
        <v>0.30000000000000004</v>
      </c>
      <c r="I22" s="35">
        <f t="shared" si="3"/>
        <v>50.4</v>
      </c>
      <c r="K22" s="18"/>
      <c r="L22" s="18"/>
      <c r="M22" s="18"/>
      <c r="N22" s="18"/>
    </row>
    <row r="23" spans="1:14" s="21" customFormat="1" ht="14.4">
      <c r="A23" s="43">
        <v>1</v>
      </c>
      <c r="B23" s="27"/>
      <c r="C23" s="60">
        <f t="shared" si="0"/>
        <v>8</v>
      </c>
      <c r="D23" s="7" t="s">
        <v>705</v>
      </c>
      <c r="E23" s="8">
        <v>18</v>
      </c>
      <c r="F23" s="9">
        <v>4</v>
      </c>
      <c r="G23" s="8">
        <f t="shared" si="1"/>
        <v>4.5</v>
      </c>
      <c r="H23" s="8">
        <f t="shared" si="2"/>
        <v>0.22500000000000001</v>
      </c>
      <c r="I23" s="35">
        <f t="shared" si="3"/>
        <v>37.799999999999997</v>
      </c>
      <c r="K23" s="18"/>
      <c r="L23" s="18"/>
      <c r="M23" s="18"/>
      <c r="N23" s="18"/>
    </row>
    <row r="24" spans="1:14" s="21" customFormat="1" ht="14.4">
      <c r="A24" s="43">
        <v>1</v>
      </c>
      <c r="B24" s="27"/>
      <c r="C24" s="60">
        <f t="shared" si="0"/>
        <v>8</v>
      </c>
      <c r="D24" s="7" t="s">
        <v>706</v>
      </c>
      <c r="E24" s="8">
        <v>45</v>
      </c>
      <c r="F24" s="9">
        <v>4</v>
      </c>
      <c r="G24" s="8">
        <f t="shared" si="1"/>
        <v>11.25</v>
      </c>
      <c r="H24" s="8">
        <f t="shared" si="2"/>
        <v>0.5625</v>
      </c>
      <c r="I24" s="35">
        <f t="shared" si="3"/>
        <v>94.5</v>
      </c>
      <c r="K24" s="18"/>
      <c r="L24" s="18"/>
      <c r="M24" s="18"/>
      <c r="N24" s="18"/>
    </row>
    <row r="25" spans="1:14" s="20" customFormat="1" ht="15" customHeight="1">
      <c r="A25" s="304"/>
      <c r="B25" s="26"/>
      <c r="C25" s="316"/>
      <c r="D25" s="304" t="s">
        <v>707</v>
      </c>
      <c r="E25" s="304"/>
      <c r="F25" s="304"/>
      <c r="G25" s="304"/>
      <c r="H25" s="319"/>
      <c r="I25" s="318"/>
      <c r="K25"/>
      <c r="L25"/>
      <c r="M25"/>
      <c r="N25"/>
    </row>
    <row r="26" spans="1:14" s="21" customFormat="1" ht="12.75" customHeight="1">
      <c r="A26" s="43">
        <v>3</v>
      </c>
      <c r="B26" s="27"/>
      <c r="C26" s="60">
        <f t="shared" si="0"/>
        <v>24</v>
      </c>
      <c r="D26" s="7" t="s">
        <v>708</v>
      </c>
      <c r="E26" s="8">
        <v>6</v>
      </c>
      <c r="F26" s="9">
        <v>2</v>
      </c>
      <c r="G26" s="8">
        <f t="shared" ref="G26:G29" si="4">E26/F26</f>
        <v>3</v>
      </c>
      <c r="H26" s="8">
        <f t="shared" si="2"/>
        <v>0.15000000000000002</v>
      </c>
      <c r="I26" s="35">
        <f t="shared" ref="I26:I29" si="5">C26*(G26+H26)</f>
        <v>75.599999999999994</v>
      </c>
      <c r="K26" s="18"/>
      <c r="L26" s="18"/>
      <c r="M26" s="18"/>
      <c r="N26" s="18"/>
    </row>
    <row r="27" spans="1:14" s="21" customFormat="1" ht="12.75" customHeight="1">
      <c r="A27" s="43">
        <v>4</v>
      </c>
      <c r="B27" s="27"/>
      <c r="C27" s="60">
        <f t="shared" si="0"/>
        <v>32</v>
      </c>
      <c r="D27" s="7" t="s">
        <v>709</v>
      </c>
      <c r="E27" s="8">
        <v>7</v>
      </c>
      <c r="F27" s="9">
        <v>2</v>
      </c>
      <c r="G27" s="8">
        <f t="shared" si="4"/>
        <v>3.5</v>
      </c>
      <c r="H27" s="8">
        <f t="shared" si="2"/>
        <v>0.17500000000000002</v>
      </c>
      <c r="I27" s="35">
        <f t="shared" si="5"/>
        <v>117.6</v>
      </c>
      <c r="K27" s="18"/>
      <c r="L27" s="18"/>
      <c r="M27" s="18"/>
      <c r="N27" s="18"/>
    </row>
    <row r="28" spans="1:14" s="21" customFormat="1" ht="12.75" customHeight="1">
      <c r="A28" s="43">
        <v>2</v>
      </c>
      <c r="B28" s="27"/>
      <c r="C28" s="60">
        <f t="shared" si="0"/>
        <v>16</v>
      </c>
      <c r="D28" s="7" t="s">
        <v>710</v>
      </c>
      <c r="E28" s="8">
        <v>15</v>
      </c>
      <c r="F28" s="9">
        <v>2</v>
      </c>
      <c r="G28" s="8">
        <f t="shared" si="4"/>
        <v>7.5</v>
      </c>
      <c r="H28" s="8">
        <f t="shared" si="2"/>
        <v>0.375</v>
      </c>
      <c r="I28" s="35">
        <f t="shared" si="5"/>
        <v>126</v>
      </c>
      <c r="K28" s="18"/>
      <c r="L28" s="18"/>
      <c r="M28" s="18"/>
      <c r="N28" s="18"/>
    </row>
    <row r="29" spans="1:14" s="21" customFormat="1" ht="14.4">
      <c r="A29" s="43">
        <v>2</v>
      </c>
      <c r="B29" s="27"/>
      <c r="C29" s="60">
        <f t="shared" si="0"/>
        <v>16</v>
      </c>
      <c r="D29" s="7" t="s">
        <v>711</v>
      </c>
      <c r="E29" s="8">
        <v>12</v>
      </c>
      <c r="F29" s="9">
        <v>2</v>
      </c>
      <c r="G29" s="8">
        <f t="shared" si="4"/>
        <v>6</v>
      </c>
      <c r="H29" s="8">
        <f t="shared" si="2"/>
        <v>0.30000000000000004</v>
      </c>
      <c r="I29" s="35">
        <f t="shared" si="5"/>
        <v>100.8</v>
      </c>
      <c r="K29" s="18"/>
      <c r="L29" s="18"/>
      <c r="M29" s="18"/>
      <c r="N29" s="18"/>
    </row>
    <row r="30" spans="1:14" s="20" customFormat="1" ht="15" customHeight="1">
      <c r="A30" s="304"/>
      <c r="B30" s="26"/>
      <c r="C30" s="316"/>
      <c r="D30" s="304" t="s">
        <v>712</v>
      </c>
      <c r="E30" s="304"/>
      <c r="F30" s="304"/>
      <c r="G30" s="304"/>
      <c r="H30" s="319"/>
      <c r="I30" s="318"/>
      <c r="K30"/>
      <c r="L30"/>
      <c r="M30"/>
      <c r="N30"/>
    </row>
    <row r="31" spans="1:14" s="21" customFormat="1" ht="14.4">
      <c r="A31" s="43">
        <v>5</v>
      </c>
      <c r="B31" s="27"/>
      <c r="C31" s="60">
        <f t="shared" si="0"/>
        <v>40</v>
      </c>
      <c r="D31" s="7" t="s">
        <v>713</v>
      </c>
      <c r="E31" s="8">
        <v>35</v>
      </c>
      <c r="F31" s="9">
        <v>2</v>
      </c>
      <c r="G31" s="8">
        <f t="shared" ref="G31:G40" si="6">E31/F31</f>
        <v>17.5</v>
      </c>
      <c r="H31" s="8">
        <f t="shared" si="2"/>
        <v>0.875</v>
      </c>
      <c r="I31" s="35">
        <f t="shared" ref="I31:I40" si="7">C31*(G31+H31)</f>
        <v>735</v>
      </c>
      <c r="K31" s="18"/>
      <c r="L31" s="18"/>
      <c r="M31" s="18"/>
      <c r="N31" s="18"/>
    </row>
    <row r="32" spans="1:14" s="21" customFormat="1" ht="14.4">
      <c r="A32" s="43">
        <v>5</v>
      </c>
      <c r="B32" s="27"/>
      <c r="C32" s="60">
        <f t="shared" si="0"/>
        <v>40</v>
      </c>
      <c r="D32" s="7" t="s">
        <v>714</v>
      </c>
      <c r="E32" s="8">
        <v>30</v>
      </c>
      <c r="F32" s="9">
        <v>2</v>
      </c>
      <c r="G32" s="8">
        <f t="shared" si="6"/>
        <v>15</v>
      </c>
      <c r="H32" s="8">
        <f t="shared" si="2"/>
        <v>0.75</v>
      </c>
      <c r="I32" s="35">
        <f t="shared" si="7"/>
        <v>630</v>
      </c>
      <c r="K32" s="18"/>
      <c r="L32" s="18"/>
      <c r="M32" s="18"/>
      <c r="N32" s="18"/>
    </row>
    <row r="33" spans="1:14" s="21" customFormat="1" ht="14.4">
      <c r="A33" s="43">
        <v>6</v>
      </c>
      <c r="B33" s="27"/>
      <c r="C33" s="60">
        <f t="shared" si="0"/>
        <v>48</v>
      </c>
      <c r="D33" s="7" t="s">
        <v>715</v>
      </c>
      <c r="E33" s="8">
        <v>9</v>
      </c>
      <c r="F33" s="9">
        <v>2</v>
      </c>
      <c r="G33" s="8">
        <f t="shared" si="6"/>
        <v>4.5</v>
      </c>
      <c r="H33" s="8">
        <f t="shared" si="2"/>
        <v>0.22500000000000001</v>
      </c>
      <c r="I33" s="35">
        <f t="shared" si="7"/>
        <v>226.79999999999998</v>
      </c>
      <c r="K33" s="18"/>
      <c r="L33" s="18"/>
      <c r="M33" s="18"/>
      <c r="N33" s="18"/>
    </row>
    <row r="34" spans="1:14" s="21" customFormat="1" ht="14.4">
      <c r="A34" s="43">
        <v>1</v>
      </c>
      <c r="B34" s="27"/>
      <c r="C34" s="60">
        <f t="shared" si="0"/>
        <v>8</v>
      </c>
      <c r="D34" s="7" t="s">
        <v>716</v>
      </c>
      <c r="E34" s="8">
        <v>12</v>
      </c>
      <c r="F34" s="9">
        <v>2</v>
      </c>
      <c r="G34" s="8">
        <f t="shared" si="6"/>
        <v>6</v>
      </c>
      <c r="H34" s="8">
        <f t="shared" si="2"/>
        <v>0.30000000000000004</v>
      </c>
      <c r="I34" s="35">
        <f t="shared" si="7"/>
        <v>50.4</v>
      </c>
      <c r="K34" s="18"/>
      <c r="L34" s="18"/>
      <c r="M34" s="18"/>
      <c r="N34" s="18"/>
    </row>
    <row r="35" spans="1:14" s="21" customFormat="1" ht="14.4">
      <c r="A35" s="43">
        <v>2</v>
      </c>
      <c r="B35" s="27"/>
      <c r="C35" s="60">
        <f t="shared" si="0"/>
        <v>16</v>
      </c>
      <c r="D35" s="7" t="s">
        <v>717</v>
      </c>
      <c r="E35" s="8">
        <v>15</v>
      </c>
      <c r="F35" s="9">
        <v>2</v>
      </c>
      <c r="G35" s="8">
        <f t="shared" si="6"/>
        <v>7.5</v>
      </c>
      <c r="H35" s="8">
        <f t="shared" si="2"/>
        <v>0.375</v>
      </c>
      <c r="I35" s="35">
        <f t="shared" si="7"/>
        <v>126</v>
      </c>
      <c r="K35" s="18"/>
      <c r="L35" s="18"/>
      <c r="M35" s="18"/>
      <c r="N35" s="18"/>
    </row>
    <row r="36" spans="1:14" s="21" customFormat="1" ht="14.4">
      <c r="A36" s="43">
        <v>2</v>
      </c>
      <c r="B36" s="27"/>
      <c r="C36" s="60">
        <f t="shared" si="0"/>
        <v>16</v>
      </c>
      <c r="D36" s="7" t="s">
        <v>718</v>
      </c>
      <c r="E36" s="8">
        <v>2</v>
      </c>
      <c r="F36" s="9">
        <v>2</v>
      </c>
      <c r="G36" s="8">
        <f t="shared" si="6"/>
        <v>1</v>
      </c>
      <c r="H36" s="8">
        <f t="shared" si="2"/>
        <v>0.05</v>
      </c>
      <c r="I36" s="35">
        <f t="shared" si="7"/>
        <v>16.8</v>
      </c>
      <c r="K36" s="18"/>
      <c r="L36" s="18"/>
      <c r="M36" s="18"/>
      <c r="N36" s="18"/>
    </row>
    <row r="37" spans="1:14" s="21" customFormat="1" ht="14.4">
      <c r="A37" s="43">
        <v>1</v>
      </c>
      <c r="B37" s="27"/>
      <c r="C37" s="60">
        <f t="shared" si="0"/>
        <v>8</v>
      </c>
      <c r="D37" s="7" t="s">
        <v>719</v>
      </c>
      <c r="E37" s="8">
        <v>25</v>
      </c>
      <c r="F37" s="9">
        <v>2</v>
      </c>
      <c r="G37" s="8">
        <f t="shared" si="6"/>
        <v>12.5</v>
      </c>
      <c r="H37" s="8">
        <f t="shared" si="2"/>
        <v>0.625</v>
      </c>
      <c r="I37" s="35">
        <f t="shared" si="7"/>
        <v>105</v>
      </c>
      <c r="K37" s="18"/>
      <c r="L37" s="18"/>
      <c r="M37" s="18"/>
      <c r="N37" s="18"/>
    </row>
    <row r="38" spans="1:14" s="21" customFormat="1" ht="14.4">
      <c r="A38" s="43">
        <v>2</v>
      </c>
      <c r="B38" s="27"/>
      <c r="C38" s="60">
        <f t="shared" si="0"/>
        <v>16</v>
      </c>
      <c r="D38" s="7" t="s">
        <v>720</v>
      </c>
      <c r="E38" s="8">
        <v>12</v>
      </c>
      <c r="F38" s="9">
        <v>2</v>
      </c>
      <c r="G38" s="8">
        <f t="shared" si="6"/>
        <v>6</v>
      </c>
      <c r="H38" s="8">
        <f t="shared" si="2"/>
        <v>0.30000000000000004</v>
      </c>
      <c r="I38" s="35">
        <f t="shared" si="7"/>
        <v>100.8</v>
      </c>
      <c r="K38" s="18"/>
      <c r="L38" s="18"/>
      <c r="M38" s="18"/>
      <c r="N38" s="18"/>
    </row>
    <row r="39" spans="1:14" s="21" customFormat="1" ht="14.4">
      <c r="A39" s="43">
        <v>0.5</v>
      </c>
      <c r="B39" s="27"/>
      <c r="C39" s="60">
        <f t="shared" si="0"/>
        <v>4</v>
      </c>
      <c r="D39" s="7" t="s">
        <v>721</v>
      </c>
      <c r="E39" s="8">
        <v>12</v>
      </c>
      <c r="F39" s="9">
        <v>2</v>
      </c>
      <c r="G39" s="8">
        <f t="shared" si="6"/>
        <v>6</v>
      </c>
      <c r="H39" s="8">
        <f t="shared" si="2"/>
        <v>0.30000000000000004</v>
      </c>
      <c r="I39" s="35">
        <f t="shared" si="7"/>
        <v>25.2</v>
      </c>
      <c r="K39" s="18"/>
      <c r="L39" s="18"/>
      <c r="M39" s="18"/>
      <c r="N39" s="18"/>
    </row>
    <row r="40" spans="1:14" s="21" customFormat="1" ht="14.4">
      <c r="A40" s="43">
        <v>1</v>
      </c>
      <c r="B40" s="27"/>
      <c r="C40" s="60">
        <f t="shared" si="0"/>
        <v>8</v>
      </c>
      <c r="D40" s="7" t="s">
        <v>722</v>
      </c>
      <c r="E40" s="8">
        <v>18</v>
      </c>
      <c r="F40" s="9">
        <v>2</v>
      </c>
      <c r="G40" s="8">
        <f t="shared" si="6"/>
        <v>9</v>
      </c>
      <c r="H40" s="8">
        <f t="shared" si="2"/>
        <v>0.45</v>
      </c>
      <c r="I40" s="35">
        <f t="shared" si="7"/>
        <v>75.599999999999994</v>
      </c>
      <c r="K40" s="18"/>
      <c r="L40" s="18"/>
      <c r="M40" s="18"/>
      <c r="N40" s="18"/>
    </row>
    <row r="41" spans="1:14" s="20" customFormat="1" ht="15" customHeight="1">
      <c r="A41" s="304"/>
      <c r="B41" s="26"/>
      <c r="C41" s="316"/>
      <c r="D41" s="304" t="s">
        <v>723</v>
      </c>
      <c r="E41" s="304"/>
      <c r="F41" s="304"/>
      <c r="G41" s="304"/>
      <c r="H41" s="319"/>
      <c r="I41" s="318"/>
      <c r="K41"/>
      <c r="L41"/>
      <c r="M41"/>
      <c r="N41"/>
    </row>
    <row r="42" spans="1:14" s="21" customFormat="1" ht="12.75" customHeight="1">
      <c r="A42" s="43">
        <v>1</v>
      </c>
      <c r="B42" s="27"/>
      <c r="C42" s="60">
        <f t="shared" si="0"/>
        <v>8</v>
      </c>
      <c r="D42" s="7" t="s">
        <v>724</v>
      </c>
      <c r="E42" s="8">
        <v>48</v>
      </c>
      <c r="F42" s="9">
        <v>4</v>
      </c>
      <c r="G42" s="8">
        <f t="shared" ref="G42:G49" si="8">E42/F42</f>
        <v>12</v>
      </c>
      <c r="H42" s="8">
        <f t="shared" si="2"/>
        <v>0.60000000000000009</v>
      </c>
      <c r="I42" s="35">
        <f t="shared" ref="I42:I49" si="9">C42*(G42+H42)</f>
        <v>100.8</v>
      </c>
    </row>
    <row r="43" spans="1:14" s="21" customFormat="1" ht="14.4">
      <c r="A43" s="43">
        <v>1</v>
      </c>
      <c r="B43" s="27"/>
      <c r="C43" s="60">
        <f t="shared" si="0"/>
        <v>8</v>
      </c>
      <c r="D43" s="7" t="s">
        <v>725</v>
      </c>
      <c r="E43" s="8">
        <v>25</v>
      </c>
      <c r="F43" s="9">
        <v>4</v>
      </c>
      <c r="G43" s="8">
        <f t="shared" si="8"/>
        <v>6.25</v>
      </c>
      <c r="H43" s="8">
        <f t="shared" si="2"/>
        <v>0.3125</v>
      </c>
      <c r="I43" s="35">
        <f t="shared" si="9"/>
        <v>52.5</v>
      </c>
    </row>
    <row r="44" spans="1:14" s="21" customFormat="1" ht="14.4">
      <c r="A44" s="43">
        <v>4</v>
      </c>
      <c r="B44" s="27"/>
      <c r="C44" s="60">
        <f t="shared" si="0"/>
        <v>32</v>
      </c>
      <c r="D44" s="7" t="s">
        <v>726</v>
      </c>
      <c r="E44" s="8">
        <v>36</v>
      </c>
      <c r="F44" s="9">
        <v>4</v>
      </c>
      <c r="G44" s="8">
        <f t="shared" si="8"/>
        <v>9</v>
      </c>
      <c r="H44" s="8">
        <f t="shared" si="2"/>
        <v>0.45</v>
      </c>
      <c r="I44" s="35">
        <f t="shared" si="9"/>
        <v>302.39999999999998</v>
      </c>
      <c r="K44" s="18"/>
      <c r="L44" s="18"/>
      <c r="M44" s="18"/>
      <c r="N44" s="18"/>
    </row>
    <row r="45" spans="1:14" s="21" customFormat="1" ht="14.4">
      <c r="A45" s="43">
        <v>1</v>
      </c>
      <c r="B45" s="27"/>
      <c r="C45" s="60">
        <f t="shared" si="0"/>
        <v>8</v>
      </c>
      <c r="D45" s="7" t="s">
        <v>727</v>
      </c>
      <c r="E45" s="8">
        <v>380</v>
      </c>
      <c r="F45" s="9">
        <v>4</v>
      </c>
      <c r="G45" s="8">
        <f t="shared" si="8"/>
        <v>95</v>
      </c>
      <c r="H45" s="8">
        <f t="shared" si="2"/>
        <v>4.75</v>
      </c>
      <c r="I45" s="35">
        <f t="shared" si="9"/>
        <v>798</v>
      </c>
      <c r="K45" s="18"/>
      <c r="L45" s="18"/>
      <c r="M45" s="18"/>
      <c r="N45" s="18"/>
    </row>
    <row r="46" spans="1:14" s="21" customFormat="1" ht="14.4">
      <c r="A46" s="43">
        <v>1</v>
      </c>
      <c r="B46" s="27"/>
      <c r="C46" s="60">
        <f t="shared" si="0"/>
        <v>8</v>
      </c>
      <c r="D46" s="7" t="s">
        <v>728</v>
      </c>
      <c r="E46" s="8">
        <v>120</v>
      </c>
      <c r="F46" s="9">
        <v>4</v>
      </c>
      <c r="G46" s="8">
        <f t="shared" si="8"/>
        <v>30</v>
      </c>
      <c r="H46" s="8">
        <f t="shared" si="2"/>
        <v>1.5</v>
      </c>
      <c r="I46" s="35">
        <f t="shared" si="9"/>
        <v>252</v>
      </c>
      <c r="K46" s="18"/>
      <c r="L46" s="18"/>
      <c r="M46" s="18"/>
      <c r="N46" s="18"/>
    </row>
    <row r="47" spans="1:14" s="21" customFormat="1" ht="14.4">
      <c r="A47" s="43">
        <v>60</v>
      </c>
      <c r="B47" s="27"/>
      <c r="C47" s="60">
        <f t="shared" si="0"/>
        <v>480</v>
      </c>
      <c r="D47" s="7" t="s">
        <v>729</v>
      </c>
      <c r="E47" s="8">
        <v>3.5</v>
      </c>
      <c r="F47" s="9">
        <v>1</v>
      </c>
      <c r="G47" s="8">
        <f t="shared" si="8"/>
        <v>3.5</v>
      </c>
      <c r="H47" s="8">
        <f t="shared" si="2"/>
        <v>0.17500000000000002</v>
      </c>
      <c r="I47" s="35">
        <f t="shared" si="9"/>
        <v>1764</v>
      </c>
      <c r="K47" s="18"/>
      <c r="L47" s="18"/>
      <c r="M47" s="18"/>
      <c r="N47" s="18"/>
    </row>
    <row r="48" spans="1:14" s="21" customFormat="1" ht="14.4">
      <c r="A48" s="43">
        <v>5</v>
      </c>
      <c r="B48" s="27"/>
      <c r="C48" s="60">
        <f t="shared" si="0"/>
        <v>40</v>
      </c>
      <c r="D48" s="7" t="s">
        <v>730</v>
      </c>
      <c r="E48" s="8">
        <v>22</v>
      </c>
      <c r="F48" s="9">
        <v>4</v>
      </c>
      <c r="G48" s="8">
        <f t="shared" si="8"/>
        <v>5.5</v>
      </c>
      <c r="H48" s="8">
        <f t="shared" si="2"/>
        <v>0.27500000000000002</v>
      </c>
      <c r="I48" s="35">
        <f t="shared" si="9"/>
        <v>231</v>
      </c>
      <c r="K48" s="18"/>
      <c r="L48" s="18"/>
      <c r="M48" s="18"/>
      <c r="N48" s="18"/>
    </row>
    <row r="49" spans="1:14" s="21" customFormat="1" ht="14.4">
      <c r="A49" s="78">
        <v>20000</v>
      </c>
      <c r="B49" s="27"/>
      <c r="C49" s="60">
        <f t="shared" si="0"/>
        <v>160000</v>
      </c>
      <c r="D49" s="7" t="s">
        <v>731</v>
      </c>
      <c r="E49" s="8">
        <v>0.02</v>
      </c>
      <c r="F49" s="9">
        <v>1</v>
      </c>
      <c r="G49" s="8">
        <f t="shared" si="8"/>
        <v>0.02</v>
      </c>
      <c r="H49" s="8">
        <f t="shared" si="2"/>
        <v>1E-3</v>
      </c>
      <c r="I49" s="35">
        <f t="shared" si="9"/>
        <v>3360</v>
      </c>
      <c r="K49" s="18"/>
      <c r="L49" s="18"/>
      <c r="M49" s="18"/>
      <c r="N49" s="18"/>
    </row>
    <row r="50" spans="1:14" s="20" customFormat="1" ht="15" customHeight="1">
      <c r="A50" s="304"/>
      <c r="B50" s="26"/>
      <c r="C50" s="316"/>
      <c r="D50" s="304" t="s">
        <v>732</v>
      </c>
      <c r="E50" s="304"/>
      <c r="F50" s="304"/>
      <c r="G50" s="304"/>
      <c r="H50" s="319"/>
      <c r="I50" s="318"/>
      <c r="K50"/>
      <c r="L50"/>
      <c r="M50"/>
      <c r="N50"/>
    </row>
    <row r="51" spans="1:14" s="21" customFormat="1" ht="14.4">
      <c r="A51" s="43">
        <v>0.5</v>
      </c>
      <c r="B51" s="27"/>
      <c r="C51" s="60">
        <f t="shared" si="0"/>
        <v>4</v>
      </c>
      <c r="D51" s="7" t="s">
        <v>733</v>
      </c>
      <c r="E51" s="8">
        <v>9</v>
      </c>
      <c r="F51" s="9">
        <v>4</v>
      </c>
      <c r="G51" s="8">
        <f t="shared" ref="G51:G60" si="10">E51/F51</f>
        <v>2.25</v>
      </c>
      <c r="H51" s="8">
        <f t="shared" si="2"/>
        <v>0.1125</v>
      </c>
      <c r="I51" s="35">
        <f t="shared" ref="I51:I60" si="11">C51*(G51+H51)</f>
        <v>9.4499999999999993</v>
      </c>
      <c r="K51" s="18"/>
      <c r="L51" s="18"/>
      <c r="M51" s="18"/>
      <c r="N51" s="18"/>
    </row>
    <row r="52" spans="1:14" s="21" customFormat="1" ht="14.4">
      <c r="A52" s="43">
        <v>0.5</v>
      </c>
      <c r="B52" s="27"/>
      <c r="C52" s="60">
        <f t="shared" si="0"/>
        <v>4</v>
      </c>
      <c r="D52" s="7" t="s">
        <v>734</v>
      </c>
      <c r="E52" s="8">
        <v>12</v>
      </c>
      <c r="F52" s="9">
        <v>4</v>
      </c>
      <c r="G52" s="8">
        <f t="shared" si="10"/>
        <v>3</v>
      </c>
      <c r="H52" s="8">
        <f t="shared" si="2"/>
        <v>0.15000000000000002</v>
      </c>
      <c r="I52" s="35">
        <f t="shared" si="11"/>
        <v>12.6</v>
      </c>
      <c r="K52" s="18"/>
      <c r="L52" s="18"/>
      <c r="M52" s="18"/>
      <c r="N52" s="18"/>
    </row>
    <row r="53" spans="1:14" s="21" customFormat="1" ht="14.4">
      <c r="A53" s="43">
        <v>0.5</v>
      </c>
      <c r="B53" s="27"/>
      <c r="C53" s="60">
        <f t="shared" si="0"/>
        <v>4</v>
      </c>
      <c r="D53" s="7" t="s">
        <v>735</v>
      </c>
      <c r="E53" s="8">
        <v>12</v>
      </c>
      <c r="F53" s="9">
        <v>4</v>
      </c>
      <c r="G53" s="8">
        <f t="shared" si="10"/>
        <v>3</v>
      </c>
      <c r="H53" s="8">
        <f t="shared" si="2"/>
        <v>0.15000000000000002</v>
      </c>
      <c r="I53" s="35">
        <f t="shared" si="11"/>
        <v>12.6</v>
      </c>
      <c r="K53" s="18"/>
      <c r="L53" s="18"/>
      <c r="M53" s="18"/>
      <c r="N53" s="18"/>
    </row>
    <row r="54" spans="1:14" s="21" customFormat="1" ht="14.4">
      <c r="A54" s="43">
        <v>1</v>
      </c>
      <c r="B54" s="27"/>
      <c r="C54" s="60">
        <f t="shared" si="0"/>
        <v>8</v>
      </c>
      <c r="D54" s="7" t="s">
        <v>736</v>
      </c>
      <c r="E54" s="8">
        <v>18</v>
      </c>
      <c r="F54" s="9">
        <v>4</v>
      </c>
      <c r="G54" s="8">
        <f t="shared" si="10"/>
        <v>4.5</v>
      </c>
      <c r="H54" s="8">
        <f t="shared" si="2"/>
        <v>0.22500000000000001</v>
      </c>
      <c r="I54" s="35">
        <f t="shared" si="11"/>
        <v>37.799999999999997</v>
      </c>
      <c r="K54" s="18"/>
      <c r="L54" s="18"/>
      <c r="M54" s="18"/>
      <c r="N54" s="18"/>
    </row>
    <row r="55" spans="1:14" s="21" customFormat="1" ht="14.4">
      <c r="A55" s="43">
        <v>1</v>
      </c>
      <c r="B55" s="27"/>
      <c r="C55" s="60">
        <f t="shared" si="0"/>
        <v>8</v>
      </c>
      <c r="D55" s="7" t="s">
        <v>737</v>
      </c>
      <c r="E55" s="8">
        <v>4</v>
      </c>
      <c r="F55" s="9">
        <v>4</v>
      </c>
      <c r="G55" s="8">
        <f t="shared" si="10"/>
        <v>1</v>
      </c>
      <c r="H55" s="8">
        <f t="shared" si="2"/>
        <v>0.05</v>
      </c>
      <c r="I55" s="35">
        <f t="shared" si="11"/>
        <v>8.4</v>
      </c>
      <c r="K55" s="18"/>
      <c r="L55" s="18"/>
      <c r="M55" s="18"/>
      <c r="N55" s="18"/>
    </row>
    <row r="56" spans="1:14" s="21" customFormat="1" ht="14.4">
      <c r="A56" s="43">
        <v>1</v>
      </c>
      <c r="B56" s="27"/>
      <c r="C56" s="60">
        <f t="shared" si="0"/>
        <v>8</v>
      </c>
      <c r="D56" s="7" t="s">
        <v>738</v>
      </c>
      <c r="E56" s="8">
        <v>4</v>
      </c>
      <c r="F56" s="9">
        <v>4</v>
      </c>
      <c r="G56" s="8">
        <f t="shared" si="10"/>
        <v>1</v>
      </c>
      <c r="H56" s="8">
        <f t="shared" si="2"/>
        <v>0.05</v>
      </c>
      <c r="I56" s="35">
        <f t="shared" si="11"/>
        <v>8.4</v>
      </c>
      <c r="K56" s="18"/>
      <c r="L56" s="18"/>
      <c r="M56" s="18"/>
      <c r="N56" s="18"/>
    </row>
    <row r="57" spans="1:14" s="21" customFormat="1" ht="14.4">
      <c r="A57" s="43">
        <v>1</v>
      </c>
      <c r="B57" s="27"/>
      <c r="C57" s="60">
        <f t="shared" si="0"/>
        <v>8</v>
      </c>
      <c r="D57" s="7" t="s">
        <v>739</v>
      </c>
      <c r="E57" s="8">
        <v>6</v>
      </c>
      <c r="F57" s="9">
        <v>4</v>
      </c>
      <c r="G57" s="8">
        <f t="shared" si="10"/>
        <v>1.5</v>
      </c>
      <c r="H57" s="8">
        <f t="shared" si="2"/>
        <v>7.5000000000000011E-2</v>
      </c>
      <c r="I57" s="35">
        <f t="shared" si="11"/>
        <v>12.6</v>
      </c>
      <c r="K57" s="18"/>
      <c r="L57" s="18"/>
      <c r="M57" s="18"/>
      <c r="N57" s="18"/>
    </row>
    <row r="58" spans="1:14" s="21" customFormat="1" ht="14.4">
      <c r="A58" s="43">
        <v>1</v>
      </c>
      <c r="B58" s="27"/>
      <c r="C58" s="60">
        <f t="shared" si="0"/>
        <v>8</v>
      </c>
      <c r="D58" s="7" t="s">
        <v>740</v>
      </c>
      <c r="E58" s="8">
        <v>10</v>
      </c>
      <c r="F58" s="9">
        <v>4</v>
      </c>
      <c r="G58" s="8">
        <f t="shared" si="10"/>
        <v>2.5</v>
      </c>
      <c r="H58" s="8">
        <f t="shared" si="2"/>
        <v>0.125</v>
      </c>
      <c r="I58" s="35">
        <f t="shared" si="11"/>
        <v>21</v>
      </c>
      <c r="K58" s="18"/>
      <c r="L58" s="18"/>
      <c r="M58" s="18"/>
      <c r="N58" s="18"/>
    </row>
    <row r="59" spans="1:14" s="21" customFormat="1" ht="14.4">
      <c r="A59" s="43">
        <v>0.5</v>
      </c>
      <c r="B59" s="27"/>
      <c r="C59" s="60">
        <f t="shared" si="0"/>
        <v>4</v>
      </c>
      <c r="D59" s="7" t="s">
        <v>741</v>
      </c>
      <c r="E59" s="8">
        <v>4</v>
      </c>
      <c r="F59" s="9">
        <v>4</v>
      </c>
      <c r="G59" s="8">
        <f t="shared" si="10"/>
        <v>1</v>
      </c>
      <c r="H59" s="8">
        <f t="shared" si="2"/>
        <v>0.05</v>
      </c>
      <c r="I59" s="35">
        <f t="shared" si="11"/>
        <v>4.2</v>
      </c>
      <c r="K59" s="18"/>
      <c r="L59" s="18"/>
      <c r="M59" s="18"/>
      <c r="N59" s="18"/>
    </row>
    <row r="60" spans="1:14" s="21" customFormat="1" ht="14.4">
      <c r="A60" s="43">
        <v>1</v>
      </c>
      <c r="B60" s="27"/>
      <c r="C60" s="60">
        <f t="shared" si="0"/>
        <v>8</v>
      </c>
      <c r="D60" s="7" t="s">
        <v>742</v>
      </c>
      <c r="E60" s="8">
        <v>185</v>
      </c>
      <c r="F60" s="9">
        <v>4</v>
      </c>
      <c r="G60" s="8">
        <f t="shared" si="10"/>
        <v>46.25</v>
      </c>
      <c r="H60" s="8">
        <f t="shared" si="2"/>
        <v>2.3125</v>
      </c>
      <c r="I60" s="35">
        <f t="shared" si="11"/>
        <v>388.5</v>
      </c>
      <c r="K60" s="18"/>
      <c r="L60" s="18"/>
      <c r="M60" s="18"/>
      <c r="N60" s="18"/>
    </row>
    <row r="61" spans="1:14" s="20" customFormat="1" ht="16.2" customHeight="1">
      <c r="A61" s="304"/>
      <c r="B61" s="26"/>
      <c r="C61" s="316"/>
      <c r="D61" s="304" t="s">
        <v>743</v>
      </c>
      <c r="E61" s="304"/>
      <c r="F61" s="304"/>
      <c r="G61" s="304"/>
      <c r="H61" s="319"/>
      <c r="I61" s="318"/>
      <c r="K61"/>
      <c r="L61"/>
      <c r="M61"/>
      <c r="N61"/>
    </row>
    <row r="62" spans="1:14" s="21" customFormat="1" ht="12.75" customHeight="1">
      <c r="A62" s="43">
        <v>0.5</v>
      </c>
      <c r="B62" s="27"/>
      <c r="C62" s="60">
        <f t="shared" si="0"/>
        <v>4</v>
      </c>
      <c r="D62" s="7" t="s">
        <v>744</v>
      </c>
      <c r="E62" s="8">
        <v>18</v>
      </c>
      <c r="F62" s="9">
        <v>4</v>
      </c>
      <c r="G62" s="8">
        <f t="shared" ref="G62:G89" si="12">E62/F62</f>
        <v>4.5</v>
      </c>
      <c r="H62" s="8">
        <f t="shared" si="2"/>
        <v>0.22500000000000001</v>
      </c>
      <c r="I62" s="35">
        <f t="shared" ref="I62:I89" si="13">C62*(G62+H62)</f>
        <v>18.899999999999999</v>
      </c>
      <c r="K62" s="18"/>
      <c r="L62" s="18"/>
      <c r="M62" s="18"/>
      <c r="N62" s="18"/>
    </row>
    <row r="63" spans="1:14" s="21" customFormat="1" ht="13.95" customHeight="1">
      <c r="A63" s="43">
        <v>0.5</v>
      </c>
      <c r="B63" s="27"/>
      <c r="C63" s="60">
        <f t="shared" si="0"/>
        <v>4</v>
      </c>
      <c r="D63" s="7" t="s">
        <v>745</v>
      </c>
      <c r="E63" s="8">
        <v>249</v>
      </c>
      <c r="F63" s="9">
        <v>4</v>
      </c>
      <c r="G63" s="8">
        <f t="shared" si="12"/>
        <v>62.25</v>
      </c>
      <c r="H63" s="8">
        <f t="shared" si="2"/>
        <v>3.1125000000000003</v>
      </c>
      <c r="I63" s="35">
        <f t="shared" si="13"/>
        <v>261.45</v>
      </c>
      <c r="K63" s="18"/>
      <c r="L63" s="18"/>
      <c r="M63" s="18"/>
      <c r="N63" s="18"/>
    </row>
    <row r="64" spans="1:14" s="21" customFormat="1" ht="14.4">
      <c r="A64" s="43">
        <v>4</v>
      </c>
      <c r="B64" s="27"/>
      <c r="C64" s="60">
        <f t="shared" si="0"/>
        <v>32</v>
      </c>
      <c r="D64" s="7" t="s">
        <v>746</v>
      </c>
      <c r="E64" s="8">
        <v>6</v>
      </c>
      <c r="F64" s="9">
        <v>4</v>
      </c>
      <c r="G64" s="8">
        <f t="shared" si="12"/>
        <v>1.5</v>
      </c>
      <c r="H64" s="8">
        <f t="shared" si="2"/>
        <v>7.5000000000000011E-2</v>
      </c>
      <c r="I64" s="35">
        <f t="shared" si="13"/>
        <v>50.4</v>
      </c>
      <c r="K64" s="18"/>
      <c r="L64" s="18"/>
      <c r="M64" s="18"/>
      <c r="N64" s="18"/>
    </row>
    <row r="65" spans="1:14" s="21" customFormat="1" ht="14.4">
      <c r="A65" s="43">
        <v>2</v>
      </c>
      <c r="B65" s="27"/>
      <c r="C65" s="60">
        <f t="shared" si="0"/>
        <v>16</v>
      </c>
      <c r="D65" s="7" t="s">
        <v>747</v>
      </c>
      <c r="E65" s="8">
        <v>6</v>
      </c>
      <c r="F65" s="9">
        <v>4</v>
      </c>
      <c r="G65" s="8">
        <f t="shared" si="12"/>
        <v>1.5</v>
      </c>
      <c r="H65" s="8">
        <f t="shared" si="2"/>
        <v>7.5000000000000011E-2</v>
      </c>
      <c r="I65" s="35">
        <f t="shared" si="13"/>
        <v>25.2</v>
      </c>
      <c r="K65" s="18"/>
      <c r="L65" s="18"/>
      <c r="M65" s="18"/>
      <c r="N65" s="18"/>
    </row>
    <row r="66" spans="1:14" s="21" customFormat="1" ht="12.6" customHeight="1">
      <c r="A66" s="43">
        <v>1</v>
      </c>
      <c r="B66" s="27"/>
      <c r="C66" s="60">
        <f t="shared" si="0"/>
        <v>8</v>
      </c>
      <c r="D66" s="7" t="s">
        <v>748</v>
      </c>
      <c r="E66" s="8">
        <v>8</v>
      </c>
      <c r="F66" s="9">
        <v>4</v>
      </c>
      <c r="G66" s="8">
        <f t="shared" si="12"/>
        <v>2</v>
      </c>
      <c r="H66" s="8">
        <f t="shared" si="2"/>
        <v>0.1</v>
      </c>
      <c r="I66" s="35">
        <f t="shared" si="13"/>
        <v>16.8</v>
      </c>
      <c r="K66" s="18"/>
      <c r="L66" s="18"/>
      <c r="M66" s="18"/>
      <c r="N66" s="18"/>
    </row>
    <row r="67" spans="1:14" s="21" customFormat="1" ht="14.4">
      <c r="A67" s="43">
        <v>3</v>
      </c>
      <c r="B67" s="27"/>
      <c r="C67" s="60">
        <f t="shared" si="0"/>
        <v>24</v>
      </c>
      <c r="D67" s="7" t="s">
        <v>749</v>
      </c>
      <c r="E67" s="8">
        <v>6</v>
      </c>
      <c r="F67" s="9">
        <v>4</v>
      </c>
      <c r="G67" s="8">
        <f t="shared" si="12"/>
        <v>1.5</v>
      </c>
      <c r="H67" s="8">
        <f t="shared" si="2"/>
        <v>7.5000000000000011E-2</v>
      </c>
      <c r="I67" s="35">
        <f t="shared" si="13"/>
        <v>37.799999999999997</v>
      </c>
      <c r="K67" s="18"/>
      <c r="L67" s="18"/>
      <c r="M67" s="18"/>
      <c r="N67" s="18"/>
    </row>
    <row r="68" spans="1:14" s="21" customFormat="1" ht="14.4">
      <c r="A68" s="43">
        <v>2</v>
      </c>
      <c r="B68" s="27"/>
      <c r="C68" s="60">
        <f t="shared" si="0"/>
        <v>16</v>
      </c>
      <c r="D68" s="7" t="s">
        <v>750</v>
      </c>
      <c r="E68" s="8">
        <v>12</v>
      </c>
      <c r="F68" s="9">
        <v>4</v>
      </c>
      <c r="G68" s="8">
        <f t="shared" si="12"/>
        <v>3</v>
      </c>
      <c r="H68" s="8">
        <f t="shared" si="2"/>
        <v>0.15000000000000002</v>
      </c>
      <c r="I68" s="35">
        <f t="shared" si="13"/>
        <v>50.4</v>
      </c>
      <c r="K68" s="18"/>
      <c r="L68" s="18"/>
      <c r="M68" s="18"/>
      <c r="N68" s="18"/>
    </row>
    <row r="69" spans="1:14" s="21" customFormat="1" ht="14.4">
      <c r="A69" s="43">
        <v>2</v>
      </c>
      <c r="B69" s="27"/>
      <c r="C69" s="60">
        <f t="shared" ref="C69:C89" si="14">ROUND(+M$4*A69/10,0)</f>
        <v>16</v>
      </c>
      <c r="D69" s="7" t="s">
        <v>751</v>
      </c>
      <c r="E69" s="8">
        <v>23</v>
      </c>
      <c r="F69" s="9">
        <v>4</v>
      </c>
      <c r="G69" s="8">
        <f t="shared" si="12"/>
        <v>5.75</v>
      </c>
      <c r="H69" s="8">
        <f t="shared" ref="H69:H89" si="15">G69*$H$3</f>
        <v>0.28750000000000003</v>
      </c>
      <c r="I69" s="35">
        <f t="shared" si="13"/>
        <v>96.6</v>
      </c>
      <c r="K69" s="18"/>
      <c r="L69" s="18"/>
      <c r="M69" s="18"/>
      <c r="N69" s="18"/>
    </row>
    <row r="70" spans="1:14" s="21" customFormat="1" ht="14.4">
      <c r="A70" s="43">
        <v>0.5</v>
      </c>
      <c r="B70" s="27"/>
      <c r="C70" s="60">
        <f t="shared" si="14"/>
        <v>4</v>
      </c>
      <c r="D70" s="7" t="s">
        <v>752</v>
      </c>
      <c r="E70" s="8">
        <v>8</v>
      </c>
      <c r="F70" s="9">
        <v>4</v>
      </c>
      <c r="G70" s="8">
        <f t="shared" si="12"/>
        <v>2</v>
      </c>
      <c r="H70" s="8">
        <f t="shared" si="15"/>
        <v>0.1</v>
      </c>
      <c r="I70" s="35">
        <f t="shared" si="13"/>
        <v>8.4</v>
      </c>
      <c r="K70" s="18"/>
      <c r="L70" s="18"/>
      <c r="M70" s="18"/>
      <c r="N70" s="18"/>
    </row>
    <row r="71" spans="1:14" s="21" customFormat="1" ht="14.4">
      <c r="A71" s="43">
        <v>2</v>
      </c>
      <c r="B71" s="27"/>
      <c r="C71" s="60">
        <f t="shared" si="14"/>
        <v>16</v>
      </c>
      <c r="D71" s="7" t="s">
        <v>753</v>
      </c>
      <c r="E71" s="8">
        <v>12</v>
      </c>
      <c r="F71" s="9">
        <v>4</v>
      </c>
      <c r="G71" s="8">
        <f t="shared" si="12"/>
        <v>3</v>
      </c>
      <c r="H71" s="8">
        <f t="shared" si="15"/>
        <v>0.15000000000000002</v>
      </c>
      <c r="I71" s="35">
        <f t="shared" si="13"/>
        <v>50.4</v>
      </c>
      <c r="K71" s="18"/>
      <c r="L71" s="18"/>
      <c r="M71" s="18"/>
      <c r="N71" s="18"/>
    </row>
    <row r="72" spans="1:14" s="21" customFormat="1" ht="14.4">
      <c r="A72" s="43">
        <v>1</v>
      </c>
      <c r="B72" s="27"/>
      <c r="C72" s="60">
        <f t="shared" si="14"/>
        <v>8</v>
      </c>
      <c r="D72" s="7" t="s">
        <v>754</v>
      </c>
      <c r="E72" s="8">
        <v>15</v>
      </c>
      <c r="F72" s="9">
        <v>4</v>
      </c>
      <c r="G72" s="8">
        <f t="shared" si="12"/>
        <v>3.75</v>
      </c>
      <c r="H72" s="8">
        <f t="shared" si="15"/>
        <v>0.1875</v>
      </c>
      <c r="I72" s="35">
        <f t="shared" si="13"/>
        <v>31.5</v>
      </c>
      <c r="K72" s="18"/>
      <c r="L72" s="18"/>
      <c r="M72" s="18"/>
      <c r="N72" s="18"/>
    </row>
    <row r="73" spans="1:14" s="21" customFormat="1" ht="14.4">
      <c r="A73" s="43">
        <v>1</v>
      </c>
      <c r="B73" s="27"/>
      <c r="C73" s="60">
        <f t="shared" si="14"/>
        <v>8</v>
      </c>
      <c r="D73" s="7" t="s">
        <v>755</v>
      </c>
      <c r="E73" s="8">
        <v>28</v>
      </c>
      <c r="F73" s="9">
        <v>4</v>
      </c>
      <c r="G73" s="8">
        <f t="shared" si="12"/>
        <v>7</v>
      </c>
      <c r="H73" s="8">
        <f t="shared" si="15"/>
        <v>0.35000000000000003</v>
      </c>
      <c r="I73" s="35">
        <f t="shared" si="13"/>
        <v>58.8</v>
      </c>
      <c r="K73" s="18"/>
      <c r="L73" s="18"/>
      <c r="M73" s="18"/>
      <c r="N73" s="18"/>
    </row>
    <row r="74" spans="1:14" s="21" customFormat="1" ht="14.4">
      <c r="A74" s="43">
        <v>2</v>
      </c>
      <c r="B74" s="27"/>
      <c r="C74" s="60">
        <f t="shared" si="14"/>
        <v>16</v>
      </c>
      <c r="D74" s="7" t="s">
        <v>756</v>
      </c>
      <c r="E74" s="8">
        <v>17</v>
      </c>
      <c r="F74" s="9">
        <v>4</v>
      </c>
      <c r="G74" s="8">
        <f t="shared" si="12"/>
        <v>4.25</v>
      </c>
      <c r="H74" s="8">
        <f t="shared" si="15"/>
        <v>0.21250000000000002</v>
      </c>
      <c r="I74" s="35">
        <f t="shared" si="13"/>
        <v>71.400000000000006</v>
      </c>
      <c r="K74" s="18"/>
      <c r="L74" s="18"/>
      <c r="M74" s="18"/>
      <c r="N74" s="18"/>
    </row>
    <row r="75" spans="1:14" s="21" customFormat="1" ht="14.4">
      <c r="A75" s="43">
        <v>1</v>
      </c>
      <c r="B75" s="27"/>
      <c r="C75" s="60">
        <f t="shared" si="14"/>
        <v>8</v>
      </c>
      <c r="D75" s="7" t="s">
        <v>757</v>
      </c>
      <c r="E75" s="8">
        <v>9</v>
      </c>
      <c r="F75" s="9">
        <v>4</v>
      </c>
      <c r="G75" s="8">
        <f t="shared" si="12"/>
        <v>2.25</v>
      </c>
      <c r="H75" s="8">
        <f t="shared" si="15"/>
        <v>0.1125</v>
      </c>
      <c r="I75" s="35">
        <f t="shared" si="13"/>
        <v>18.899999999999999</v>
      </c>
      <c r="K75" s="18"/>
      <c r="L75" s="18"/>
      <c r="M75" s="18"/>
      <c r="N75" s="18"/>
    </row>
    <row r="76" spans="1:14" s="21" customFormat="1" ht="14.4">
      <c r="A76" s="43">
        <v>2</v>
      </c>
      <c r="B76" s="27"/>
      <c r="C76" s="60">
        <f t="shared" si="14"/>
        <v>16</v>
      </c>
      <c r="D76" s="7" t="s">
        <v>758</v>
      </c>
      <c r="E76" s="8">
        <v>1</v>
      </c>
      <c r="F76" s="9">
        <v>4</v>
      </c>
      <c r="G76" s="8">
        <f t="shared" si="12"/>
        <v>0.25</v>
      </c>
      <c r="H76" s="8">
        <f t="shared" si="15"/>
        <v>1.2500000000000001E-2</v>
      </c>
      <c r="I76" s="35">
        <f t="shared" si="13"/>
        <v>4.2</v>
      </c>
      <c r="K76" s="18"/>
      <c r="L76" s="18"/>
      <c r="M76" s="18"/>
      <c r="N76" s="18"/>
    </row>
    <row r="77" spans="1:14" s="21" customFormat="1" ht="14.4">
      <c r="A77" s="43">
        <v>2</v>
      </c>
      <c r="B77" s="27"/>
      <c r="C77" s="60">
        <f t="shared" si="14"/>
        <v>16</v>
      </c>
      <c r="D77" s="7" t="s">
        <v>759</v>
      </c>
      <c r="E77" s="8">
        <v>4</v>
      </c>
      <c r="F77" s="9">
        <v>4</v>
      </c>
      <c r="G77" s="8">
        <f t="shared" si="12"/>
        <v>1</v>
      </c>
      <c r="H77" s="8">
        <f t="shared" si="15"/>
        <v>0.05</v>
      </c>
      <c r="I77" s="35">
        <f t="shared" si="13"/>
        <v>16.8</v>
      </c>
      <c r="K77" s="18"/>
      <c r="L77" s="18"/>
      <c r="M77" s="18"/>
      <c r="N77" s="18"/>
    </row>
    <row r="78" spans="1:14" s="21" customFormat="1" ht="14.4">
      <c r="A78" s="43">
        <v>1</v>
      </c>
      <c r="B78" s="27"/>
      <c r="C78" s="60">
        <f t="shared" si="14"/>
        <v>8</v>
      </c>
      <c r="D78" s="7" t="s">
        <v>760</v>
      </c>
      <c r="E78" s="8">
        <v>45</v>
      </c>
      <c r="F78" s="9">
        <v>4</v>
      </c>
      <c r="G78" s="8">
        <f t="shared" si="12"/>
        <v>11.25</v>
      </c>
      <c r="H78" s="8">
        <f t="shared" si="15"/>
        <v>0.5625</v>
      </c>
      <c r="I78" s="35">
        <f t="shared" si="13"/>
        <v>94.5</v>
      </c>
      <c r="K78" s="18"/>
      <c r="L78" s="18"/>
      <c r="M78" s="18"/>
      <c r="N78" s="18"/>
    </row>
    <row r="79" spans="1:14" s="21" customFormat="1" ht="14.4">
      <c r="A79" s="43">
        <v>1</v>
      </c>
      <c r="B79" s="27"/>
      <c r="C79" s="60">
        <f t="shared" si="14"/>
        <v>8</v>
      </c>
      <c r="D79" s="7" t="s">
        <v>761</v>
      </c>
      <c r="E79" s="8">
        <v>35</v>
      </c>
      <c r="F79" s="9">
        <v>4</v>
      </c>
      <c r="G79" s="8">
        <f t="shared" si="12"/>
        <v>8.75</v>
      </c>
      <c r="H79" s="8">
        <f t="shared" si="15"/>
        <v>0.4375</v>
      </c>
      <c r="I79" s="35">
        <f t="shared" si="13"/>
        <v>73.5</v>
      </c>
      <c r="K79" s="18"/>
      <c r="L79" s="18"/>
      <c r="M79" s="18"/>
      <c r="N79" s="18"/>
    </row>
    <row r="80" spans="1:14" s="21" customFormat="1" ht="14.4">
      <c r="A80" s="43">
        <v>1</v>
      </c>
      <c r="B80" s="27"/>
      <c r="C80" s="60">
        <f t="shared" si="14"/>
        <v>8</v>
      </c>
      <c r="D80" s="7" t="s">
        <v>762</v>
      </c>
      <c r="E80" s="8">
        <v>40</v>
      </c>
      <c r="F80" s="9">
        <v>4</v>
      </c>
      <c r="G80" s="8">
        <f t="shared" si="12"/>
        <v>10</v>
      </c>
      <c r="H80" s="8">
        <f t="shared" si="15"/>
        <v>0.5</v>
      </c>
      <c r="I80" s="35">
        <f t="shared" si="13"/>
        <v>84</v>
      </c>
      <c r="K80" s="18"/>
      <c r="L80" s="18"/>
      <c r="M80" s="18"/>
      <c r="N80" s="18"/>
    </row>
    <row r="81" spans="1:14" s="21" customFormat="1" ht="12" customHeight="1">
      <c r="A81" s="43">
        <v>1</v>
      </c>
      <c r="B81" s="27"/>
      <c r="C81" s="60">
        <f t="shared" si="14"/>
        <v>8</v>
      </c>
      <c r="D81" s="7" t="s">
        <v>763</v>
      </c>
      <c r="E81" s="8">
        <v>30</v>
      </c>
      <c r="F81" s="9">
        <v>4</v>
      </c>
      <c r="G81" s="8">
        <f t="shared" si="12"/>
        <v>7.5</v>
      </c>
      <c r="H81" s="8">
        <f t="shared" si="15"/>
        <v>0.375</v>
      </c>
      <c r="I81" s="35">
        <f t="shared" si="13"/>
        <v>63</v>
      </c>
      <c r="K81" s="18"/>
      <c r="L81" s="18"/>
      <c r="M81" s="18"/>
      <c r="N81" s="18"/>
    </row>
    <row r="82" spans="1:14" s="21" customFormat="1" ht="14.4">
      <c r="A82" s="43">
        <v>1</v>
      </c>
      <c r="B82" s="27"/>
      <c r="C82" s="60">
        <f t="shared" si="14"/>
        <v>8</v>
      </c>
      <c r="D82" s="7" t="s">
        <v>764</v>
      </c>
      <c r="E82" s="8">
        <v>5.7</v>
      </c>
      <c r="F82" s="9">
        <v>4</v>
      </c>
      <c r="G82" s="8">
        <f t="shared" si="12"/>
        <v>1.425</v>
      </c>
      <c r="H82" s="8">
        <f t="shared" si="15"/>
        <v>7.1250000000000008E-2</v>
      </c>
      <c r="I82" s="35">
        <f t="shared" si="13"/>
        <v>11.97</v>
      </c>
      <c r="K82" s="18"/>
      <c r="L82" s="18"/>
      <c r="M82" s="18"/>
      <c r="N82" s="18"/>
    </row>
    <row r="83" spans="1:14" s="21" customFormat="1" ht="14.4">
      <c r="A83" s="43">
        <v>1</v>
      </c>
      <c r="B83" s="27"/>
      <c r="C83" s="60">
        <f t="shared" si="14"/>
        <v>8</v>
      </c>
      <c r="D83" s="7" t="s">
        <v>765</v>
      </c>
      <c r="E83" s="8">
        <v>17.489999999999998</v>
      </c>
      <c r="F83" s="9">
        <v>4</v>
      </c>
      <c r="G83" s="8">
        <f t="shared" si="12"/>
        <v>4.3724999999999996</v>
      </c>
      <c r="H83" s="8">
        <f t="shared" si="15"/>
        <v>0.21862499999999999</v>
      </c>
      <c r="I83" s="35">
        <f t="shared" si="13"/>
        <v>36.728999999999999</v>
      </c>
      <c r="K83" s="18"/>
      <c r="L83" s="18"/>
      <c r="M83" s="18"/>
      <c r="N83" s="18"/>
    </row>
    <row r="84" spans="1:14" s="21" customFormat="1" ht="14.4">
      <c r="A84" s="43">
        <v>1</v>
      </c>
      <c r="B84" s="27"/>
      <c r="C84" s="60">
        <f t="shared" si="14"/>
        <v>8</v>
      </c>
      <c r="D84" s="7" t="s">
        <v>766</v>
      </c>
      <c r="E84" s="8">
        <v>1.95</v>
      </c>
      <c r="F84" s="9">
        <v>4</v>
      </c>
      <c r="G84" s="8">
        <f t="shared" si="12"/>
        <v>0.48749999999999999</v>
      </c>
      <c r="H84" s="8">
        <f t="shared" si="15"/>
        <v>2.4375000000000001E-2</v>
      </c>
      <c r="I84" s="35">
        <f t="shared" si="13"/>
        <v>4.0949999999999998</v>
      </c>
      <c r="K84" s="18"/>
      <c r="L84" s="18"/>
      <c r="M84" s="18"/>
      <c r="N84" s="18"/>
    </row>
    <row r="85" spans="1:14" s="21" customFormat="1" ht="14.4">
      <c r="A85" s="43">
        <v>1</v>
      </c>
      <c r="B85" s="27"/>
      <c r="C85" s="60">
        <f t="shared" si="14"/>
        <v>8</v>
      </c>
      <c r="D85" s="7" t="s">
        <v>767</v>
      </c>
      <c r="E85" s="8">
        <v>10.220000000000001</v>
      </c>
      <c r="F85" s="9">
        <v>4</v>
      </c>
      <c r="G85" s="8">
        <f t="shared" si="12"/>
        <v>2.5550000000000002</v>
      </c>
      <c r="H85" s="8">
        <f t="shared" si="15"/>
        <v>0.12775</v>
      </c>
      <c r="I85" s="35">
        <f t="shared" si="13"/>
        <v>21.462</v>
      </c>
      <c r="K85" s="18"/>
      <c r="L85" s="18"/>
      <c r="M85" s="18"/>
      <c r="N85" s="18"/>
    </row>
    <row r="86" spans="1:14" s="21" customFormat="1" ht="14.4">
      <c r="A86" s="43">
        <v>1</v>
      </c>
      <c r="B86" s="27"/>
      <c r="C86" s="60">
        <f t="shared" si="14"/>
        <v>8</v>
      </c>
      <c r="D86" s="7" t="s">
        <v>768</v>
      </c>
      <c r="E86" s="8">
        <v>18</v>
      </c>
      <c r="F86" s="9">
        <v>4</v>
      </c>
      <c r="G86" s="8">
        <f t="shared" si="12"/>
        <v>4.5</v>
      </c>
      <c r="H86" s="8">
        <f t="shared" si="15"/>
        <v>0.22500000000000001</v>
      </c>
      <c r="I86" s="35">
        <f t="shared" si="13"/>
        <v>37.799999999999997</v>
      </c>
      <c r="K86" s="18"/>
      <c r="L86" s="18"/>
      <c r="M86" s="18"/>
      <c r="N86" s="18"/>
    </row>
    <row r="87" spans="1:14" s="21" customFormat="1" ht="14.4">
      <c r="A87" s="43">
        <v>1</v>
      </c>
      <c r="B87" s="27"/>
      <c r="C87" s="60">
        <f t="shared" si="14"/>
        <v>8</v>
      </c>
      <c r="D87" s="7" t="s">
        <v>769</v>
      </c>
      <c r="E87" s="8">
        <v>95</v>
      </c>
      <c r="F87" s="9">
        <v>4</v>
      </c>
      <c r="G87" s="8">
        <f t="shared" si="12"/>
        <v>23.75</v>
      </c>
      <c r="H87" s="8">
        <f t="shared" si="15"/>
        <v>1.1875</v>
      </c>
      <c r="I87" s="35">
        <f t="shared" si="13"/>
        <v>199.5</v>
      </c>
      <c r="K87" s="18"/>
      <c r="L87" s="18"/>
      <c r="M87" s="18"/>
      <c r="N87" s="18"/>
    </row>
    <row r="88" spans="1:14" s="21" customFormat="1" ht="14.4">
      <c r="A88" s="43">
        <v>2</v>
      </c>
      <c r="B88" s="27"/>
      <c r="C88" s="60">
        <f t="shared" si="14"/>
        <v>16</v>
      </c>
      <c r="D88" s="7" t="s">
        <v>770</v>
      </c>
      <c r="E88" s="8">
        <v>8.7100000000000009</v>
      </c>
      <c r="F88" s="9">
        <v>4</v>
      </c>
      <c r="G88" s="8">
        <f t="shared" si="12"/>
        <v>2.1775000000000002</v>
      </c>
      <c r="H88" s="8">
        <f t="shared" si="15"/>
        <v>0.10887500000000001</v>
      </c>
      <c r="I88" s="35">
        <f t="shared" si="13"/>
        <v>36.582000000000001</v>
      </c>
      <c r="K88" s="18"/>
      <c r="L88" s="18"/>
      <c r="M88" s="18"/>
      <c r="N88" s="18"/>
    </row>
    <row r="89" spans="1:14" s="21" customFormat="1" ht="14.4">
      <c r="A89" s="43">
        <v>1</v>
      </c>
      <c r="B89" s="27"/>
      <c r="C89" s="60">
        <f t="shared" si="14"/>
        <v>8</v>
      </c>
      <c r="D89" s="7" t="s">
        <v>771</v>
      </c>
      <c r="E89" s="8">
        <v>9</v>
      </c>
      <c r="F89" s="9">
        <v>4</v>
      </c>
      <c r="G89" s="8">
        <f t="shared" si="12"/>
        <v>2.25</v>
      </c>
      <c r="H89" s="8">
        <f t="shared" si="15"/>
        <v>0.1125</v>
      </c>
      <c r="I89" s="35">
        <f t="shared" si="13"/>
        <v>18.899999999999999</v>
      </c>
      <c r="K89" s="18"/>
      <c r="L89" s="18"/>
      <c r="M89" s="18"/>
      <c r="N89" s="18"/>
    </row>
    <row r="90" spans="1:14" s="20" customFormat="1" ht="15" customHeight="1">
      <c r="B90" s="26"/>
      <c r="C90" s="309"/>
      <c r="D90" s="310"/>
      <c r="E90" s="310"/>
      <c r="F90" s="311"/>
      <c r="G90" s="312" t="s">
        <v>56</v>
      </c>
      <c r="H90" s="312"/>
      <c r="I90" s="314">
        <f>SUM(I4:I89)</f>
        <v>13248.437999999996</v>
      </c>
      <c r="K90"/>
      <c r="L90"/>
      <c r="M90"/>
      <c r="N90"/>
    </row>
  </sheetData>
  <mergeCells count="1">
    <mergeCell ref="C1:I1"/>
  </mergeCells>
  <pageMargins left="0.70866141732283505" right="0.70866141732283505" top="0.74803149606299202" bottom="0.74803149606299202" header="0.31496062992126" footer="0.31496062992126"/>
  <pageSetup paperSize="9" scale="85" orientation="portrait"/>
  <rowBreaks count="1" manualBreakCount="1">
    <brk id="49" max="8" man="1"/>
  </rowBreaks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G565"/>
  <sheetViews>
    <sheetView showGridLines="0" workbookViewId="0">
      <selection activeCell="N11" sqref="N11:Q11"/>
    </sheetView>
  </sheetViews>
  <sheetFormatPr baseColWidth="10" defaultColWidth="11.44140625" defaultRowHeight="14.4"/>
  <cols>
    <col min="1" max="1" width="11" style="266" customWidth="1"/>
    <col min="2" max="10" width="3.33203125" style="51" customWidth="1"/>
    <col min="11" max="11" width="14.109375" style="51" customWidth="1"/>
    <col min="12" max="16" width="3.33203125" style="51" customWidth="1"/>
    <col min="17" max="17" width="11.33203125" style="51" customWidth="1"/>
    <col min="18" max="31" width="3.33203125" style="51" customWidth="1"/>
    <col min="32" max="16384" width="11.44140625" style="51"/>
  </cols>
  <sheetData>
    <row r="1" spans="1:29" ht="15" customHeight="1">
      <c r="B1" s="451" t="s">
        <v>0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  <c r="AA1" s="452"/>
      <c r="AB1" s="452"/>
      <c r="AC1" s="453"/>
    </row>
    <row r="2" spans="1:29" ht="3.75" customHeight="1">
      <c r="B2" s="267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271"/>
    </row>
    <row r="3" spans="1:29" ht="15" customHeight="1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454" t="s">
        <v>1</v>
      </c>
      <c r="O3" s="454"/>
      <c r="P3" s="454"/>
      <c r="Q3" s="454"/>
      <c r="R3" s="454" t="s">
        <v>2</v>
      </c>
      <c r="S3" s="454"/>
      <c r="T3" s="454"/>
      <c r="U3" s="454"/>
      <c r="V3" s="454" t="s">
        <v>3</v>
      </c>
      <c r="W3" s="454"/>
      <c r="X3" s="454"/>
      <c r="Y3" s="454"/>
      <c r="Z3" s="454" t="s">
        <v>4</v>
      </c>
      <c r="AA3" s="454"/>
      <c r="AB3" s="454"/>
      <c r="AC3" s="455"/>
    </row>
    <row r="4" spans="1:29" ht="15" customHeight="1">
      <c r="A4" s="268" t="s">
        <v>5</v>
      </c>
      <c r="B4" s="456" t="s">
        <v>6</v>
      </c>
      <c r="C4" s="457"/>
      <c r="D4" s="457"/>
      <c r="E4" s="457"/>
      <c r="F4" s="457"/>
      <c r="G4" s="457"/>
      <c r="H4" s="457"/>
      <c r="I4" s="457"/>
      <c r="J4" s="457"/>
      <c r="K4" s="457"/>
      <c r="L4" s="458"/>
      <c r="M4" s="459"/>
      <c r="N4" s="460">
        <f>CanonAnual!O14</f>
        <v>3799851.1274640877</v>
      </c>
      <c r="O4" s="461"/>
      <c r="P4" s="461"/>
      <c r="Q4" s="462"/>
      <c r="R4" s="463">
        <f>N4</f>
        <v>3799851.1274640877</v>
      </c>
      <c r="S4" s="464"/>
      <c r="T4" s="464"/>
      <c r="U4" s="465"/>
      <c r="V4" s="463">
        <f>N4</f>
        <v>3799851.1274640877</v>
      </c>
      <c r="W4" s="464"/>
      <c r="X4" s="464"/>
      <c r="Y4" s="465"/>
      <c r="Z4" s="463">
        <f>N4</f>
        <v>3799851.1274640877</v>
      </c>
      <c r="AA4" s="464"/>
      <c r="AB4" s="464"/>
      <c r="AC4" s="466"/>
    </row>
    <row r="5" spans="1:29" ht="15" customHeight="1">
      <c r="A5" s="268" t="s">
        <v>7</v>
      </c>
      <c r="B5" s="467" t="s">
        <v>8</v>
      </c>
      <c r="C5" s="468"/>
      <c r="D5" s="468"/>
      <c r="E5" s="468"/>
      <c r="F5" s="468"/>
      <c r="G5" s="468"/>
      <c r="H5" s="468"/>
      <c r="I5" s="468"/>
      <c r="J5" s="468"/>
      <c r="K5" s="468"/>
      <c r="L5" s="469"/>
      <c r="M5" s="470"/>
      <c r="N5" s="471">
        <f>CanonAnual!O16</f>
        <v>949962.78186602157</v>
      </c>
      <c r="O5" s="472"/>
      <c r="P5" s="472"/>
      <c r="Q5" s="473"/>
      <c r="R5" s="474">
        <f t="shared" ref="R5:R11" si="0">N5</f>
        <v>949962.78186602157</v>
      </c>
      <c r="S5" s="475"/>
      <c r="T5" s="475"/>
      <c r="U5" s="476"/>
      <c r="V5" s="474">
        <f t="shared" ref="V5:V11" si="1">N5</f>
        <v>949962.78186602157</v>
      </c>
      <c r="W5" s="475"/>
      <c r="X5" s="475"/>
      <c r="Y5" s="476"/>
      <c r="Z5" s="474">
        <f t="shared" ref="Z5:Z11" si="2">N5</f>
        <v>949962.78186602157</v>
      </c>
      <c r="AA5" s="475"/>
      <c r="AB5" s="475"/>
      <c r="AC5" s="477"/>
    </row>
    <row r="6" spans="1:29" ht="15" customHeight="1">
      <c r="A6" s="268" t="s">
        <v>9</v>
      </c>
      <c r="B6" s="478" t="s">
        <v>10</v>
      </c>
      <c r="C6" s="479"/>
      <c r="D6" s="479"/>
      <c r="E6" s="479"/>
      <c r="F6" s="479"/>
      <c r="G6" s="479"/>
      <c r="H6" s="479"/>
      <c r="I6" s="479"/>
      <c r="J6" s="479"/>
      <c r="K6" s="479"/>
      <c r="L6" s="470"/>
      <c r="M6" s="470"/>
      <c r="N6" s="471">
        <f>CanonAnual!L10</f>
        <v>3991440.2599412687</v>
      </c>
      <c r="O6" s="472"/>
      <c r="P6" s="472"/>
      <c r="Q6" s="473"/>
      <c r="R6" s="474">
        <f t="shared" si="0"/>
        <v>3991440.2599412687</v>
      </c>
      <c r="S6" s="475"/>
      <c r="T6" s="475"/>
      <c r="U6" s="476"/>
      <c r="V6" s="474">
        <f t="shared" si="1"/>
        <v>3991440.2599412687</v>
      </c>
      <c r="W6" s="475"/>
      <c r="X6" s="475"/>
      <c r="Y6" s="476"/>
      <c r="Z6" s="474">
        <f t="shared" si="2"/>
        <v>3991440.2599412687</v>
      </c>
      <c r="AA6" s="475"/>
      <c r="AB6" s="475"/>
      <c r="AC6" s="477"/>
    </row>
    <row r="7" spans="1:29" ht="15" customHeight="1">
      <c r="A7" s="268" t="s">
        <v>11</v>
      </c>
      <c r="B7" s="467" t="s">
        <v>12</v>
      </c>
      <c r="C7" s="468"/>
      <c r="D7" s="468"/>
      <c r="E7" s="468"/>
      <c r="F7" s="468"/>
      <c r="G7" s="468"/>
      <c r="H7" s="468"/>
      <c r="I7" s="468"/>
      <c r="J7" s="468"/>
      <c r="K7" s="468"/>
      <c r="L7" s="469">
        <v>0.13</v>
      </c>
      <c r="M7" s="470"/>
      <c r="N7" s="471">
        <f>CanonAnual!O11</f>
        <v>518887.23379236495</v>
      </c>
      <c r="O7" s="472"/>
      <c r="P7" s="472"/>
      <c r="Q7" s="473"/>
      <c r="R7" s="474">
        <f t="shared" si="0"/>
        <v>518887.23379236495</v>
      </c>
      <c r="S7" s="475"/>
      <c r="T7" s="475"/>
      <c r="U7" s="476"/>
      <c r="V7" s="474">
        <f t="shared" si="1"/>
        <v>518887.23379236495</v>
      </c>
      <c r="W7" s="475"/>
      <c r="X7" s="475"/>
      <c r="Y7" s="476"/>
      <c r="Z7" s="474">
        <f t="shared" si="2"/>
        <v>518887.23379236495</v>
      </c>
      <c r="AA7" s="475"/>
      <c r="AB7" s="475"/>
      <c r="AC7" s="477"/>
    </row>
    <row r="8" spans="1:29" ht="15" customHeight="1">
      <c r="A8" s="268" t="s">
        <v>13</v>
      </c>
      <c r="B8" s="467" t="s">
        <v>14</v>
      </c>
      <c r="C8" s="468"/>
      <c r="D8" s="468"/>
      <c r="E8" s="468"/>
      <c r="F8" s="468"/>
      <c r="G8" s="468"/>
      <c r="H8" s="468"/>
      <c r="I8" s="468"/>
      <c r="J8" s="468"/>
      <c r="K8" s="468"/>
      <c r="L8" s="469">
        <v>0.06</v>
      </c>
      <c r="M8" s="470"/>
      <c r="N8" s="471">
        <f>CanonAnual!O12</f>
        <v>239486.41559647612</v>
      </c>
      <c r="O8" s="472"/>
      <c r="P8" s="472"/>
      <c r="Q8" s="473"/>
      <c r="R8" s="474">
        <f t="shared" si="0"/>
        <v>239486.41559647612</v>
      </c>
      <c r="S8" s="475"/>
      <c r="T8" s="475"/>
      <c r="U8" s="476"/>
      <c r="V8" s="474">
        <f t="shared" si="1"/>
        <v>239486.41559647612</v>
      </c>
      <c r="W8" s="475"/>
      <c r="X8" s="475"/>
      <c r="Y8" s="476"/>
      <c r="Z8" s="474">
        <f t="shared" si="2"/>
        <v>239486.41559647612</v>
      </c>
      <c r="AA8" s="475"/>
      <c r="AB8" s="475"/>
      <c r="AC8" s="477"/>
    </row>
    <row r="9" spans="1:29" ht="15" customHeight="1">
      <c r="A9" s="268" t="s">
        <v>15</v>
      </c>
      <c r="B9" s="478" t="s">
        <v>16</v>
      </c>
      <c r="C9" s="479"/>
      <c r="D9" s="479"/>
      <c r="E9" s="479"/>
      <c r="F9" s="479"/>
      <c r="G9" s="479"/>
      <c r="H9" s="479"/>
      <c r="I9" s="479"/>
      <c r="J9" s="479"/>
      <c r="K9" s="479"/>
      <c r="L9" s="470"/>
      <c r="M9" s="470"/>
      <c r="N9" s="471">
        <f>CanonAnual!L13</f>
        <v>4749813.9093301091</v>
      </c>
      <c r="O9" s="472"/>
      <c r="P9" s="472"/>
      <c r="Q9" s="473"/>
      <c r="R9" s="474">
        <f t="shared" si="0"/>
        <v>4749813.9093301091</v>
      </c>
      <c r="S9" s="475"/>
      <c r="T9" s="475"/>
      <c r="U9" s="476"/>
      <c r="V9" s="474">
        <f t="shared" si="1"/>
        <v>4749813.9093301091</v>
      </c>
      <c r="W9" s="475"/>
      <c r="X9" s="475"/>
      <c r="Y9" s="476"/>
      <c r="Z9" s="474">
        <f t="shared" si="2"/>
        <v>4749813.9093301091</v>
      </c>
      <c r="AA9" s="475"/>
      <c r="AB9" s="475"/>
      <c r="AC9" s="477"/>
    </row>
    <row r="10" spans="1:29" ht="15" customHeight="1">
      <c r="A10" s="268" t="s">
        <v>17</v>
      </c>
      <c r="B10" s="467" t="s">
        <v>18</v>
      </c>
      <c r="C10" s="468"/>
      <c r="D10" s="468"/>
      <c r="E10" s="468"/>
      <c r="F10" s="468"/>
      <c r="G10" s="468"/>
      <c r="H10" s="468"/>
      <c r="I10" s="468"/>
      <c r="J10" s="468"/>
      <c r="K10" s="468"/>
      <c r="L10" s="469">
        <v>0.21</v>
      </c>
      <c r="M10" s="470"/>
      <c r="N10" s="471">
        <f>CanonAnual!O15</f>
        <v>797968.73676745838</v>
      </c>
      <c r="O10" s="472"/>
      <c r="P10" s="472"/>
      <c r="Q10" s="473"/>
      <c r="R10" s="474">
        <f t="shared" si="0"/>
        <v>797968.73676745838</v>
      </c>
      <c r="S10" s="475"/>
      <c r="T10" s="475"/>
      <c r="U10" s="476"/>
      <c r="V10" s="474">
        <f t="shared" si="1"/>
        <v>797968.73676745838</v>
      </c>
      <c r="W10" s="475"/>
      <c r="X10" s="475"/>
      <c r="Y10" s="476"/>
      <c r="Z10" s="474">
        <f t="shared" si="2"/>
        <v>797968.73676745838</v>
      </c>
      <c r="AA10" s="475"/>
      <c r="AB10" s="475"/>
      <c r="AC10" s="477"/>
    </row>
    <row r="11" spans="1:29" ht="15" customHeight="1">
      <c r="A11" s="268" t="s">
        <v>19</v>
      </c>
      <c r="B11" s="467" t="s">
        <v>20</v>
      </c>
      <c r="C11" s="468"/>
      <c r="D11" s="468"/>
      <c r="E11" s="468"/>
      <c r="F11" s="468"/>
      <c r="G11" s="468"/>
      <c r="H11" s="468"/>
      <c r="I11" s="468"/>
      <c r="J11" s="468"/>
      <c r="K11" s="468"/>
      <c r="L11" s="469">
        <v>0.1</v>
      </c>
      <c r="M11" s="470"/>
      <c r="N11" s="471">
        <f>CanonAnual!O17</f>
        <v>94996.278186602169</v>
      </c>
      <c r="O11" s="472"/>
      <c r="P11" s="472"/>
      <c r="Q11" s="473"/>
      <c r="R11" s="474">
        <f t="shared" si="0"/>
        <v>94996.278186602169</v>
      </c>
      <c r="S11" s="475"/>
      <c r="T11" s="475"/>
      <c r="U11" s="476"/>
      <c r="V11" s="474">
        <f t="shared" si="1"/>
        <v>94996.278186602169</v>
      </c>
      <c r="W11" s="475"/>
      <c r="X11" s="475"/>
      <c r="Y11" s="476"/>
      <c r="Z11" s="474">
        <f t="shared" si="2"/>
        <v>94996.278186602169</v>
      </c>
      <c r="AA11" s="475"/>
      <c r="AB11" s="475"/>
      <c r="AC11" s="477"/>
    </row>
    <row r="12" spans="1:29" ht="15" customHeight="1">
      <c r="A12" s="268" t="s">
        <v>21</v>
      </c>
      <c r="B12" s="480" t="s">
        <v>22</v>
      </c>
      <c r="C12" s="481"/>
      <c r="D12" s="481"/>
      <c r="E12" s="481"/>
      <c r="F12" s="481"/>
      <c r="G12" s="481"/>
      <c r="H12" s="481"/>
      <c r="I12" s="481"/>
      <c r="J12" s="481"/>
      <c r="K12" s="481"/>
      <c r="L12" s="482"/>
      <c r="M12" s="483"/>
      <c r="N12" s="484">
        <f>CanonAnual!O18</f>
        <v>5642778.9242841704</v>
      </c>
      <c r="O12" s="485"/>
      <c r="P12" s="485"/>
      <c r="Q12" s="486"/>
      <c r="R12" s="487">
        <f t="shared" ref="R12:R17" si="3">N12</f>
        <v>5642778.9242841704</v>
      </c>
      <c r="S12" s="488"/>
      <c r="T12" s="488"/>
      <c r="U12" s="489"/>
      <c r="V12" s="487">
        <f t="shared" ref="V12:V17" si="4">N12</f>
        <v>5642778.9242841704</v>
      </c>
      <c r="W12" s="488"/>
      <c r="X12" s="488"/>
      <c r="Y12" s="489"/>
      <c r="Z12" s="487">
        <f t="shared" ref="Z12:Z17" si="5">N12</f>
        <v>5642778.9242841704</v>
      </c>
      <c r="AA12" s="488"/>
      <c r="AB12" s="488"/>
      <c r="AC12" s="490"/>
    </row>
    <row r="13" spans="1:29" ht="15" customHeight="1">
      <c r="A13" s="268" t="s">
        <v>23</v>
      </c>
      <c r="B13" s="456" t="s">
        <v>24</v>
      </c>
      <c r="C13" s="457"/>
      <c r="D13" s="457"/>
      <c r="E13" s="457"/>
      <c r="F13" s="457"/>
      <c r="G13" s="457"/>
      <c r="H13" s="457"/>
      <c r="I13" s="457"/>
      <c r="J13" s="457"/>
      <c r="K13" s="457"/>
      <c r="L13" s="458"/>
      <c r="M13" s="459"/>
      <c r="N13" s="460">
        <f>'Trabajos Medición-Suministro'!P39</f>
        <v>68185.572</v>
      </c>
      <c r="O13" s="461"/>
      <c r="P13" s="461"/>
      <c r="Q13" s="462"/>
      <c r="R13" s="463">
        <f t="shared" si="3"/>
        <v>68185.572</v>
      </c>
      <c r="S13" s="464"/>
      <c r="T13" s="464"/>
      <c r="U13" s="465"/>
      <c r="V13" s="463">
        <f t="shared" si="4"/>
        <v>68185.572</v>
      </c>
      <c r="W13" s="464"/>
      <c r="X13" s="464"/>
      <c r="Y13" s="465"/>
      <c r="Z13" s="463">
        <f t="shared" si="5"/>
        <v>68185.572</v>
      </c>
      <c r="AA13" s="464"/>
      <c r="AB13" s="464"/>
      <c r="AC13" s="466"/>
    </row>
    <row r="14" spans="1:29" ht="15" customHeight="1">
      <c r="A14" s="268" t="s">
        <v>25</v>
      </c>
      <c r="B14" s="467" t="s">
        <v>26</v>
      </c>
      <c r="C14" s="468"/>
      <c r="D14" s="468"/>
      <c r="E14" s="468"/>
      <c r="F14" s="468"/>
      <c r="G14" s="468"/>
      <c r="H14" s="468"/>
      <c r="I14" s="468"/>
      <c r="J14" s="468"/>
      <c r="K14" s="468"/>
      <c r="L14" s="469"/>
      <c r="M14" s="470"/>
      <c r="N14" s="471">
        <f>'Trabajos Medición-Suministro'!P40</f>
        <v>14318.97012</v>
      </c>
      <c r="O14" s="472"/>
      <c r="P14" s="472"/>
      <c r="Q14" s="473"/>
      <c r="R14" s="474">
        <f t="shared" si="3"/>
        <v>14318.97012</v>
      </c>
      <c r="S14" s="475"/>
      <c r="T14" s="475"/>
      <c r="U14" s="476"/>
      <c r="V14" s="474">
        <f t="shared" si="4"/>
        <v>14318.97012</v>
      </c>
      <c r="W14" s="475"/>
      <c r="X14" s="475"/>
      <c r="Y14" s="476"/>
      <c r="Z14" s="474">
        <f t="shared" si="5"/>
        <v>14318.97012</v>
      </c>
      <c r="AA14" s="475"/>
      <c r="AB14" s="475"/>
      <c r="AC14" s="477"/>
    </row>
    <row r="15" spans="1:29" ht="15" customHeight="1">
      <c r="A15" s="268" t="s">
        <v>27</v>
      </c>
      <c r="B15" s="480" t="s">
        <v>28</v>
      </c>
      <c r="C15" s="481"/>
      <c r="D15" s="481"/>
      <c r="E15" s="481"/>
      <c r="F15" s="481"/>
      <c r="G15" s="481"/>
      <c r="H15" s="481"/>
      <c r="I15" s="481"/>
      <c r="J15" s="481"/>
      <c r="K15" s="481"/>
      <c r="L15" s="482"/>
      <c r="M15" s="483"/>
      <c r="N15" s="484">
        <f>'Trabajos Medición-Suministro'!P41</f>
        <v>82504.542119999998</v>
      </c>
      <c r="O15" s="485"/>
      <c r="P15" s="485"/>
      <c r="Q15" s="486"/>
      <c r="R15" s="487">
        <f t="shared" si="3"/>
        <v>82504.542119999998</v>
      </c>
      <c r="S15" s="488"/>
      <c r="T15" s="488"/>
      <c r="U15" s="489"/>
      <c r="V15" s="487">
        <f t="shared" si="4"/>
        <v>82504.542119999998</v>
      </c>
      <c r="W15" s="488"/>
      <c r="X15" s="488"/>
      <c r="Y15" s="489"/>
      <c r="Z15" s="487">
        <f t="shared" si="5"/>
        <v>82504.542119999998</v>
      </c>
      <c r="AA15" s="488"/>
      <c r="AB15" s="488"/>
      <c r="AC15" s="490"/>
    </row>
    <row r="16" spans="1:29" ht="15" customHeight="1">
      <c r="A16" s="268" t="s">
        <v>29</v>
      </c>
      <c r="B16" s="491" t="s">
        <v>30</v>
      </c>
      <c r="C16" s="492"/>
      <c r="D16" s="492"/>
      <c r="E16" s="492"/>
      <c r="F16" s="492"/>
      <c r="G16" s="492"/>
      <c r="H16" s="492"/>
      <c r="I16" s="492"/>
      <c r="J16" s="492"/>
      <c r="K16" s="492"/>
      <c r="L16" s="493"/>
      <c r="M16" s="494"/>
      <c r="N16" s="495">
        <f>N9+N13</f>
        <v>4817999.4813301088</v>
      </c>
      <c r="O16" s="496"/>
      <c r="P16" s="496"/>
      <c r="Q16" s="497"/>
      <c r="R16" s="498">
        <f t="shared" si="3"/>
        <v>4817999.4813301088</v>
      </c>
      <c r="S16" s="499"/>
      <c r="T16" s="499"/>
      <c r="U16" s="500"/>
      <c r="V16" s="498">
        <f t="shared" si="4"/>
        <v>4817999.4813301088</v>
      </c>
      <c r="W16" s="499"/>
      <c r="X16" s="499"/>
      <c r="Y16" s="500"/>
      <c r="Z16" s="498">
        <f t="shared" si="5"/>
        <v>4817999.4813301088</v>
      </c>
      <c r="AA16" s="499"/>
      <c r="AB16" s="499"/>
      <c r="AC16" s="501"/>
    </row>
    <row r="17" spans="1:33" ht="15" customHeight="1">
      <c r="A17" s="268" t="s">
        <v>31</v>
      </c>
      <c r="B17" s="478" t="s">
        <v>32</v>
      </c>
      <c r="C17" s="479"/>
      <c r="D17" s="479"/>
      <c r="E17" s="479"/>
      <c r="F17" s="479"/>
      <c r="G17" s="479"/>
      <c r="H17" s="479"/>
      <c r="I17" s="479"/>
      <c r="J17" s="479"/>
      <c r="K17" s="479"/>
      <c r="L17" s="469"/>
      <c r="M17" s="470"/>
      <c r="N17" s="502">
        <f>N12+N15</f>
        <v>5725283.4664041707</v>
      </c>
      <c r="O17" s="503"/>
      <c r="P17" s="503"/>
      <c r="Q17" s="504"/>
      <c r="R17" s="505">
        <f t="shared" si="3"/>
        <v>5725283.4664041707</v>
      </c>
      <c r="S17" s="506"/>
      <c r="T17" s="506"/>
      <c r="U17" s="507"/>
      <c r="V17" s="505">
        <f t="shared" si="4"/>
        <v>5725283.4664041707</v>
      </c>
      <c r="W17" s="506"/>
      <c r="X17" s="506"/>
      <c r="Y17" s="507"/>
      <c r="Z17" s="505">
        <f t="shared" si="5"/>
        <v>5725283.4664041707</v>
      </c>
      <c r="AA17" s="506"/>
      <c r="AB17" s="506"/>
      <c r="AC17" s="508"/>
    </row>
    <row r="18" spans="1:33" ht="15" customHeight="1">
      <c r="A18" s="268" t="s">
        <v>33</v>
      </c>
      <c r="B18" s="509" t="s">
        <v>34</v>
      </c>
      <c r="C18" s="510"/>
      <c r="D18" s="510"/>
      <c r="E18" s="510"/>
      <c r="F18" s="510"/>
      <c r="G18" s="510"/>
      <c r="H18" s="510"/>
      <c r="I18" s="510"/>
      <c r="J18" s="510"/>
      <c r="K18" s="510"/>
      <c r="L18" s="511">
        <f>N16+R16+V16+Z16</f>
        <v>19271997.925320435</v>
      </c>
      <c r="M18" s="512"/>
      <c r="N18" s="512"/>
      <c r="O18" s="512"/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2"/>
      <c r="AB18" s="512"/>
      <c r="AC18" s="513"/>
    </row>
    <row r="19" spans="1:33" ht="15" customHeight="1">
      <c r="A19" s="268" t="s">
        <v>35</v>
      </c>
      <c r="B19" s="514" t="s">
        <v>36</v>
      </c>
      <c r="C19" s="515"/>
      <c r="D19" s="515"/>
      <c r="E19" s="515"/>
      <c r="F19" s="515"/>
      <c r="G19" s="515"/>
      <c r="H19" s="515"/>
      <c r="I19" s="515"/>
      <c r="J19" s="515"/>
      <c r="K19" s="515"/>
      <c r="L19" s="516">
        <f>N17+R17+V17+Z17</f>
        <v>22901133.865616683</v>
      </c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8"/>
    </row>
    <row r="20" spans="1:33" ht="15" customHeight="1">
      <c r="A20" s="268" t="s">
        <v>37</v>
      </c>
      <c r="B20" s="456" t="s">
        <v>38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8"/>
      <c r="M20" s="459"/>
      <c r="N20" s="519">
        <f>100%-N21</f>
        <v>0.84033613445378141</v>
      </c>
      <c r="O20" s="520"/>
      <c r="P20" s="520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20"/>
      <c r="AB20" s="520"/>
      <c r="AC20" s="521"/>
    </row>
    <row r="21" spans="1:33" ht="15" customHeight="1">
      <c r="A21" s="268" t="s">
        <v>37</v>
      </c>
      <c r="B21" s="522" t="s">
        <v>39</v>
      </c>
      <c r="C21" s="523"/>
      <c r="D21" s="523"/>
      <c r="E21" s="523"/>
      <c r="F21" s="523"/>
      <c r="G21" s="523"/>
      <c r="H21" s="523"/>
      <c r="I21" s="523"/>
      <c r="J21" s="523"/>
      <c r="K21" s="523"/>
      <c r="L21" s="524"/>
      <c r="M21" s="525"/>
      <c r="N21" s="526">
        <f>(SUM(N7:AC8)+4*('Trabajos Medición-Suministro'!P37+'Trabajos Medición-Suministro'!P38))/L18</f>
        <v>0.15966386554621856</v>
      </c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8"/>
    </row>
    <row r="22" spans="1:33" ht="6.75" customHeight="1">
      <c r="B22" s="529"/>
      <c r="C22" s="530"/>
      <c r="D22" s="530"/>
      <c r="E22" s="530"/>
      <c r="F22" s="530"/>
      <c r="G22" s="530"/>
      <c r="H22" s="530"/>
      <c r="I22" s="530"/>
      <c r="J22" s="530"/>
      <c r="K22" s="530"/>
      <c r="L22" s="531"/>
      <c r="M22" s="532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271"/>
    </row>
    <row r="23" spans="1:33" s="265" customFormat="1" ht="15" customHeight="1">
      <c r="A23" s="269"/>
      <c r="B23" s="277" t="s">
        <v>40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9"/>
    </row>
    <row r="24" spans="1:33" ht="15" customHeight="1">
      <c r="A24" s="268" t="s">
        <v>33</v>
      </c>
      <c r="B24" s="478" t="s">
        <v>41</v>
      </c>
      <c r="C24" s="479"/>
      <c r="D24" s="479"/>
      <c r="E24" s="479"/>
      <c r="F24" s="479"/>
      <c r="G24" s="479"/>
      <c r="H24" s="479"/>
      <c r="I24" s="479"/>
      <c r="J24" s="479"/>
      <c r="K24" s="479"/>
      <c r="L24" s="469"/>
      <c r="M24" s="469"/>
      <c r="N24" s="469"/>
      <c r="O24" s="469"/>
      <c r="P24" s="469"/>
      <c r="Q24" s="469"/>
      <c r="R24" s="469"/>
      <c r="S24" s="469"/>
      <c r="T24" s="469"/>
      <c r="U24" s="469"/>
      <c r="V24" s="469"/>
      <c r="W24" s="469"/>
      <c r="X24" s="469"/>
      <c r="Y24" s="469"/>
      <c r="Z24" s="469"/>
      <c r="AA24" s="469"/>
      <c r="AB24" s="469"/>
      <c r="AC24" s="533"/>
    </row>
    <row r="25" spans="1:33" ht="15" customHeight="1">
      <c r="A25" s="540" t="s">
        <v>42</v>
      </c>
      <c r="B25" s="467" t="s">
        <v>43</v>
      </c>
      <c r="C25" s="468"/>
      <c r="D25" s="468"/>
      <c r="E25" s="468"/>
      <c r="F25" s="468"/>
      <c r="G25" s="468"/>
      <c r="H25" s="468"/>
      <c r="I25" s="468"/>
      <c r="J25" s="468"/>
      <c r="K25" s="468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533"/>
    </row>
    <row r="26" spans="1:33" ht="30.75" customHeight="1">
      <c r="A26" s="540"/>
      <c r="B26" s="270"/>
      <c r="C26" s="541" t="s">
        <v>44</v>
      </c>
      <c r="D26" s="541"/>
      <c r="E26" s="541"/>
      <c r="F26" s="541"/>
      <c r="G26" s="541"/>
      <c r="H26" s="541"/>
      <c r="I26" s="541"/>
      <c r="J26" s="541"/>
      <c r="K26" s="541"/>
      <c r="L26" s="542">
        <f>N9*AF26</f>
        <v>4830560.7457887204</v>
      </c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3"/>
      <c r="Y26" s="543"/>
      <c r="Z26" s="543"/>
      <c r="AA26" s="543"/>
      <c r="AB26" s="543"/>
      <c r="AC26" s="544"/>
      <c r="AD26" s="13"/>
      <c r="AE26" s="13"/>
      <c r="AF26" s="272">
        <v>1.0169999999999999</v>
      </c>
      <c r="AG26" s="13" t="s">
        <v>45</v>
      </c>
    </row>
    <row r="27" spans="1:33" ht="15" customHeight="1">
      <c r="A27" s="540"/>
      <c r="B27" s="270"/>
      <c r="C27" s="468" t="s">
        <v>46</v>
      </c>
      <c r="D27" s="468"/>
      <c r="E27" s="468"/>
      <c r="F27" s="468"/>
      <c r="G27" s="468"/>
      <c r="H27" s="468"/>
      <c r="I27" s="468"/>
      <c r="J27" s="468"/>
      <c r="K27" s="468"/>
      <c r="L27" s="542">
        <f>N13*AF26</f>
        <v>69344.726723999993</v>
      </c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4"/>
      <c r="AD27" s="13"/>
      <c r="AE27" s="13"/>
      <c r="AF27" s="16"/>
      <c r="AG27" s="13"/>
    </row>
    <row r="28" spans="1:33" ht="31.5" customHeight="1">
      <c r="A28" s="540"/>
      <c r="B28" s="270"/>
      <c r="C28" s="541" t="s">
        <v>47</v>
      </c>
      <c r="D28" s="541"/>
      <c r="E28" s="541"/>
      <c r="F28" s="541"/>
      <c r="G28" s="541"/>
      <c r="H28" s="541"/>
      <c r="I28" s="541"/>
      <c r="J28" s="541"/>
      <c r="K28" s="541"/>
      <c r="L28" s="542">
        <f>N9*AF28</f>
        <v>4806811.6762420703</v>
      </c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4"/>
      <c r="AD28" s="13"/>
      <c r="AE28" s="13"/>
      <c r="AF28" s="272">
        <v>1.012</v>
      </c>
      <c r="AG28" s="13" t="s">
        <v>48</v>
      </c>
    </row>
    <row r="29" spans="1:33" ht="15" customHeight="1">
      <c r="A29" s="540"/>
      <c r="B29" s="270"/>
      <c r="C29" s="468" t="s">
        <v>49</v>
      </c>
      <c r="D29" s="468"/>
      <c r="E29" s="468"/>
      <c r="F29" s="468"/>
      <c r="G29" s="468"/>
      <c r="H29" s="468"/>
      <c r="I29" s="468"/>
      <c r="J29" s="468"/>
      <c r="K29" s="468"/>
      <c r="L29" s="542">
        <f>N13*AF28</f>
        <v>69003.798863999997</v>
      </c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/>
      <c r="AC29" s="544"/>
      <c r="AD29" s="13"/>
      <c r="AE29" s="13"/>
      <c r="AF29" s="16"/>
      <c r="AG29" s="13"/>
    </row>
    <row r="30" spans="1:33" ht="15" customHeight="1">
      <c r="A30" s="268" t="s">
        <v>50</v>
      </c>
      <c r="B30" s="270" t="s">
        <v>51</v>
      </c>
      <c r="C30" s="94"/>
      <c r="D30" s="94"/>
      <c r="E30" s="94"/>
      <c r="F30" s="94"/>
      <c r="G30" s="94"/>
      <c r="H30" s="94"/>
      <c r="I30" s="94"/>
      <c r="J30" s="94"/>
      <c r="K30" s="94"/>
      <c r="L30" s="534">
        <f>L18*AF30</f>
        <v>2312639.7510384521</v>
      </c>
      <c r="M30" s="535"/>
      <c r="N30" s="535"/>
      <c r="O30" s="535"/>
      <c r="P30" s="535"/>
      <c r="Q30" s="535"/>
      <c r="R30" s="535"/>
      <c r="S30" s="535"/>
      <c r="T30" s="535"/>
      <c r="U30" s="535"/>
      <c r="V30" s="535"/>
      <c r="W30" s="535"/>
      <c r="X30" s="535"/>
      <c r="Y30" s="535"/>
      <c r="Z30" s="535"/>
      <c r="AA30" s="535"/>
      <c r="AB30" s="535"/>
      <c r="AC30" s="536"/>
      <c r="AD30" s="13"/>
      <c r="AE30" s="13"/>
      <c r="AF30" s="273">
        <v>0.12</v>
      </c>
      <c r="AG30" s="13" t="s">
        <v>52</v>
      </c>
    </row>
    <row r="31" spans="1:33" ht="6" customHeight="1">
      <c r="A31" s="268"/>
      <c r="B31" s="26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112"/>
    </row>
    <row r="32" spans="1:33" ht="15" customHeight="1">
      <c r="A32" s="268" t="s">
        <v>53</v>
      </c>
      <c r="B32" s="514" t="s">
        <v>54</v>
      </c>
      <c r="C32" s="515"/>
      <c r="D32" s="515"/>
      <c r="E32" s="515"/>
      <c r="F32" s="515"/>
      <c r="G32" s="515"/>
      <c r="H32" s="515"/>
      <c r="I32" s="515"/>
      <c r="J32" s="515"/>
      <c r="K32" s="515"/>
      <c r="L32" s="537">
        <f>L30+L29+L28+L27+L26+L18</f>
        <v>31360358.623977676</v>
      </c>
      <c r="M32" s="538"/>
      <c r="N32" s="538"/>
      <c r="O32" s="538"/>
      <c r="P32" s="538"/>
      <c r="Q32" s="538"/>
      <c r="R32" s="538"/>
      <c r="S32" s="538"/>
      <c r="T32" s="538"/>
      <c r="U32" s="538"/>
      <c r="V32" s="538"/>
      <c r="W32" s="538"/>
      <c r="X32" s="538"/>
      <c r="Y32" s="538"/>
      <c r="Z32" s="538"/>
      <c r="AA32" s="538"/>
      <c r="AB32" s="538"/>
      <c r="AC32" s="539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</sheetData>
  <mergeCells count="117">
    <mergeCell ref="L30:AC30"/>
    <mergeCell ref="B32:K32"/>
    <mergeCell ref="L32:AC32"/>
    <mergeCell ref="A25:A29"/>
    <mergeCell ref="B25:K25"/>
    <mergeCell ref="L25:AC25"/>
    <mergeCell ref="C26:K26"/>
    <mergeCell ref="L26:AC26"/>
    <mergeCell ref="C27:K27"/>
    <mergeCell ref="L27:AC27"/>
    <mergeCell ref="C28:K28"/>
    <mergeCell ref="L28:AC28"/>
    <mergeCell ref="C29:K29"/>
    <mergeCell ref="L29:AC29"/>
    <mergeCell ref="B20:K20"/>
    <mergeCell ref="L20:M20"/>
    <mergeCell ref="N20:AC20"/>
    <mergeCell ref="B21:K21"/>
    <mergeCell ref="L21:M21"/>
    <mergeCell ref="N21:AC21"/>
    <mergeCell ref="B22:K22"/>
    <mergeCell ref="L22:M22"/>
    <mergeCell ref="B24:K24"/>
    <mergeCell ref="L24:AC24"/>
    <mergeCell ref="B17:K17"/>
    <mergeCell ref="L17:M17"/>
    <mergeCell ref="N17:Q17"/>
    <mergeCell ref="R17:U17"/>
    <mergeCell ref="V17:Y17"/>
    <mergeCell ref="Z17:AC17"/>
    <mergeCell ref="B18:K18"/>
    <mergeCell ref="L18:AC18"/>
    <mergeCell ref="B19:K19"/>
    <mergeCell ref="L19:AC19"/>
    <mergeCell ref="B15:K15"/>
    <mergeCell ref="L15:M15"/>
    <mergeCell ref="N15:Q15"/>
    <mergeCell ref="R15:U15"/>
    <mergeCell ref="V15:Y15"/>
    <mergeCell ref="Z15:AC15"/>
    <mergeCell ref="B16:K16"/>
    <mergeCell ref="L16:M16"/>
    <mergeCell ref="N16:Q16"/>
    <mergeCell ref="R16:U16"/>
    <mergeCell ref="V16:Y16"/>
    <mergeCell ref="Z16:AC16"/>
    <mergeCell ref="B13:K13"/>
    <mergeCell ref="L13:M13"/>
    <mergeCell ref="N13:Q13"/>
    <mergeCell ref="R13:U13"/>
    <mergeCell ref="V13:Y13"/>
    <mergeCell ref="Z13:AC13"/>
    <mergeCell ref="B14:K14"/>
    <mergeCell ref="L14:M14"/>
    <mergeCell ref="N14:Q14"/>
    <mergeCell ref="R14:U14"/>
    <mergeCell ref="V14:Y14"/>
    <mergeCell ref="Z14:AC14"/>
    <mergeCell ref="B11:K11"/>
    <mergeCell ref="L11:M11"/>
    <mergeCell ref="N11:Q11"/>
    <mergeCell ref="R11:U11"/>
    <mergeCell ref="V11:Y11"/>
    <mergeCell ref="Z11:AC11"/>
    <mergeCell ref="B12:K12"/>
    <mergeCell ref="L12:M12"/>
    <mergeCell ref="N12:Q12"/>
    <mergeCell ref="R12:U12"/>
    <mergeCell ref="V12:Y12"/>
    <mergeCell ref="Z12:AC12"/>
    <mergeCell ref="B9:K9"/>
    <mergeCell ref="L9:M9"/>
    <mergeCell ref="N9:Q9"/>
    <mergeCell ref="R9:U9"/>
    <mergeCell ref="V9:Y9"/>
    <mergeCell ref="Z9:AC9"/>
    <mergeCell ref="B10:K10"/>
    <mergeCell ref="L10:M10"/>
    <mergeCell ref="N10:Q10"/>
    <mergeCell ref="R10:U10"/>
    <mergeCell ref="V10:Y10"/>
    <mergeCell ref="Z10:AC10"/>
    <mergeCell ref="B7:K7"/>
    <mergeCell ref="L7:M7"/>
    <mergeCell ref="N7:Q7"/>
    <mergeCell ref="R7:U7"/>
    <mergeCell ref="V7:Y7"/>
    <mergeCell ref="Z7:AC7"/>
    <mergeCell ref="B8:K8"/>
    <mergeCell ref="L8:M8"/>
    <mergeCell ref="N8:Q8"/>
    <mergeCell ref="R8:U8"/>
    <mergeCell ref="V8:Y8"/>
    <mergeCell ref="Z8:AC8"/>
    <mergeCell ref="B5:K5"/>
    <mergeCell ref="L5:M5"/>
    <mergeCell ref="N5:Q5"/>
    <mergeCell ref="R5:U5"/>
    <mergeCell ref="V5:Y5"/>
    <mergeCell ref="Z5:AC5"/>
    <mergeCell ref="B6:K6"/>
    <mergeCell ref="L6:M6"/>
    <mergeCell ref="N6:Q6"/>
    <mergeCell ref="R6:U6"/>
    <mergeCell ref="V6:Y6"/>
    <mergeCell ref="Z6:AC6"/>
    <mergeCell ref="B1:AC1"/>
    <mergeCell ref="N3:Q3"/>
    <mergeCell ref="R3:U3"/>
    <mergeCell ref="V3:Y3"/>
    <mergeCell ref="Z3:AC3"/>
    <mergeCell ref="B4:K4"/>
    <mergeCell ref="L4:M4"/>
    <mergeCell ref="N4:Q4"/>
    <mergeCell ref="R4:U4"/>
    <mergeCell ref="V4:Y4"/>
    <mergeCell ref="Z4:AC4"/>
  </mergeCells>
  <pageMargins left="0.511811023622047" right="0.511811023622047" top="0.55118110236220497" bottom="0.55118110236220497" header="0.31496062992126" footer="0.31496062992126"/>
  <pageSetup paperSize="9" scale="90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Q515"/>
  <sheetViews>
    <sheetView showGridLines="0" topLeftCell="E1" workbookViewId="0">
      <selection activeCell="H16" sqref="H16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454" t="s">
        <v>772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31" t="s">
        <v>107</v>
      </c>
      <c r="C3" s="632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587" t="s">
        <v>623</v>
      </c>
      <c r="O3" s="587"/>
      <c r="P3" s="587"/>
      <c r="Q3" s="588"/>
    </row>
    <row r="4" spans="2:17" ht="15" customHeight="1">
      <c r="B4" s="55" t="s">
        <v>773</v>
      </c>
      <c r="C4" s="468" t="s">
        <v>774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633">
        <f>D.1_2_Locales_Inst!G11</f>
        <v>89879.999999999985</v>
      </c>
      <c r="O4" s="633"/>
      <c r="P4" s="633"/>
      <c r="Q4" s="633"/>
    </row>
    <row r="5" spans="2:17" ht="15" customHeight="1">
      <c r="B5" s="55" t="s">
        <v>775</v>
      </c>
      <c r="C5" s="468" t="s">
        <v>776</v>
      </c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633">
        <f>D.1_2_Locales_Inst!$G$25</f>
        <v>59187.5</v>
      </c>
      <c r="O5" s="633"/>
      <c r="P5" s="633"/>
      <c r="Q5" s="633"/>
    </row>
    <row r="6" spans="2:17" ht="15" customHeight="1">
      <c r="B6" s="74" t="s">
        <v>777</v>
      </c>
      <c r="C6" s="74"/>
      <c r="D6" s="56"/>
      <c r="E6" s="57"/>
      <c r="F6" s="57"/>
      <c r="G6" s="57"/>
      <c r="H6" s="58"/>
      <c r="I6" s="58"/>
      <c r="J6" s="58"/>
      <c r="K6" s="58"/>
      <c r="L6" s="58"/>
      <c r="M6" s="58"/>
      <c r="N6" s="627">
        <f>N5+N4</f>
        <v>149067.5</v>
      </c>
      <c r="O6" s="627"/>
      <c r="P6" s="627"/>
      <c r="Q6" s="627"/>
    </row>
    <row r="7" spans="2:17" s="49" customFormat="1" ht="15" customHeight="1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2:17" s="49" customFormat="1" ht="1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2:17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49" customFormat="1" ht="15" customHeight="1">
      <c r="B10" s="50"/>
      <c r="C10" s="75" t="s">
        <v>318</v>
      </c>
      <c r="D10" s="76">
        <v>0.05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  <row r="512" spans="2:17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</row>
    <row r="513" spans="2:17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</row>
    <row r="514" spans="2:17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2:17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</row>
  </sheetData>
  <mergeCells count="8">
    <mergeCell ref="C5:M5"/>
    <mergeCell ref="N5:Q5"/>
    <mergeCell ref="N6:Q6"/>
    <mergeCell ref="B1:Q1"/>
    <mergeCell ref="B3:C3"/>
    <mergeCell ref="N3:Q3"/>
    <mergeCell ref="C4:M4"/>
    <mergeCell ref="N4:Q4"/>
  </mergeCells>
  <pageMargins left="0.511811023622047" right="0.511811023622047" top="0.55118110236220497" bottom="0.55118110236220497" header="0.31496062992126" footer="0.31496062992126"/>
  <pageSetup paperSize="9" scale="74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M516"/>
  <sheetViews>
    <sheetView showGridLines="0" zoomScale="80" zoomScaleNormal="80" workbookViewId="0">
      <selection activeCell="V39" sqref="V39"/>
    </sheetView>
  </sheetViews>
  <sheetFormatPr baseColWidth="10" defaultColWidth="11.44140625" defaultRowHeight="14.4"/>
  <cols>
    <col min="1" max="1" width="11.44140625" style="51"/>
    <col min="2" max="2" width="40.88671875" style="51" customWidth="1"/>
    <col min="3" max="6" width="11.44140625" style="51"/>
    <col min="7" max="7" width="12.5546875" style="51" customWidth="1"/>
    <col min="8" max="12" width="11.44140625" style="51"/>
    <col min="13" max="13" width="3.109375" style="49" customWidth="1"/>
    <col min="14" max="16" width="3.33203125" style="51" customWidth="1"/>
    <col min="17" max="16384" width="11.44140625" style="51"/>
  </cols>
  <sheetData>
    <row r="1" spans="1:7" ht="15" customHeight="1">
      <c r="A1" s="737" t="s">
        <v>778</v>
      </c>
      <c r="B1" s="738"/>
      <c r="C1" s="738"/>
      <c r="D1" s="738"/>
      <c r="E1" s="738"/>
      <c r="F1" s="738"/>
      <c r="G1" s="739"/>
    </row>
    <row r="2" spans="1:7" ht="43.2">
      <c r="A2" s="24" t="s">
        <v>632</v>
      </c>
      <c r="B2" s="6" t="s">
        <v>360</v>
      </c>
      <c r="C2" s="6" t="s">
        <v>779</v>
      </c>
      <c r="D2" s="6" t="s">
        <v>780</v>
      </c>
      <c r="E2" s="6" t="s">
        <v>781</v>
      </c>
      <c r="F2" s="6" t="s">
        <v>782</v>
      </c>
      <c r="G2" s="25" t="s">
        <v>637</v>
      </c>
    </row>
    <row r="3" spans="1:7" ht="15" customHeight="1">
      <c r="A3" s="316"/>
      <c r="B3" s="304"/>
      <c r="C3" s="304"/>
      <c r="D3" s="304"/>
      <c r="E3" s="304"/>
      <c r="F3" s="304"/>
      <c r="G3" s="318"/>
    </row>
    <row r="4" spans="1:7" ht="15" customHeight="1">
      <c r="A4" s="71">
        <v>1</v>
      </c>
      <c r="B4" s="7" t="s">
        <v>783</v>
      </c>
      <c r="C4" s="62">
        <v>1400</v>
      </c>
      <c r="D4" s="72">
        <v>5.35</v>
      </c>
      <c r="E4" s="8">
        <f>D4*C4</f>
        <v>7489.9999999999991</v>
      </c>
      <c r="F4" s="10">
        <v>12</v>
      </c>
      <c r="G4" s="35">
        <f>(F4*E4)*A4</f>
        <v>89879.999999999985</v>
      </c>
    </row>
    <row r="5" spans="1:7" ht="15" customHeight="1">
      <c r="A5" s="71">
        <v>0</v>
      </c>
      <c r="B5" s="7" t="s">
        <v>784</v>
      </c>
      <c r="C5" s="62">
        <v>80</v>
      </c>
      <c r="D5" s="72">
        <v>20</v>
      </c>
      <c r="E5" s="8">
        <f>D5*C5</f>
        <v>1600</v>
      </c>
      <c r="F5" s="10">
        <v>12</v>
      </c>
      <c r="G5" s="35">
        <f t="shared" ref="G5:G6" si="0">(F5*E5)*A5</f>
        <v>0</v>
      </c>
    </row>
    <row r="6" spans="1:7" s="49" customFormat="1" ht="15" customHeight="1">
      <c r="A6" s="71">
        <v>0</v>
      </c>
      <c r="B6" s="7" t="s">
        <v>785</v>
      </c>
      <c r="C6" s="62">
        <v>500</v>
      </c>
      <c r="D6" s="72">
        <v>4.8899999999999997</v>
      </c>
      <c r="E6" s="8">
        <f>D6*C6</f>
        <v>2445</v>
      </c>
      <c r="F6" s="10">
        <v>12</v>
      </c>
      <c r="G6" s="35">
        <f t="shared" si="0"/>
        <v>0</v>
      </c>
    </row>
    <row r="7" spans="1:7" s="49" customFormat="1" ht="15" customHeight="1">
      <c r="A7" s="60"/>
      <c r="B7" s="7"/>
      <c r="C7" s="8"/>
      <c r="D7" s="9"/>
      <c r="E7" s="8"/>
      <c r="F7" s="10"/>
      <c r="G7" s="35"/>
    </row>
    <row r="8" spans="1:7" s="49" customFormat="1" ht="15" customHeight="1">
      <c r="A8" s="60"/>
      <c r="B8" s="7"/>
      <c r="C8" s="8"/>
      <c r="D8" s="9"/>
      <c r="E8" s="8"/>
      <c r="F8" s="10"/>
      <c r="G8" s="35"/>
    </row>
    <row r="9" spans="1:7" s="49" customFormat="1" ht="15" customHeight="1">
      <c r="A9" s="60"/>
      <c r="B9" s="7"/>
      <c r="C9" s="8"/>
      <c r="D9" s="9"/>
      <c r="E9" s="8"/>
      <c r="F9" s="10"/>
      <c r="G9" s="35"/>
    </row>
    <row r="10" spans="1:7" s="49" customFormat="1" ht="15" customHeight="1">
      <c r="A10" s="60"/>
      <c r="B10" s="7"/>
      <c r="C10" s="8"/>
      <c r="D10" s="9"/>
      <c r="E10" s="8"/>
      <c r="F10" s="10"/>
      <c r="G10" s="35"/>
    </row>
    <row r="11" spans="1:7" s="49" customFormat="1" ht="15" customHeight="1">
      <c r="A11" s="309"/>
      <c r="B11" s="310"/>
      <c r="C11" s="310"/>
      <c r="D11" s="311"/>
      <c r="E11" s="312" t="s">
        <v>56</v>
      </c>
      <c r="F11" s="312"/>
      <c r="G11" s="314">
        <f>SUM(G4:G10)</f>
        <v>89879.999999999985</v>
      </c>
    </row>
    <row r="12" spans="1:7" s="49" customFormat="1" ht="15" customHeight="1"/>
    <row r="13" spans="1:7" s="49" customFormat="1" ht="15" customHeight="1"/>
    <row r="14" spans="1:7" s="49" customFormat="1" ht="15" customHeight="1"/>
    <row r="15" spans="1:7" s="49" customFormat="1" ht="15" customHeight="1"/>
    <row r="16" spans="1:7" s="49" customFormat="1" ht="15" customHeight="1">
      <c r="A16" s="737" t="s">
        <v>786</v>
      </c>
      <c r="B16" s="738"/>
      <c r="C16" s="738"/>
      <c r="D16" s="738"/>
      <c r="E16" s="738"/>
      <c r="F16" s="738"/>
      <c r="G16" s="739"/>
    </row>
    <row r="17" spans="1:7" s="49" customFormat="1" ht="43.2">
      <c r="A17" s="24" t="s">
        <v>632</v>
      </c>
      <c r="B17" s="6" t="s">
        <v>360</v>
      </c>
      <c r="C17" s="6" t="s">
        <v>633</v>
      </c>
      <c r="D17" s="6" t="s">
        <v>634</v>
      </c>
      <c r="E17" s="6" t="s">
        <v>635</v>
      </c>
      <c r="F17" s="6" t="s">
        <v>636</v>
      </c>
      <c r="G17" s="25" t="s">
        <v>637</v>
      </c>
    </row>
    <row r="18" spans="1:7" s="49" customFormat="1" ht="15" customHeight="1">
      <c r="A18" s="316"/>
      <c r="B18" s="304"/>
      <c r="C18" s="304"/>
      <c r="D18" s="304"/>
      <c r="E18" s="304"/>
      <c r="F18" s="315">
        <f>'D. Resumen Costes Locales e ins'!D10</f>
        <v>0.05</v>
      </c>
      <c r="G18" s="318"/>
    </row>
    <row r="19" spans="1:7" s="49" customFormat="1">
      <c r="A19" s="71">
        <f>A4</f>
        <v>1</v>
      </c>
      <c r="B19" s="73" t="s">
        <v>787</v>
      </c>
      <c r="C19" s="12">
        <v>35000</v>
      </c>
      <c r="D19" s="9">
        <v>4</v>
      </c>
      <c r="E19" s="8">
        <f>C19/D19</f>
        <v>8750</v>
      </c>
      <c r="F19" s="8">
        <f>E19*$F$18</f>
        <v>437.5</v>
      </c>
      <c r="G19" s="35">
        <f>(E19+F19)*A19</f>
        <v>9187.5</v>
      </c>
    </row>
    <row r="20" spans="1:7" s="49" customFormat="1">
      <c r="A20" s="71">
        <f t="shared" ref="A20:A21" si="1">A5</f>
        <v>0</v>
      </c>
      <c r="B20" s="73" t="s">
        <v>788</v>
      </c>
      <c r="C20" s="12">
        <v>12000</v>
      </c>
      <c r="D20" s="9">
        <v>4</v>
      </c>
      <c r="E20" s="8">
        <f t="shared" ref="E20:E21" si="2">C20/D20</f>
        <v>3000</v>
      </c>
      <c r="F20" s="8">
        <f t="shared" ref="F20:F21" si="3">E20*$F$18</f>
        <v>150</v>
      </c>
      <c r="G20" s="35">
        <f t="shared" ref="G20:G21" si="4">(E20+F20)*A20</f>
        <v>0</v>
      </c>
    </row>
    <row r="21" spans="1:7" s="49" customFormat="1">
      <c r="A21" s="71">
        <f t="shared" si="1"/>
        <v>0</v>
      </c>
      <c r="B21" s="73" t="s">
        <v>789</v>
      </c>
      <c r="C21" s="12">
        <v>6500</v>
      </c>
      <c r="D21" s="9">
        <v>4</v>
      </c>
      <c r="E21" s="8">
        <f t="shared" si="2"/>
        <v>1625</v>
      </c>
      <c r="F21" s="8">
        <f t="shared" si="3"/>
        <v>81.25</v>
      </c>
      <c r="G21" s="35">
        <f t="shared" si="4"/>
        <v>0</v>
      </c>
    </row>
    <row r="22" spans="1:7" s="49" customFormat="1" ht="15" customHeight="1">
      <c r="A22" s="71">
        <v>1</v>
      </c>
      <c r="B22" s="73" t="s">
        <v>790</v>
      </c>
      <c r="C22" s="8"/>
      <c r="D22" s="9"/>
      <c r="E22" s="8"/>
      <c r="F22" s="10"/>
      <c r="G22" s="36">
        <v>45000</v>
      </c>
    </row>
    <row r="23" spans="1:7" s="49" customFormat="1" ht="15" customHeight="1">
      <c r="A23" s="71">
        <v>1</v>
      </c>
      <c r="B23" s="73" t="s">
        <v>791</v>
      </c>
      <c r="C23" s="8"/>
      <c r="D23" s="9"/>
      <c r="E23" s="8"/>
      <c r="F23" s="10"/>
      <c r="G23" s="36">
        <v>5000</v>
      </c>
    </row>
    <row r="24" spans="1:7" s="49" customFormat="1" ht="15" customHeight="1">
      <c r="A24" s="60"/>
      <c r="B24" s="73"/>
      <c r="C24" s="8"/>
      <c r="D24" s="9"/>
      <c r="E24" s="8"/>
      <c r="F24" s="10"/>
      <c r="G24" s="35"/>
    </row>
    <row r="25" spans="1:7" s="49" customFormat="1" ht="15" customHeight="1">
      <c r="A25" s="309"/>
      <c r="B25" s="310"/>
      <c r="C25" s="310"/>
      <c r="D25" s="311"/>
      <c r="E25" s="312" t="s">
        <v>56</v>
      </c>
      <c r="F25" s="312"/>
      <c r="G25" s="314">
        <f>SUM(G16:G24)</f>
        <v>59187.5</v>
      </c>
    </row>
    <row r="26" spans="1:7" s="49" customFormat="1" ht="15" customHeight="1"/>
    <row r="27" spans="1:7" s="49" customFormat="1" ht="15" customHeight="1"/>
    <row r="28" spans="1:7" s="49" customFormat="1" ht="15" customHeight="1"/>
    <row r="29" spans="1:7" s="49" customFormat="1" ht="15" customHeight="1"/>
    <row r="30" spans="1:7" s="49" customFormat="1" ht="15" customHeight="1"/>
    <row r="31" spans="1:7" s="49" customFormat="1" ht="15" customHeight="1"/>
    <row r="32" spans="1:7" s="49" customFormat="1" ht="15" customHeight="1"/>
    <row r="33" s="49" customFormat="1" ht="15" customHeight="1"/>
    <row r="34" s="49" customFormat="1" ht="15" customHeight="1"/>
    <row r="35" s="49" customFormat="1" ht="15" customHeight="1"/>
    <row r="36" s="49" customFormat="1" ht="15" customHeight="1"/>
    <row r="37" s="49" customFormat="1" ht="15" customHeight="1"/>
    <row r="38" s="49" customFormat="1" ht="15" customHeight="1"/>
    <row r="39" s="49" customFormat="1" ht="15" customHeight="1"/>
    <row r="40" s="49" customFormat="1" ht="15" customHeight="1"/>
    <row r="41" s="49" customFormat="1" ht="15" customHeight="1"/>
    <row r="42" s="49" customFormat="1" ht="15" customHeight="1"/>
    <row r="43" s="49" customFormat="1" ht="15" customHeight="1"/>
    <row r="44" s="49" customFormat="1" ht="15" customHeight="1"/>
    <row r="45" s="49" customFormat="1" ht="15" customHeight="1"/>
    <row r="46" s="49" customFormat="1" ht="15" customHeight="1"/>
    <row r="47" s="49" customFormat="1" ht="15" customHeight="1"/>
    <row r="48" s="49" customFormat="1" ht="15" customHeight="1"/>
    <row r="49" s="49" customFormat="1" ht="15" customHeight="1"/>
    <row r="50" s="49" customFormat="1" ht="15" customHeight="1"/>
    <row r="51" s="49" customFormat="1" ht="15" customHeight="1"/>
    <row r="52" s="49" customFormat="1" ht="15" customHeight="1"/>
    <row r="53" s="49" customFormat="1" ht="15" customHeight="1"/>
    <row r="54" s="49" customFormat="1" ht="15" customHeight="1"/>
    <row r="55" s="49" customFormat="1" ht="15" customHeight="1"/>
    <row r="56" s="49" customFormat="1" ht="15" customHeight="1"/>
    <row r="57" s="49" customFormat="1" ht="15" customHeight="1"/>
    <row r="58" s="49" customFormat="1" ht="15" customHeight="1"/>
    <row r="59" s="49" customFormat="1" ht="15" customHeight="1"/>
    <row r="60" s="49" customFormat="1" ht="15" customHeight="1"/>
    <row r="61" s="49" customFormat="1" ht="15" customHeight="1"/>
    <row r="62" s="49" customFormat="1" ht="15" customHeight="1"/>
    <row r="63" s="49" customFormat="1" ht="15" customHeight="1"/>
    <row r="64" s="49" customFormat="1" ht="15" customHeight="1"/>
    <row r="65" s="49" customFormat="1" ht="15" customHeight="1"/>
    <row r="66" s="49" customFormat="1" ht="15" customHeight="1"/>
    <row r="67" s="49" customFormat="1" ht="15" customHeight="1"/>
    <row r="68" s="49" customFormat="1" ht="15" customHeight="1"/>
    <row r="69" s="49" customFormat="1" ht="15" customHeight="1"/>
    <row r="70" s="49" customFormat="1" ht="15" customHeight="1"/>
    <row r="71" s="49" customFormat="1" ht="15" customHeight="1"/>
    <row r="72" s="49" customFormat="1" ht="15" customHeight="1"/>
    <row r="73" s="49" customFormat="1" ht="15" customHeight="1"/>
    <row r="74" s="49" customFormat="1" ht="15" customHeight="1"/>
    <row r="75" s="49" customFormat="1" ht="15" customHeight="1"/>
    <row r="76" s="49" customFormat="1" ht="15" customHeight="1"/>
    <row r="77" s="49" customFormat="1" ht="15" customHeight="1"/>
    <row r="78" s="49" customFormat="1" ht="15" customHeight="1"/>
    <row r="79" s="49" customFormat="1" ht="15" customHeight="1"/>
    <row r="80" s="49" customFormat="1" ht="15" customHeight="1"/>
    <row r="81" s="49" customFormat="1" ht="15" customHeight="1"/>
    <row r="82" s="49" customFormat="1" ht="15" customHeight="1"/>
    <row r="83" s="49" customFormat="1" ht="15" customHeight="1"/>
    <row r="84" s="49" customFormat="1" ht="15" customHeight="1"/>
    <row r="85" s="49" customFormat="1" ht="15" customHeight="1"/>
    <row r="86" s="49" customFormat="1" ht="15" customHeight="1"/>
    <row r="87" s="49" customFormat="1" ht="15" customHeight="1"/>
    <row r="88" s="49" customFormat="1" ht="15" customHeight="1"/>
    <row r="89" s="49" customFormat="1" ht="15" customHeight="1"/>
    <row r="90" s="49" customFormat="1" ht="15" customHeight="1"/>
    <row r="91" s="49" customFormat="1" ht="15" customHeight="1"/>
    <row r="92" s="49" customFormat="1" ht="15" customHeight="1"/>
    <row r="93" s="49" customFormat="1" ht="15" customHeight="1"/>
    <row r="94" s="49" customFormat="1" ht="15" customHeight="1"/>
    <row r="95" s="49" customFormat="1" ht="15" customHeight="1"/>
    <row r="96" s="49" customFormat="1" ht="15" customHeight="1"/>
    <row r="97" s="49" customFormat="1" ht="15" customHeight="1"/>
    <row r="98" s="49" customFormat="1" ht="15" customHeight="1"/>
    <row r="99" s="49" customFormat="1" ht="15" customHeight="1"/>
    <row r="100" s="49" customFormat="1" ht="15" customHeight="1"/>
    <row r="101" s="49" customFormat="1" ht="15" customHeight="1"/>
    <row r="102" s="49" customFormat="1" ht="15" customHeight="1"/>
    <row r="103" s="49" customFormat="1" ht="15" customHeight="1"/>
    <row r="104" s="49" customFormat="1" ht="15" customHeight="1"/>
    <row r="105" s="49" customFormat="1" ht="15" customHeight="1"/>
    <row r="106" s="49" customFormat="1" ht="15" customHeight="1"/>
    <row r="107" s="49" customFormat="1" ht="15" customHeight="1"/>
    <row r="108" s="49" customFormat="1" ht="15" customHeight="1"/>
    <row r="109" s="49" customFormat="1" ht="15" customHeight="1"/>
    <row r="110" s="49" customFormat="1" ht="15" customHeight="1"/>
    <row r="111" s="49" customFormat="1" ht="15" customHeight="1"/>
    <row r="112" s="49" customFormat="1" ht="15" customHeight="1"/>
    <row r="113" s="49" customFormat="1" ht="15" customHeight="1"/>
    <row r="114" s="49" customFormat="1" ht="15" customHeight="1"/>
    <row r="115" s="49" customFormat="1" ht="15" customHeight="1"/>
    <row r="116" s="49" customFormat="1" ht="15" customHeight="1"/>
    <row r="117" s="49" customFormat="1" ht="15" customHeight="1"/>
    <row r="118" s="49" customFormat="1" ht="15" customHeight="1"/>
    <row r="119" s="49" customFormat="1" ht="15" customHeight="1"/>
    <row r="120" s="49" customFormat="1" ht="15" customHeight="1"/>
    <row r="121" s="49" customFormat="1" ht="15" customHeight="1"/>
    <row r="122" s="49" customFormat="1" ht="15" customHeight="1"/>
    <row r="123" s="49" customFormat="1" ht="15" customHeight="1"/>
    <row r="124" s="49" customFormat="1" ht="15" customHeight="1"/>
    <row r="125" s="49" customFormat="1" ht="15" customHeight="1"/>
    <row r="126" s="49" customFormat="1" ht="15" customHeight="1"/>
    <row r="127" s="49" customFormat="1" ht="15" customHeight="1"/>
    <row r="128" s="49" customFormat="1" ht="15" customHeight="1"/>
    <row r="129" s="49" customFormat="1" ht="15" customHeight="1"/>
    <row r="130" s="49" customFormat="1" ht="15" customHeight="1"/>
    <row r="131" s="49" customFormat="1" ht="15" customHeight="1"/>
    <row r="132" s="49" customFormat="1" ht="15" customHeight="1"/>
    <row r="133" s="49" customFormat="1" ht="15" customHeight="1"/>
    <row r="134" s="49" customFormat="1" ht="15" customHeight="1"/>
    <row r="135" s="49" customFormat="1" ht="15" customHeight="1"/>
    <row r="136" s="49" customFormat="1" ht="15" customHeight="1"/>
    <row r="137" s="49" customFormat="1" ht="15" customHeight="1"/>
    <row r="138" s="49" customFormat="1" ht="15" customHeight="1"/>
    <row r="139" s="49" customFormat="1" ht="15" customHeight="1"/>
    <row r="140" s="49" customFormat="1" ht="15" customHeight="1"/>
    <row r="141" s="49" customFormat="1" ht="15" customHeight="1"/>
    <row r="142" s="49" customFormat="1" ht="15" customHeight="1"/>
    <row r="143" s="49" customFormat="1" ht="15" customHeight="1"/>
    <row r="144" s="49" customFormat="1" ht="15" customHeight="1"/>
    <row r="145" s="49" customFormat="1" ht="15" customHeight="1"/>
    <row r="146" s="49" customFormat="1" ht="15" customHeight="1"/>
    <row r="147" s="49" customFormat="1" ht="15" customHeight="1"/>
    <row r="148" s="49" customFormat="1" ht="15" customHeight="1"/>
    <row r="149" s="49" customFormat="1" ht="15" customHeight="1"/>
    <row r="150" s="49" customFormat="1" ht="15" customHeight="1"/>
    <row r="151" s="49" customFormat="1" ht="15" customHeight="1"/>
    <row r="152" s="49" customFormat="1" ht="15" customHeight="1"/>
    <row r="153" s="49" customFormat="1" ht="15" customHeight="1"/>
    <row r="154" s="49" customFormat="1" ht="15" customHeight="1"/>
    <row r="155" s="49" customFormat="1" ht="15" customHeight="1"/>
    <row r="156" s="49" customFormat="1" ht="15" customHeight="1"/>
    <row r="157" s="49" customFormat="1" ht="15" customHeight="1"/>
    <row r="158" s="49" customFormat="1" ht="15" customHeight="1"/>
    <row r="159" s="49" customFormat="1" ht="15" customHeight="1"/>
    <row r="160" s="49" customFormat="1" ht="15" customHeight="1"/>
    <row r="161" s="49" customFormat="1" ht="15" customHeight="1"/>
    <row r="162" s="49" customFormat="1" ht="15" customHeight="1"/>
    <row r="163" s="49" customFormat="1" ht="15" customHeight="1"/>
    <row r="164" s="49" customFormat="1" ht="15" customHeight="1"/>
    <row r="165" s="49" customFormat="1" ht="15" customHeight="1"/>
    <row r="166" s="49" customFormat="1" ht="15" customHeight="1"/>
    <row r="167" s="49" customFormat="1" ht="15" customHeight="1"/>
    <row r="168" s="49" customFormat="1" ht="15" customHeight="1"/>
    <row r="169" s="49" customFormat="1" ht="15" customHeight="1"/>
    <row r="170" s="49" customFormat="1" ht="15" customHeight="1"/>
    <row r="171" s="49" customFormat="1" ht="15" customHeight="1"/>
    <row r="172" s="49" customFormat="1" ht="15" customHeight="1"/>
    <row r="173" s="49" customFormat="1" ht="15" customHeight="1"/>
    <row r="174" s="49" customFormat="1" ht="15" customHeight="1"/>
    <row r="175" s="49" customFormat="1" ht="15" customHeight="1"/>
    <row r="176" s="49" customFormat="1" ht="15" customHeight="1"/>
    <row r="177" s="49" customFormat="1" ht="15" customHeight="1"/>
    <row r="178" s="49" customFormat="1" ht="15" customHeight="1"/>
    <row r="179" s="49" customFormat="1" ht="15" customHeight="1"/>
    <row r="180" s="49" customFormat="1" ht="15" customHeight="1"/>
    <row r="181" s="49" customFormat="1" ht="15" customHeight="1"/>
    <row r="182" s="49" customFormat="1" ht="15" customHeight="1"/>
    <row r="183" s="49" customFormat="1" ht="15" customHeight="1"/>
    <row r="184" s="49" customFormat="1" ht="15" customHeight="1"/>
    <row r="185" s="49" customFormat="1" ht="15" customHeight="1"/>
    <row r="186" s="49" customFormat="1" ht="15" customHeight="1"/>
    <row r="187" s="49" customFormat="1" ht="15" customHeight="1"/>
    <row r="188" s="49" customFormat="1" ht="15" customHeight="1"/>
    <row r="189" s="49" customFormat="1" ht="15" customHeight="1"/>
    <row r="190" s="49" customFormat="1" ht="15" customHeight="1"/>
    <row r="191" s="49" customFormat="1" ht="15" customHeight="1"/>
    <row r="192" s="49" customFormat="1" ht="15" customHeight="1"/>
    <row r="193" s="49" customFormat="1" ht="15" customHeight="1"/>
    <row r="194" s="49" customFormat="1" ht="15" customHeight="1"/>
    <row r="195" s="49" customFormat="1" ht="15" customHeight="1"/>
    <row r="196" s="49" customFormat="1" ht="15" customHeight="1"/>
    <row r="197" s="49" customFormat="1" ht="15" customHeight="1"/>
    <row r="198" s="49" customFormat="1" ht="15" customHeight="1"/>
    <row r="199" s="49" customFormat="1" ht="15" customHeight="1"/>
    <row r="200" s="49" customFormat="1" ht="15" customHeight="1"/>
    <row r="201" s="49" customFormat="1" ht="15" customHeight="1"/>
    <row r="202" s="49" customFormat="1" ht="15" customHeight="1"/>
    <row r="203" s="49" customFormat="1" ht="15" customHeight="1"/>
    <row r="204" s="49" customFormat="1" ht="15" customHeight="1"/>
    <row r="205" s="49" customFormat="1" ht="15" customHeight="1"/>
    <row r="206" s="49" customFormat="1" ht="15" customHeight="1"/>
    <row r="207" s="49" customFormat="1" ht="15" customHeight="1"/>
    <row r="208" s="49" customFormat="1" ht="15" customHeight="1"/>
    <row r="209" s="49" customFormat="1" ht="15" customHeight="1"/>
    <row r="210" s="49" customFormat="1" ht="15" customHeight="1"/>
    <row r="211" s="49" customFormat="1" ht="15" customHeight="1"/>
    <row r="212" s="49" customFormat="1" ht="15" customHeight="1"/>
    <row r="213" s="49" customFormat="1" ht="15" customHeight="1"/>
    <row r="214" s="49" customFormat="1" ht="15" customHeight="1"/>
    <row r="215" s="49" customFormat="1" ht="15" customHeight="1"/>
    <row r="216" s="49" customFormat="1" ht="15" customHeight="1"/>
    <row r="217" s="49" customFormat="1" ht="15" customHeight="1"/>
    <row r="218" s="49" customFormat="1" ht="15" customHeight="1"/>
    <row r="219" s="49" customFormat="1" ht="15" customHeight="1"/>
    <row r="220" s="49" customFormat="1" ht="15" customHeight="1"/>
    <row r="221" s="49" customFormat="1" ht="15" customHeight="1"/>
    <row r="222" s="49" customFormat="1" ht="15" customHeight="1"/>
    <row r="223" s="49" customFormat="1" ht="15" customHeight="1"/>
    <row r="224" s="49" customFormat="1" ht="15" customHeight="1"/>
    <row r="225" s="49" customFormat="1" ht="15" customHeight="1"/>
    <row r="226" s="49" customFormat="1" ht="15" customHeight="1"/>
    <row r="227" s="49" customFormat="1" ht="15" customHeight="1"/>
    <row r="228" s="49" customFormat="1" ht="15" customHeight="1"/>
    <row r="229" s="49" customFormat="1" ht="15" customHeight="1"/>
    <row r="230" s="49" customFormat="1" ht="15" customHeight="1"/>
    <row r="231" s="49" customFormat="1" ht="15" customHeight="1"/>
    <row r="232" s="49" customFormat="1" ht="15" customHeight="1"/>
    <row r="233" s="49" customFormat="1" ht="15" customHeight="1"/>
    <row r="234" s="49" customFormat="1" ht="15" customHeight="1"/>
    <row r="235" s="49" customFormat="1" ht="15" customHeight="1"/>
    <row r="236" s="49" customFormat="1" ht="15" customHeight="1"/>
    <row r="237" s="49" customFormat="1" ht="15" customHeight="1"/>
    <row r="238" s="49" customFormat="1" ht="15" customHeight="1"/>
    <row r="239" s="49" customFormat="1" ht="15" customHeight="1"/>
    <row r="240" s="49" customFormat="1" ht="15" customHeight="1"/>
    <row r="241" s="49" customFormat="1" ht="15" customHeight="1"/>
    <row r="242" s="49" customFormat="1" ht="15" customHeight="1"/>
    <row r="243" s="49" customFormat="1" ht="15" customHeight="1"/>
    <row r="244" s="49" customFormat="1" ht="15" customHeight="1"/>
    <row r="245" s="49" customFormat="1" ht="15" customHeight="1"/>
    <row r="246" s="49" customFormat="1" ht="15" customHeight="1"/>
    <row r="247" s="49" customFormat="1" ht="15" customHeight="1"/>
    <row r="248" s="49" customFormat="1" ht="15" customHeight="1"/>
    <row r="249" s="49" customFormat="1" ht="15" customHeight="1"/>
    <row r="250" s="49" customFormat="1" ht="15" customHeight="1"/>
    <row r="251" s="49" customFormat="1" ht="15" customHeight="1"/>
    <row r="252" s="49" customFormat="1" ht="15" customHeight="1"/>
    <row r="253" s="49" customFormat="1" ht="15" customHeight="1"/>
    <row r="254" s="49" customFormat="1" ht="15" customHeight="1"/>
    <row r="255" s="49" customFormat="1" ht="15" customHeight="1"/>
    <row r="256" s="49" customFormat="1" ht="15" customHeight="1"/>
    <row r="257" s="49" customFormat="1" ht="15" customHeight="1"/>
    <row r="258" s="49" customFormat="1" ht="15" customHeight="1"/>
    <row r="259" s="49" customFormat="1" ht="15" customHeight="1"/>
    <row r="260" s="49" customFormat="1" ht="15" customHeight="1"/>
    <row r="261" s="49" customFormat="1" ht="15" customHeight="1"/>
    <row r="262" s="49" customFormat="1" ht="15" customHeight="1"/>
    <row r="263" s="49" customFormat="1" ht="15" customHeight="1"/>
    <row r="264" s="49" customFormat="1" ht="15" customHeight="1"/>
    <row r="265" s="49" customFormat="1" ht="15" customHeight="1"/>
    <row r="266" s="49" customFormat="1" ht="15" customHeight="1"/>
    <row r="267" s="49" customFormat="1" ht="15" customHeight="1"/>
    <row r="268" s="49" customFormat="1" ht="15" customHeight="1"/>
    <row r="269" s="49" customFormat="1" ht="15" customHeight="1"/>
    <row r="270" s="49" customFormat="1" ht="15" customHeight="1"/>
    <row r="271" s="49" customFormat="1" ht="15" customHeight="1"/>
    <row r="272" s="49" customFormat="1" ht="15" customHeight="1"/>
    <row r="273" s="49" customFormat="1" ht="15" customHeight="1"/>
    <row r="274" s="49" customFormat="1" ht="15" customHeight="1"/>
    <row r="275" s="49" customFormat="1" ht="15" customHeight="1"/>
    <row r="276" s="49" customFormat="1" ht="15" customHeight="1"/>
    <row r="277" s="49" customFormat="1" ht="15" customHeight="1"/>
    <row r="278" s="49" customFormat="1" ht="15" customHeight="1"/>
    <row r="279" s="49" customFormat="1" ht="15" customHeight="1"/>
    <row r="280" s="49" customFormat="1" ht="15" customHeight="1"/>
    <row r="281" s="49" customFormat="1" ht="15" customHeight="1"/>
    <row r="282" s="49" customFormat="1" ht="15" customHeight="1"/>
    <row r="283" s="49" customFormat="1" ht="15" customHeight="1"/>
    <row r="284" s="49" customFormat="1" ht="15" customHeight="1"/>
    <row r="285" s="49" customFormat="1" ht="15" customHeight="1"/>
    <row r="286" s="49" customFormat="1" ht="15" customHeight="1"/>
    <row r="287" s="49" customFormat="1" ht="15" customHeight="1"/>
    <row r="288" s="49" customFormat="1" ht="15" customHeight="1"/>
    <row r="289" s="49" customFormat="1" ht="15" customHeight="1"/>
    <row r="290" s="49" customFormat="1" ht="15" customHeight="1"/>
    <row r="291" s="49" customFormat="1" ht="15" customHeight="1"/>
    <row r="292" s="49" customFormat="1" ht="15" customHeight="1"/>
    <row r="293" s="49" customFormat="1" ht="15" customHeight="1"/>
    <row r="294" s="49" customFormat="1" ht="15" customHeight="1"/>
    <row r="295" s="49" customFormat="1" ht="15" customHeight="1"/>
    <row r="296" s="49" customFormat="1" ht="15" customHeight="1"/>
    <row r="297" s="49" customFormat="1" ht="15" customHeight="1"/>
    <row r="298" s="49" customFormat="1" ht="15" customHeight="1"/>
    <row r="299" s="49" customFormat="1" ht="15" customHeight="1"/>
    <row r="300" s="49" customFormat="1" ht="15" customHeight="1"/>
    <row r="301" s="49" customFormat="1" ht="15" customHeight="1"/>
    <row r="302" s="49" customFormat="1" ht="15" customHeight="1"/>
    <row r="303" s="49" customFormat="1" ht="15" customHeight="1"/>
    <row r="304" s="49" customFormat="1" ht="15" customHeight="1"/>
    <row r="305" s="49" customFormat="1" ht="15" customHeight="1"/>
    <row r="306" s="49" customFormat="1" ht="15" customHeight="1"/>
    <row r="307" s="49" customFormat="1" ht="15" customHeight="1"/>
    <row r="308" s="49" customFormat="1" ht="15" customHeight="1"/>
    <row r="309" s="49" customFormat="1" ht="15" customHeight="1"/>
    <row r="310" s="49" customFormat="1" ht="15" customHeight="1"/>
    <row r="311" s="49" customFormat="1" ht="15" customHeight="1"/>
    <row r="312" s="49" customFormat="1" ht="15" customHeight="1"/>
    <row r="313" s="49" customFormat="1" ht="15" customHeight="1"/>
    <row r="314" s="49" customFormat="1" ht="15" customHeight="1"/>
    <row r="315" s="49" customFormat="1" ht="15" customHeight="1"/>
    <row r="316" s="49" customFormat="1" ht="15" customHeight="1"/>
    <row r="317" s="49" customFormat="1" ht="15" customHeight="1"/>
    <row r="318" s="49" customFormat="1" ht="15" customHeight="1"/>
    <row r="319" s="49" customFormat="1" ht="15" customHeight="1"/>
    <row r="320" s="49" customFormat="1" ht="15" customHeight="1"/>
    <row r="321" s="49" customFormat="1" ht="15" customHeight="1"/>
    <row r="322" s="49" customFormat="1" ht="15" customHeight="1"/>
    <row r="323" s="49" customFormat="1" ht="15" customHeight="1"/>
    <row r="324" s="49" customFormat="1" ht="15" customHeight="1"/>
    <row r="325" s="49" customFormat="1" ht="15" customHeight="1"/>
    <row r="326" s="49" customFormat="1" ht="15" customHeight="1"/>
    <row r="327" s="49" customFormat="1" ht="15" customHeight="1"/>
    <row r="328" s="49" customFormat="1" ht="15" customHeight="1"/>
    <row r="329" s="49" customFormat="1" ht="15" customHeight="1"/>
    <row r="330" s="49" customFormat="1" ht="15" customHeight="1"/>
    <row r="331" s="49" customFormat="1" ht="15" customHeight="1"/>
    <row r="332" s="49" customFormat="1" ht="15" customHeight="1"/>
    <row r="333" s="49" customFormat="1" ht="15" customHeight="1"/>
    <row r="334" s="49" customFormat="1" ht="15" customHeight="1"/>
    <row r="335" s="49" customFormat="1" ht="15" customHeight="1"/>
    <row r="336" s="49" customFormat="1" ht="15" customHeight="1"/>
    <row r="337" s="49" customFormat="1" ht="15" customHeight="1"/>
    <row r="338" s="49" customFormat="1" ht="15" customHeight="1"/>
    <row r="339" s="49" customFormat="1" ht="15" customHeight="1"/>
    <row r="340" s="49" customFormat="1" ht="15" customHeight="1"/>
    <row r="341" s="49" customFormat="1" ht="15" customHeight="1"/>
    <row r="342" s="49" customFormat="1" ht="15" customHeight="1"/>
    <row r="343" s="49" customFormat="1" ht="15" customHeight="1"/>
    <row r="344" s="49" customFormat="1" ht="15" customHeight="1"/>
    <row r="345" s="49" customFormat="1" ht="15" customHeight="1"/>
    <row r="346" s="49" customFormat="1" ht="15" customHeight="1"/>
    <row r="347" s="49" customFormat="1" ht="15" customHeight="1"/>
    <row r="348" s="49" customFormat="1" ht="15" customHeight="1"/>
    <row r="349" s="49" customFormat="1" ht="15" customHeight="1"/>
    <row r="350" s="49" customFormat="1" ht="15" customHeight="1"/>
    <row r="351" s="49" customFormat="1" ht="15" customHeight="1"/>
    <row r="352" s="49" customFormat="1" ht="15" customHeight="1"/>
    <row r="353" s="49" customFormat="1" ht="15" customHeight="1"/>
    <row r="354" s="49" customFormat="1" ht="15" customHeight="1"/>
    <row r="355" s="49" customFormat="1" ht="15" customHeight="1"/>
    <row r="356" s="49" customFormat="1" ht="15" customHeight="1"/>
    <row r="357" s="49" customFormat="1" ht="15" customHeight="1"/>
    <row r="358" s="49" customFormat="1" ht="15" customHeight="1"/>
    <row r="359" s="49" customFormat="1" ht="15" customHeight="1"/>
    <row r="360" s="49" customFormat="1" ht="15" customHeight="1"/>
    <row r="361" s="49" customFormat="1" ht="15" customHeight="1"/>
    <row r="362" s="49" customFormat="1" ht="15" customHeight="1"/>
    <row r="363" s="49" customFormat="1" ht="15" customHeight="1"/>
    <row r="364" s="49" customFormat="1" ht="15" customHeight="1"/>
    <row r="365" s="49" customFormat="1" ht="15" customHeight="1"/>
    <row r="366" s="49" customFormat="1" ht="15" customHeight="1"/>
    <row r="367" s="49" customFormat="1" ht="15" customHeight="1"/>
    <row r="368" s="49" customFormat="1" ht="15" customHeight="1"/>
    <row r="369" s="49" customFormat="1" ht="15" customHeight="1"/>
    <row r="370" s="49" customFormat="1" ht="15" customHeight="1"/>
    <row r="371" s="49" customFormat="1" ht="15" customHeight="1"/>
    <row r="372" s="49" customFormat="1" ht="15" customHeight="1"/>
    <row r="373" s="49" customFormat="1" ht="15" customHeight="1"/>
    <row r="374" s="49" customFormat="1" ht="15" customHeight="1"/>
    <row r="375" s="49" customFormat="1" ht="15" customHeight="1"/>
    <row r="376" s="49" customFormat="1" ht="15" customHeight="1"/>
    <row r="377" s="49" customFormat="1" ht="15" customHeight="1"/>
    <row r="378" s="49" customFormat="1" ht="15" customHeight="1"/>
    <row r="379" s="49" customFormat="1" ht="15" customHeight="1"/>
    <row r="380" s="49" customFormat="1" ht="15" customHeight="1"/>
    <row r="381" s="49" customFormat="1" ht="15" customHeight="1"/>
    <row r="382" s="49" customFormat="1" ht="15" customHeight="1"/>
    <row r="383" s="49" customFormat="1" ht="15" customHeight="1"/>
    <row r="384" s="49" customFormat="1" ht="15" customHeight="1"/>
    <row r="385" s="49" customFormat="1" ht="15" customHeight="1"/>
    <row r="386" s="49" customFormat="1" ht="15" customHeight="1"/>
    <row r="387" s="49" customFormat="1" ht="15" customHeight="1"/>
    <row r="388" s="49" customFormat="1" ht="15" customHeight="1"/>
    <row r="389" s="49" customFormat="1" ht="15" customHeight="1"/>
    <row r="390" s="49" customFormat="1" ht="15" customHeight="1"/>
    <row r="391" s="49" customFormat="1" ht="15" customHeight="1"/>
    <row r="392" s="49" customFormat="1" ht="15" customHeight="1"/>
    <row r="393" s="49" customFormat="1" ht="15" customHeight="1"/>
    <row r="394" s="49" customFormat="1" ht="15" customHeight="1"/>
    <row r="395" s="49" customFormat="1" ht="15" customHeight="1"/>
    <row r="396" s="49" customFormat="1" ht="15" customHeight="1"/>
    <row r="397" s="49" customFormat="1" ht="15" customHeight="1"/>
    <row r="398" s="49" customFormat="1" ht="15" customHeight="1"/>
    <row r="399" s="49" customFormat="1" ht="15" customHeight="1"/>
    <row r="400" s="49" customFormat="1" ht="15" customHeight="1"/>
    <row r="401" s="49" customFormat="1" ht="15" customHeight="1"/>
    <row r="402" s="49" customFormat="1" ht="15" customHeight="1"/>
    <row r="403" s="49" customFormat="1" ht="15" customHeight="1"/>
    <row r="404" s="49" customFormat="1" ht="15" customHeight="1"/>
    <row r="405" s="49" customFormat="1" ht="15" customHeight="1"/>
    <row r="406" s="49" customFormat="1" ht="15" customHeight="1"/>
    <row r="407" s="49" customFormat="1" ht="15" customHeight="1"/>
    <row r="408" s="49" customFormat="1" ht="15" customHeight="1"/>
    <row r="409" s="49" customFormat="1" ht="15" customHeight="1"/>
    <row r="410" s="49" customFormat="1" ht="15" customHeight="1"/>
    <row r="411" s="49" customFormat="1" ht="15" customHeight="1"/>
    <row r="412" s="49" customFormat="1" ht="15" customHeight="1"/>
    <row r="413" s="49" customFormat="1" ht="15" customHeight="1"/>
    <row r="414" s="49" customFormat="1" ht="15" customHeight="1"/>
    <row r="415" s="49" customFormat="1" ht="15" customHeight="1"/>
    <row r="416" s="49" customFormat="1" ht="15" customHeight="1"/>
    <row r="417" s="49" customFormat="1" ht="15" customHeight="1"/>
    <row r="418" s="49" customFormat="1" ht="15" customHeight="1"/>
    <row r="419" s="49" customFormat="1" ht="15" customHeight="1"/>
    <row r="420" s="49" customFormat="1" ht="15" customHeight="1"/>
    <row r="421" s="49" customFormat="1" ht="15" customHeight="1"/>
    <row r="422" s="49" customFormat="1" ht="15" customHeight="1"/>
    <row r="423" s="49" customFormat="1" ht="15" customHeight="1"/>
    <row r="424" s="49" customFormat="1" ht="15" customHeight="1"/>
    <row r="425" s="49" customFormat="1" ht="15" customHeight="1"/>
    <row r="426" s="49" customFormat="1" ht="15" customHeight="1"/>
    <row r="427" s="49" customFormat="1" ht="15" customHeight="1"/>
    <row r="428" s="49" customFormat="1" ht="15" customHeight="1"/>
    <row r="429" s="49" customFormat="1" ht="15" customHeight="1"/>
    <row r="430" s="49" customFormat="1" ht="15" customHeight="1"/>
    <row r="431" s="49" customFormat="1" ht="15" customHeight="1"/>
    <row r="432" s="49" customFormat="1" ht="15" customHeight="1"/>
    <row r="433" s="49" customFormat="1" ht="15" customHeight="1"/>
    <row r="434" s="49" customFormat="1" ht="15" customHeight="1"/>
    <row r="435" s="49" customFormat="1" ht="15" customHeight="1"/>
    <row r="436" s="49" customFormat="1" ht="15" customHeight="1"/>
    <row r="437" s="49" customFormat="1" ht="15" customHeight="1"/>
    <row r="438" s="49" customFormat="1" ht="15" customHeight="1"/>
    <row r="439" s="49" customFormat="1" ht="15" customHeight="1"/>
    <row r="440" s="49" customFormat="1" ht="15" customHeight="1"/>
    <row r="441" s="49" customFormat="1" ht="15" customHeight="1"/>
    <row r="442" s="49" customFormat="1" ht="15" customHeight="1"/>
    <row r="443" s="49" customFormat="1" ht="15" customHeight="1"/>
    <row r="444" s="49" customFormat="1" ht="15" customHeight="1"/>
    <row r="445" s="49" customFormat="1" ht="15" customHeight="1"/>
    <row r="446" s="49" customFormat="1" ht="15" customHeight="1"/>
    <row r="447" s="49" customFormat="1" ht="15" customHeight="1"/>
    <row r="448" s="49" customFormat="1" ht="15" customHeight="1"/>
    <row r="449" s="49" customFormat="1" ht="15" customHeight="1"/>
    <row r="450" s="49" customFormat="1" ht="15" customHeight="1"/>
    <row r="451" s="49" customFormat="1" ht="15" customHeight="1"/>
    <row r="452" s="49" customFormat="1" ht="15" customHeight="1"/>
    <row r="453" s="49" customFormat="1" ht="15" customHeight="1"/>
    <row r="454" s="49" customFormat="1" ht="15" customHeight="1"/>
    <row r="455" s="49" customFormat="1" ht="15" customHeight="1"/>
    <row r="456" s="49" customFormat="1" ht="15" customHeight="1"/>
    <row r="457" s="49" customFormat="1" ht="15" customHeight="1"/>
    <row r="458" s="49" customFormat="1" ht="15" customHeight="1"/>
    <row r="459" s="49" customFormat="1" ht="15" customHeight="1"/>
    <row r="460" s="49" customFormat="1" ht="15" customHeight="1"/>
    <row r="461" s="49" customFormat="1" ht="15" customHeight="1"/>
    <row r="462" s="49" customFormat="1" ht="15" customHeight="1"/>
    <row r="463" s="49" customFormat="1" ht="15" customHeight="1"/>
    <row r="464" s="49" customFormat="1" ht="15" customHeight="1"/>
    <row r="465" s="49" customFormat="1" ht="15" customHeight="1"/>
    <row r="466" s="49" customFormat="1" ht="15" customHeight="1"/>
    <row r="467" s="49" customFormat="1" ht="15" customHeight="1"/>
    <row r="468" s="49" customFormat="1" ht="15" customHeight="1"/>
    <row r="469" s="49" customFormat="1" ht="15" customHeight="1"/>
    <row r="470" s="49" customFormat="1" ht="15" customHeight="1"/>
    <row r="471" s="49" customFormat="1" ht="15" customHeight="1"/>
    <row r="472" s="49" customFormat="1" ht="15" customHeight="1"/>
    <row r="473" s="49" customFormat="1" ht="15" customHeight="1"/>
    <row r="474" s="49" customFormat="1" ht="15" customHeight="1"/>
    <row r="475" s="49" customFormat="1" ht="15" customHeight="1"/>
    <row r="476" s="49" customFormat="1" ht="15" customHeight="1"/>
    <row r="477" s="49" customFormat="1" ht="15" customHeight="1"/>
    <row r="478" s="49" customFormat="1" ht="15" customHeight="1"/>
    <row r="479" s="49" customFormat="1" ht="15" customHeight="1"/>
    <row r="480" s="49" customFormat="1" ht="15" customHeight="1"/>
    <row r="481" s="49" customFormat="1" ht="15" customHeight="1"/>
    <row r="482" s="49" customFormat="1" ht="15" customHeight="1"/>
    <row r="483" s="49" customFormat="1" ht="15" customHeight="1"/>
    <row r="484" s="49" customFormat="1" ht="15" customHeight="1"/>
    <row r="485" s="49" customFormat="1" ht="15" customHeight="1"/>
    <row r="486" s="49" customFormat="1" ht="15" customHeight="1"/>
    <row r="487" s="49" customFormat="1" ht="15" customHeight="1"/>
    <row r="488" s="49" customFormat="1" ht="15" customHeight="1"/>
    <row r="489" s="49" customFormat="1" ht="15" customHeight="1"/>
    <row r="490" s="49" customFormat="1" ht="15" customHeight="1"/>
    <row r="491" s="49" customFormat="1" ht="15" customHeight="1"/>
    <row r="492" s="49" customFormat="1" ht="15" customHeight="1"/>
    <row r="493" s="49" customFormat="1" ht="15" customHeight="1"/>
    <row r="494" s="49" customFormat="1" ht="15" customHeight="1"/>
    <row r="495" s="49" customFormat="1" ht="15" customHeight="1"/>
    <row r="496" s="49" customFormat="1" ht="15" customHeight="1"/>
    <row r="497" s="49" customFormat="1" ht="15" customHeight="1"/>
    <row r="498" s="49" customFormat="1" ht="15" customHeight="1"/>
    <row r="499" s="49" customFormat="1" ht="15" customHeight="1"/>
    <row r="500" s="49" customFormat="1" ht="15" customHeight="1"/>
    <row r="501" s="49" customFormat="1" ht="15" customHeight="1"/>
    <row r="502" s="49" customFormat="1" ht="15" customHeight="1"/>
    <row r="503" s="49" customFormat="1" ht="15" customHeight="1"/>
    <row r="504" s="49" customFormat="1" ht="15" customHeight="1"/>
    <row r="505" s="49" customFormat="1" ht="15" customHeight="1"/>
    <row r="506" s="49" customFormat="1" ht="15" customHeight="1"/>
    <row r="507" s="49" customFormat="1" ht="15" customHeight="1"/>
    <row r="508" s="49" customFormat="1" ht="15" customHeight="1"/>
    <row r="509" s="49" customFormat="1" ht="15" customHeight="1"/>
    <row r="510" s="49" customFormat="1" ht="15" customHeight="1"/>
    <row r="511" s="49" customFormat="1" ht="15" customHeight="1"/>
    <row r="512" s="49" customFormat="1" ht="15" customHeight="1"/>
    <row r="513" s="49" customFormat="1" ht="15" customHeight="1"/>
    <row r="514" s="49" customFormat="1" ht="15" customHeight="1"/>
    <row r="515" s="49" customFormat="1" ht="15" customHeight="1"/>
    <row r="516" s="49" customFormat="1" ht="15" customHeight="1"/>
  </sheetData>
  <mergeCells count="2">
    <mergeCell ref="A1:G1"/>
    <mergeCell ref="A16:G16"/>
  </mergeCells>
  <pageMargins left="0.511811023622047" right="0.511811023622047" top="0.55118110236220497" bottom="0.55118110236220497" header="0.31496062992126" footer="0.31496062992126"/>
  <pageSetup paperSize="9" scale="77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511"/>
  <sheetViews>
    <sheetView showGridLines="0" topLeftCell="E1" zoomScale="90" zoomScaleNormal="90" workbookViewId="0">
      <selection activeCell="AF15" sqref="AF15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740" t="s">
        <v>792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31" t="s">
        <v>107</v>
      </c>
      <c r="C3" s="632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587" t="s">
        <v>108</v>
      </c>
      <c r="O3" s="587"/>
      <c r="P3" s="587"/>
      <c r="Q3" s="588"/>
    </row>
    <row r="4" spans="2:17" ht="15" customHeight="1">
      <c r="B4" s="54" t="s">
        <v>793</v>
      </c>
      <c r="C4" s="468" t="s">
        <v>794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633">
        <f>'E.1. Mat_Primas'!J21</f>
        <v>132917.22534999999</v>
      </c>
      <c r="O4" s="633"/>
      <c r="P4" s="633"/>
      <c r="Q4" s="633"/>
    </row>
    <row r="5" spans="2:17" ht="15" customHeight="1">
      <c r="B5" s="54" t="s">
        <v>795</v>
      </c>
      <c r="C5" s="468" t="s">
        <v>796</v>
      </c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633">
        <f>'E.2. Productos Fitosanitarios'!E17</f>
        <v>20400</v>
      </c>
      <c r="O5" s="633"/>
      <c r="P5" s="633"/>
      <c r="Q5" s="633"/>
    </row>
    <row r="6" spans="2:17" ht="15" customHeight="1">
      <c r="B6" s="577" t="s">
        <v>797</v>
      </c>
      <c r="C6" s="577"/>
      <c r="D6" s="56"/>
      <c r="E6" s="57"/>
      <c r="F6" s="57"/>
      <c r="G6" s="57"/>
      <c r="H6" s="58"/>
      <c r="I6" s="58"/>
      <c r="J6" s="58"/>
      <c r="K6" s="58"/>
      <c r="L6" s="58"/>
      <c r="M6" s="58"/>
      <c r="N6" s="627">
        <f>SUM(N4:Q5)</f>
        <v>153317.22534999999</v>
      </c>
      <c r="O6" s="627"/>
      <c r="P6" s="627"/>
      <c r="Q6" s="627"/>
    </row>
    <row r="7" spans="2:17" s="49" customFormat="1" ht="15" customHeight="1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2:17" s="49" customFormat="1" ht="1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2:17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</sheetData>
  <mergeCells count="9">
    <mergeCell ref="C5:M5"/>
    <mergeCell ref="N5:Q5"/>
    <mergeCell ref="B6:C6"/>
    <mergeCell ref="N6:Q6"/>
    <mergeCell ref="B1:Q1"/>
    <mergeCell ref="B3:C3"/>
    <mergeCell ref="N3:Q3"/>
    <mergeCell ref="C4:M4"/>
    <mergeCell ref="N4:Q4"/>
  </mergeCells>
  <pageMargins left="0.511811023622047" right="0.511811023622047" top="0.55118110236220497" bottom="0.55118110236220497" header="0.31496062992126" footer="0.31496062992126"/>
  <pageSetup paperSize="9" scale="74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K23"/>
  <sheetViews>
    <sheetView zoomScale="80" zoomScaleNormal="80" workbookViewId="0">
      <selection activeCell="D25" sqref="D25"/>
    </sheetView>
  </sheetViews>
  <sheetFormatPr baseColWidth="10" defaultColWidth="11" defaultRowHeight="13.2"/>
  <cols>
    <col min="1" max="1" width="3" customWidth="1"/>
    <col min="2" max="2" width="56.33203125" customWidth="1"/>
    <col min="3" max="3" width="12.109375" customWidth="1"/>
    <col min="4" max="4" width="15.44140625" customWidth="1"/>
    <col min="5" max="5" width="15.6640625" customWidth="1"/>
    <col min="6" max="6" width="10.6640625" customWidth="1"/>
    <col min="7" max="7" width="13" customWidth="1"/>
    <col min="8" max="8" width="12.88671875" style="63" customWidth="1"/>
    <col min="9" max="9" width="12" style="63" customWidth="1"/>
    <col min="10" max="10" width="24" customWidth="1"/>
    <col min="11" max="11" width="74.5546875" customWidth="1"/>
    <col min="12" max="12" width="3.6640625" customWidth="1"/>
  </cols>
  <sheetData>
    <row r="1" spans="2:11" ht="12" customHeight="1">
      <c r="B1" s="737" t="s">
        <v>798</v>
      </c>
      <c r="C1" s="738"/>
      <c r="D1" s="738"/>
      <c r="E1" s="738"/>
      <c r="F1" s="738"/>
      <c r="G1" s="738"/>
      <c r="H1" s="738"/>
      <c r="I1" s="738"/>
      <c r="J1" s="741"/>
      <c r="K1" s="321"/>
    </row>
    <row r="2" spans="2:11" ht="43.2">
      <c r="B2" s="24" t="s">
        <v>799</v>
      </c>
      <c r="C2" s="6" t="s">
        <v>800</v>
      </c>
      <c r="D2" s="6" t="s">
        <v>801</v>
      </c>
      <c r="E2" s="6" t="s">
        <v>802</v>
      </c>
      <c r="F2" s="6" t="s">
        <v>803</v>
      </c>
      <c r="G2" s="6" t="s">
        <v>804</v>
      </c>
      <c r="H2" s="6" t="s">
        <v>805</v>
      </c>
      <c r="I2" s="6" t="s">
        <v>806</v>
      </c>
      <c r="J2" s="6" t="s">
        <v>807</v>
      </c>
      <c r="K2" s="25" t="s">
        <v>808</v>
      </c>
    </row>
    <row r="3" spans="2:11" ht="12" customHeight="1">
      <c r="B3" s="316" t="s">
        <v>809</v>
      </c>
      <c r="C3" s="304"/>
      <c r="D3" s="315" t="s">
        <v>810</v>
      </c>
      <c r="E3" s="304"/>
      <c r="F3" s="304"/>
      <c r="G3" s="304"/>
      <c r="H3" s="304"/>
      <c r="I3" s="304"/>
      <c r="J3" s="304"/>
      <c r="K3" s="318"/>
    </row>
    <row r="4" spans="2:11" ht="15" customHeight="1">
      <c r="B4" s="60" t="s">
        <v>811</v>
      </c>
      <c r="C4" s="8" t="s">
        <v>812</v>
      </c>
      <c r="D4" s="64">
        <f>28.3858</f>
        <v>28.3858</v>
      </c>
      <c r="E4" s="62">
        <v>5</v>
      </c>
      <c r="F4" s="65" t="s">
        <v>813</v>
      </c>
      <c r="G4" s="66">
        <v>2</v>
      </c>
      <c r="H4" s="67">
        <f>G4*E4*D4</f>
        <v>283.858</v>
      </c>
      <c r="I4" s="8">
        <v>0.65</v>
      </c>
      <c r="J4" s="8">
        <f>H4*I4</f>
        <v>184.5077</v>
      </c>
      <c r="K4" s="35" t="s">
        <v>814</v>
      </c>
    </row>
    <row r="5" spans="2:11" ht="15" customHeight="1">
      <c r="B5" s="60" t="s">
        <v>815</v>
      </c>
      <c r="C5" s="8" t="s">
        <v>816</v>
      </c>
      <c r="D5" s="64">
        <f>D4+2.9273+1.8127</f>
        <v>33.125799999999998</v>
      </c>
      <c r="E5" s="62">
        <v>375</v>
      </c>
      <c r="F5" s="65" t="s">
        <v>817</v>
      </c>
      <c r="G5" s="66">
        <v>1</v>
      </c>
      <c r="H5" s="67">
        <f t="shared" ref="H5:H20" si="0">G5*E5*D5</f>
        <v>12422.174999999999</v>
      </c>
      <c r="I5" s="8">
        <v>0.2</v>
      </c>
      <c r="J5" s="8">
        <f t="shared" ref="J5:J20" si="1">H5*I5</f>
        <v>2484.4349999999999</v>
      </c>
      <c r="K5" s="35" t="s">
        <v>818</v>
      </c>
    </row>
    <row r="6" spans="2:11" ht="15" customHeight="1">
      <c r="B6" s="60" t="s">
        <v>819</v>
      </c>
      <c r="C6" s="8" t="s">
        <v>820</v>
      </c>
      <c r="D6" s="64">
        <f>D4*0.25</f>
        <v>7.0964499999999999</v>
      </c>
      <c r="E6" s="62">
        <v>20</v>
      </c>
      <c r="F6" s="65" t="s">
        <v>821</v>
      </c>
      <c r="G6" s="66">
        <v>1</v>
      </c>
      <c r="H6" s="67">
        <f t="shared" si="0"/>
        <v>141.929</v>
      </c>
      <c r="I6" s="8">
        <v>20</v>
      </c>
      <c r="J6" s="8">
        <f t="shared" si="1"/>
        <v>2838.58</v>
      </c>
      <c r="K6" s="35" t="s">
        <v>822</v>
      </c>
    </row>
    <row r="7" spans="2:11" ht="15" customHeight="1">
      <c r="B7" s="60" t="s">
        <v>823</v>
      </c>
      <c r="C7" s="8" t="s">
        <v>824</v>
      </c>
      <c r="D7" s="64">
        <f>1.0647</f>
        <v>1.0647</v>
      </c>
      <c r="E7" s="62">
        <v>100</v>
      </c>
      <c r="F7" s="65" t="s">
        <v>821</v>
      </c>
      <c r="G7" s="66">
        <v>2</v>
      </c>
      <c r="H7" s="67">
        <f t="shared" si="0"/>
        <v>212.94</v>
      </c>
      <c r="I7" s="8">
        <v>24</v>
      </c>
      <c r="J7" s="8">
        <f t="shared" si="1"/>
        <v>5110.5599999999995</v>
      </c>
      <c r="K7" s="35" t="s">
        <v>825</v>
      </c>
    </row>
    <row r="8" spans="2:11" ht="15" customHeight="1">
      <c r="B8" s="60" t="s">
        <v>826</v>
      </c>
      <c r="C8" s="8" t="s">
        <v>824</v>
      </c>
      <c r="D8" s="64"/>
      <c r="E8" s="62">
        <v>5</v>
      </c>
      <c r="F8" s="65" t="s">
        <v>821</v>
      </c>
      <c r="G8" s="66">
        <v>2</v>
      </c>
      <c r="H8" s="67">
        <f t="shared" si="0"/>
        <v>0</v>
      </c>
      <c r="I8" s="8">
        <v>50</v>
      </c>
      <c r="J8" s="8">
        <f t="shared" si="1"/>
        <v>0</v>
      </c>
      <c r="K8" s="35" t="s">
        <v>827</v>
      </c>
    </row>
    <row r="9" spans="2:11" ht="15" customHeight="1">
      <c r="B9" s="316" t="s">
        <v>828</v>
      </c>
      <c r="C9" s="304"/>
      <c r="D9" s="315" t="s">
        <v>829</v>
      </c>
      <c r="E9" s="304"/>
      <c r="F9" s="304"/>
      <c r="G9" s="304"/>
      <c r="H9" s="322"/>
      <c r="I9" s="304"/>
      <c r="J9" s="304"/>
      <c r="K9" s="318"/>
    </row>
    <row r="10" spans="2:11" ht="15" customHeight="1">
      <c r="B10" s="60" t="s">
        <v>830</v>
      </c>
      <c r="C10" s="8" t="s">
        <v>831</v>
      </c>
      <c r="D10" s="64">
        <f>D4*0.25</f>
        <v>7.0964499999999999</v>
      </c>
      <c r="E10" s="62">
        <v>10</v>
      </c>
      <c r="F10" s="65" t="s">
        <v>813</v>
      </c>
      <c r="G10" s="66">
        <v>1</v>
      </c>
      <c r="H10" s="67">
        <f t="shared" si="0"/>
        <v>70.964500000000001</v>
      </c>
      <c r="I10" s="8">
        <v>15.7</v>
      </c>
      <c r="J10" s="8">
        <f t="shared" si="1"/>
        <v>1114.14265</v>
      </c>
      <c r="K10" s="35" t="s">
        <v>832</v>
      </c>
    </row>
    <row r="11" spans="2:11" ht="15" customHeight="1">
      <c r="B11" s="60" t="s">
        <v>833</v>
      </c>
      <c r="C11" s="8" t="s">
        <v>831</v>
      </c>
      <c r="D11" s="64">
        <f>1160</f>
        <v>1160</v>
      </c>
      <c r="E11" s="62">
        <f>14*2</f>
        <v>28</v>
      </c>
      <c r="F11" s="65" t="s">
        <v>834</v>
      </c>
      <c r="G11" s="66">
        <v>1</v>
      </c>
      <c r="H11" s="67">
        <f t="shared" si="0"/>
        <v>32480</v>
      </c>
      <c r="I11" s="8">
        <v>0.5</v>
      </c>
      <c r="J11" s="8">
        <f t="shared" si="1"/>
        <v>16240</v>
      </c>
      <c r="K11" s="35" t="s">
        <v>835</v>
      </c>
    </row>
    <row r="12" spans="2:11" ht="15" customHeight="1">
      <c r="B12" s="316" t="s">
        <v>836</v>
      </c>
      <c r="C12" s="304"/>
      <c r="D12" s="304"/>
      <c r="E12" s="304"/>
      <c r="F12" s="304"/>
      <c r="G12" s="304"/>
      <c r="H12" s="322"/>
      <c r="I12" s="304"/>
      <c r="J12" s="304"/>
      <c r="K12" s="318"/>
    </row>
    <row r="13" spans="2:11" ht="15" customHeight="1">
      <c r="B13" s="60" t="s">
        <v>837</v>
      </c>
      <c r="C13" s="8" t="s">
        <v>831</v>
      </c>
      <c r="D13" s="64"/>
      <c r="E13" s="62"/>
      <c r="F13" s="65" t="s">
        <v>838</v>
      </c>
      <c r="G13" s="66">
        <v>1</v>
      </c>
      <c r="H13" s="67">
        <v>25</v>
      </c>
      <c r="I13" s="8">
        <v>175</v>
      </c>
      <c r="J13" s="8"/>
      <c r="K13" s="35" t="s">
        <v>839</v>
      </c>
    </row>
    <row r="14" spans="2:11" ht="15" customHeight="1">
      <c r="B14" s="316" t="s">
        <v>732</v>
      </c>
      <c r="C14" s="304"/>
      <c r="D14" s="304"/>
      <c r="E14" s="304"/>
      <c r="F14" s="304"/>
      <c r="G14" s="304"/>
      <c r="H14" s="322"/>
      <c r="I14" s="304"/>
      <c r="J14" s="304"/>
      <c r="K14" s="318"/>
    </row>
    <row r="15" spans="2:11" ht="15" customHeight="1">
      <c r="B15" s="60" t="s">
        <v>840</v>
      </c>
      <c r="C15" s="8" t="s">
        <v>831</v>
      </c>
      <c r="D15" s="64">
        <v>2123</v>
      </c>
      <c r="E15" s="62">
        <v>1</v>
      </c>
      <c r="F15" s="65" t="s">
        <v>841</v>
      </c>
      <c r="G15" s="66">
        <v>1</v>
      </c>
      <c r="H15" s="67">
        <f t="shared" si="0"/>
        <v>2123</v>
      </c>
      <c r="I15" s="8">
        <v>15</v>
      </c>
      <c r="J15" s="8">
        <f>H15*I15</f>
        <v>31845</v>
      </c>
      <c r="K15" s="35" t="s">
        <v>842</v>
      </c>
    </row>
    <row r="16" spans="2:11" ht="15" customHeight="1">
      <c r="B16" s="60" t="s">
        <v>843</v>
      </c>
      <c r="C16" s="8" t="s">
        <v>831</v>
      </c>
      <c r="D16" s="64">
        <v>1330</v>
      </c>
      <c r="E16" s="62">
        <v>1</v>
      </c>
      <c r="F16" s="65" t="s">
        <v>841</v>
      </c>
      <c r="G16" s="66">
        <v>1</v>
      </c>
      <c r="H16" s="67">
        <f t="shared" si="0"/>
        <v>1330</v>
      </c>
      <c r="I16" s="8">
        <v>10</v>
      </c>
      <c r="J16" s="8">
        <f t="shared" si="1"/>
        <v>13300</v>
      </c>
      <c r="K16" s="35" t="s">
        <v>842</v>
      </c>
    </row>
    <row r="17" spans="2:11" ht="15" customHeight="1">
      <c r="B17" s="60" t="s">
        <v>844</v>
      </c>
      <c r="C17" s="8" t="s">
        <v>831</v>
      </c>
      <c r="D17" s="64">
        <v>42</v>
      </c>
      <c r="E17" s="62">
        <v>1</v>
      </c>
      <c r="F17" s="65" t="s">
        <v>841</v>
      </c>
      <c r="G17" s="66">
        <v>1</v>
      </c>
      <c r="H17" s="67">
        <f t="shared" si="0"/>
        <v>42</v>
      </c>
      <c r="I17" s="8">
        <v>450</v>
      </c>
      <c r="J17" s="8">
        <f t="shared" si="1"/>
        <v>18900</v>
      </c>
      <c r="K17" s="35" t="s">
        <v>845</v>
      </c>
    </row>
    <row r="18" spans="2:11" ht="15" customHeight="1">
      <c r="B18" s="60" t="s">
        <v>846</v>
      </c>
      <c r="C18" s="8" t="s">
        <v>831</v>
      </c>
      <c r="D18" s="64">
        <v>42</v>
      </c>
      <c r="E18" s="62">
        <v>1</v>
      </c>
      <c r="F18" s="65" t="s">
        <v>841</v>
      </c>
      <c r="G18" s="66">
        <v>1</v>
      </c>
      <c r="H18" s="67">
        <f t="shared" si="0"/>
        <v>42</v>
      </c>
      <c r="I18" s="8">
        <v>200</v>
      </c>
      <c r="J18" s="8">
        <f t="shared" si="1"/>
        <v>8400</v>
      </c>
      <c r="K18" s="35" t="s">
        <v>847</v>
      </c>
    </row>
    <row r="19" spans="2:11" ht="15" customHeight="1">
      <c r="B19" s="60" t="s">
        <v>848</v>
      </c>
      <c r="C19" s="8" t="s">
        <v>831</v>
      </c>
      <c r="D19" s="64"/>
      <c r="E19" s="62">
        <v>1</v>
      </c>
      <c r="F19" s="65" t="s">
        <v>841</v>
      </c>
      <c r="G19" s="66">
        <v>1</v>
      </c>
      <c r="H19" s="67">
        <f t="shared" si="0"/>
        <v>0</v>
      </c>
      <c r="I19" s="8">
        <v>175</v>
      </c>
      <c r="J19" s="8">
        <f t="shared" si="1"/>
        <v>0</v>
      </c>
      <c r="K19" s="35"/>
    </row>
    <row r="20" spans="2:11" ht="15" customHeight="1">
      <c r="B20" s="60" t="s">
        <v>849</v>
      </c>
      <c r="C20" s="8" t="s">
        <v>831</v>
      </c>
      <c r="D20" s="64">
        <v>130</v>
      </c>
      <c r="E20" s="62">
        <v>1</v>
      </c>
      <c r="F20" s="65" t="s">
        <v>841</v>
      </c>
      <c r="G20" s="66">
        <v>1</v>
      </c>
      <c r="H20" s="67">
        <f t="shared" si="0"/>
        <v>130</v>
      </c>
      <c r="I20" s="8">
        <v>250</v>
      </c>
      <c r="J20" s="8">
        <f t="shared" si="1"/>
        <v>32500</v>
      </c>
      <c r="K20" s="35" t="s">
        <v>850</v>
      </c>
    </row>
    <row r="21" spans="2:11" ht="14.4">
      <c r="B21" s="309"/>
      <c r="C21" s="310"/>
      <c r="D21" s="310"/>
      <c r="E21" s="311"/>
      <c r="F21" s="312" t="s">
        <v>56</v>
      </c>
      <c r="G21" s="312"/>
      <c r="H21" s="323"/>
      <c r="I21" s="323"/>
      <c r="J21" s="323">
        <f>SUM(J4:J20)</f>
        <v>132917.22534999999</v>
      </c>
      <c r="K21" s="314"/>
    </row>
    <row r="22" spans="2:11" ht="12" customHeight="1">
      <c r="F22" s="59"/>
      <c r="G22" s="68"/>
      <c r="H22" s="69"/>
      <c r="I22" s="69"/>
    </row>
    <row r="23" spans="2:11">
      <c r="J23" s="70"/>
    </row>
  </sheetData>
  <mergeCells count="1">
    <mergeCell ref="B1:J1"/>
  </mergeCells>
  <pageMargins left="0.7" right="0.7" top="0.75" bottom="0.75" header="0.3" footer="0.3"/>
  <pageSetup paperSize="8" scale="82" orientation="landscape"/>
  <colBreaks count="1" manualBreakCount="1">
    <brk id="11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19"/>
  <sheetViews>
    <sheetView workbookViewId="0">
      <selection activeCell="A8" sqref="A8"/>
    </sheetView>
  </sheetViews>
  <sheetFormatPr baseColWidth="10" defaultColWidth="11" defaultRowHeight="13.2"/>
  <cols>
    <col min="1" max="1" width="38.33203125" customWidth="1"/>
    <col min="2" max="2" width="11" customWidth="1"/>
    <col min="3" max="4" width="10.6640625" customWidth="1"/>
    <col min="5" max="5" width="23.33203125" customWidth="1"/>
    <col min="6" max="6" width="10" customWidth="1"/>
  </cols>
  <sheetData>
    <row r="1" spans="1:7" ht="15" customHeight="1">
      <c r="A1" s="737" t="s">
        <v>851</v>
      </c>
      <c r="B1" s="738"/>
      <c r="C1" s="738"/>
      <c r="D1" s="738"/>
      <c r="E1" s="739"/>
      <c r="F1" s="59"/>
      <c r="G1" s="59"/>
    </row>
    <row r="2" spans="1:7" ht="36.75" customHeight="1">
      <c r="A2" s="24" t="s">
        <v>360</v>
      </c>
      <c r="B2" s="6" t="s">
        <v>803</v>
      </c>
      <c r="C2" s="6" t="s">
        <v>852</v>
      </c>
      <c r="D2" s="6" t="s">
        <v>806</v>
      </c>
      <c r="E2" s="25" t="s">
        <v>637</v>
      </c>
      <c r="F2" s="59"/>
      <c r="G2" s="59"/>
    </row>
    <row r="3" spans="1:7" ht="15" customHeight="1">
      <c r="A3" s="316" t="s">
        <v>853</v>
      </c>
      <c r="B3" s="304"/>
      <c r="C3" s="324" t="s">
        <v>854</v>
      </c>
      <c r="D3" s="304"/>
      <c r="E3" s="318"/>
    </row>
    <row r="4" spans="1:7" ht="15" customHeight="1">
      <c r="A4" s="60" t="s">
        <v>855</v>
      </c>
      <c r="B4" s="61" t="s">
        <v>856</v>
      </c>
      <c r="C4" s="62">
        <v>0</v>
      </c>
      <c r="D4" s="8">
        <f>(40/10000)*3</f>
        <v>1.2E-2</v>
      </c>
      <c r="E4" s="35">
        <f>+C4*D4</f>
        <v>0</v>
      </c>
    </row>
    <row r="5" spans="1:7" ht="15" customHeight="1">
      <c r="A5" s="316" t="s">
        <v>857</v>
      </c>
      <c r="B5" s="304"/>
      <c r="C5" s="324" t="s">
        <v>858</v>
      </c>
      <c r="D5" s="304"/>
      <c r="E5" s="318"/>
    </row>
    <row r="6" spans="1:7" ht="15" customHeight="1">
      <c r="A6" s="60" t="s">
        <v>859</v>
      </c>
      <c r="B6" s="61" t="s">
        <v>856</v>
      </c>
      <c r="C6" s="62">
        <v>2000</v>
      </c>
      <c r="D6" s="8">
        <f>4*0.5</f>
        <v>2</v>
      </c>
      <c r="E6" s="35">
        <f t="shared" ref="E6:E7" si="0">+C6*D6</f>
        <v>4000</v>
      </c>
    </row>
    <row r="7" spans="1:7" ht="15" customHeight="1">
      <c r="A7" s="60" t="s">
        <v>860</v>
      </c>
      <c r="B7" s="61" t="s">
        <v>856</v>
      </c>
      <c r="C7" s="62">
        <v>5000</v>
      </c>
      <c r="D7" s="8">
        <v>0.12</v>
      </c>
      <c r="E7" s="35">
        <f t="shared" si="0"/>
        <v>600</v>
      </c>
    </row>
    <row r="8" spans="1:7" ht="15" customHeight="1">
      <c r="A8" s="316" t="s">
        <v>861</v>
      </c>
      <c r="B8" s="304"/>
      <c r="C8" s="324" t="s">
        <v>858</v>
      </c>
      <c r="D8" s="304"/>
      <c r="E8" s="318"/>
    </row>
    <row r="9" spans="1:7" ht="15" customHeight="1">
      <c r="A9" s="60" t="s">
        <v>862</v>
      </c>
      <c r="B9" s="61" t="s">
        <v>856</v>
      </c>
      <c r="C9" s="62">
        <v>0</v>
      </c>
      <c r="D9" s="8">
        <v>0.09</v>
      </c>
      <c r="E9" s="35">
        <f t="shared" ref="E9" si="1">+C9*D9</f>
        <v>0</v>
      </c>
    </row>
    <row r="10" spans="1:7" ht="15" customHeight="1">
      <c r="A10" s="316" t="s">
        <v>863</v>
      </c>
      <c r="B10" s="304"/>
      <c r="C10" s="324" t="s">
        <v>858</v>
      </c>
      <c r="D10" s="304"/>
      <c r="E10" s="318"/>
    </row>
    <row r="11" spans="1:7" ht="15" customHeight="1">
      <c r="A11" s="60" t="s">
        <v>864</v>
      </c>
      <c r="B11" s="61" t="s">
        <v>865</v>
      </c>
      <c r="C11" s="62">
        <v>1000</v>
      </c>
      <c r="D11" s="8">
        <v>5</v>
      </c>
      <c r="E11" s="35">
        <f t="shared" ref="E11:E12" si="2">+C11*D11</f>
        <v>5000</v>
      </c>
    </row>
    <row r="12" spans="1:7" ht="15" customHeight="1">
      <c r="A12" s="60" t="s">
        <v>866</v>
      </c>
      <c r="B12" s="61" t="s">
        <v>865</v>
      </c>
      <c r="C12" s="62">
        <v>600</v>
      </c>
      <c r="D12" s="8">
        <v>18</v>
      </c>
      <c r="E12" s="35">
        <f t="shared" si="2"/>
        <v>10800</v>
      </c>
    </row>
    <row r="13" spans="1:7" ht="15" customHeight="1">
      <c r="A13" s="316" t="s">
        <v>867</v>
      </c>
      <c r="B13" s="304"/>
      <c r="C13" s="324" t="s">
        <v>854</v>
      </c>
      <c r="D13" s="304"/>
      <c r="E13" s="318"/>
    </row>
    <row r="14" spans="1:7" ht="15" customHeight="1">
      <c r="A14" s="60" t="s">
        <v>868</v>
      </c>
      <c r="B14" s="61" t="s">
        <v>856</v>
      </c>
      <c r="C14" s="62">
        <v>0</v>
      </c>
      <c r="D14" s="8">
        <f>24.58/1000</f>
        <v>2.4579999999999998E-2</v>
      </c>
      <c r="E14" s="35">
        <f>+C14*D14</f>
        <v>0</v>
      </c>
    </row>
    <row r="15" spans="1:7" ht="15" customHeight="1">
      <c r="A15" s="60" t="s">
        <v>869</v>
      </c>
      <c r="B15" s="61" t="s">
        <v>856</v>
      </c>
      <c r="C15" s="62">
        <v>0</v>
      </c>
      <c r="D15" s="8">
        <f>19.63/100</f>
        <v>0.1963</v>
      </c>
      <c r="E15" s="35">
        <f t="shared" ref="E15:E16" si="3">+C15*D15</f>
        <v>0</v>
      </c>
    </row>
    <row r="16" spans="1:7" ht="15" customHeight="1">
      <c r="A16" s="60" t="s">
        <v>870</v>
      </c>
      <c r="B16" s="61" t="s">
        <v>871</v>
      </c>
      <c r="C16" s="62">
        <v>0</v>
      </c>
      <c r="D16" s="8">
        <f>10.05/10</f>
        <v>1.0050000000000001</v>
      </c>
      <c r="E16" s="35">
        <f t="shared" si="3"/>
        <v>0</v>
      </c>
    </row>
    <row r="17" spans="1:5" ht="15" customHeight="1">
      <c r="A17" s="325" t="s">
        <v>56</v>
      </c>
      <c r="B17" s="312"/>
      <c r="C17" s="323"/>
      <c r="D17" s="323"/>
      <c r="E17" s="314">
        <f>SUM(E4:E16)</f>
        <v>20400</v>
      </c>
    </row>
    <row r="18" spans="1:5" ht="15" customHeight="1"/>
    <row r="19" spans="1:5" ht="15" customHeight="1"/>
  </sheetData>
  <mergeCells count="1">
    <mergeCell ref="A1:E1"/>
  </mergeCells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515"/>
  <sheetViews>
    <sheetView showGridLines="0" workbookViewId="0">
      <selection activeCell="B1" sqref="B1:O1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5.33203125" style="51" customWidth="1"/>
    <col min="4" max="6" width="5.6640625" style="51" customWidth="1"/>
    <col min="7" max="7" width="7.33203125" style="51" customWidth="1"/>
    <col min="8" max="15" width="5.6640625" style="51" customWidth="1"/>
    <col min="16" max="18" width="3.33203125" style="51" customWidth="1"/>
    <col min="19" max="16384" width="11.44140625" style="51"/>
  </cols>
  <sheetData>
    <row r="1" spans="2:15" ht="15" customHeight="1">
      <c r="B1" s="454" t="s">
        <v>872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</row>
    <row r="2" spans="2:15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22.5" customHeight="1">
      <c r="B3" s="742" t="s">
        <v>107</v>
      </c>
      <c r="C3" s="742"/>
      <c r="D3" s="742"/>
      <c r="E3" s="742"/>
      <c r="F3" s="742"/>
      <c r="G3" s="742"/>
      <c r="H3" s="742"/>
      <c r="I3" s="742"/>
      <c r="J3" s="742"/>
      <c r="K3" s="742"/>
      <c r="L3" s="587" t="s">
        <v>108</v>
      </c>
      <c r="M3" s="587"/>
      <c r="N3" s="587"/>
      <c r="O3" s="588"/>
    </row>
    <row r="4" spans="2:15" ht="15" customHeight="1">
      <c r="B4" s="54" t="s">
        <v>873</v>
      </c>
      <c r="C4" s="468" t="s">
        <v>874</v>
      </c>
      <c r="D4" s="468"/>
      <c r="E4" s="468"/>
      <c r="F4" s="468"/>
      <c r="G4" s="468"/>
      <c r="H4" s="468"/>
      <c r="I4" s="468"/>
      <c r="J4" s="468"/>
      <c r="K4" s="468"/>
      <c r="L4" s="633">
        <f>'F.1. Eq_Tecno_Soft'!I18</f>
        <v>40197.78056071738</v>
      </c>
      <c r="M4" s="633"/>
      <c r="N4" s="633"/>
      <c r="O4" s="633"/>
    </row>
    <row r="5" spans="2:15" ht="15" customHeight="1">
      <c r="B5" s="54" t="s">
        <v>875</v>
      </c>
      <c r="C5" s="468" t="s">
        <v>876</v>
      </c>
      <c r="D5" s="468"/>
      <c r="E5" s="468"/>
      <c r="F5" s="468"/>
      <c r="G5" s="468"/>
      <c r="H5" s="468"/>
      <c r="I5" s="468"/>
      <c r="J5" s="468"/>
      <c r="K5" s="468"/>
      <c r="L5" s="633">
        <f>'F.2 Inventario'!F21/('A. Resumen Costes Personal'!D20-'A. Resumen Costes Personal'!D19)</f>
        <v>8856.9309000000012</v>
      </c>
      <c r="M5" s="633"/>
      <c r="N5" s="633"/>
      <c r="O5" s="633"/>
    </row>
    <row r="6" spans="2:15" ht="15" customHeight="1">
      <c r="B6" s="54" t="s">
        <v>877</v>
      </c>
      <c r="C6" s="468" t="s">
        <v>878</v>
      </c>
      <c r="D6" s="468"/>
      <c r="E6" s="468"/>
      <c r="F6" s="468"/>
      <c r="G6" s="468"/>
      <c r="H6" s="468"/>
      <c r="I6" s="468"/>
      <c r="J6" s="468"/>
      <c r="K6" s="468"/>
      <c r="L6" s="633">
        <f>'F.3 ServiciosProfesionales'!F127</f>
        <v>150375.62</v>
      </c>
      <c r="M6" s="633"/>
      <c r="N6" s="633"/>
      <c r="O6" s="633"/>
    </row>
    <row r="7" spans="2:15" ht="15" customHeight="1">
      <c r="B7" s="54" t="s">
        <v>879</v>
      </c>
      <c r="C7" s="468" t="s">
        <v>880</v>
      </c>
      <c r="D7" s="468"/>
      <c r="E7" s="468"/>
      <c r="F7" s="468"/>
      <c r="G7" s="468"/>
      <c r="H7" s="468"/>
      <c r="I7" s="468"/>
      <c r="J7" s="468"/>
      <c r="K7" s="468"/>
      <c r="L7" s="633">
        <f>'F.4 Otros Costes'!H16</f>
        <v>49162.5</v>
      </c>
      <c r="M7" s="633"/>
      <c r="N7" s="633"/>
      <c r="O7" s="633"/>
    </row>
    <row r="8" spans="2:15" s="49" customFormat="1" ht="15" customHeight="1">
      <c r="B8" s="577" t="s">
        <v>133</v>
      </c>
      <c r="C8" s="577"/>
      <c r="D8" s="56"/>
      <c r="E8" s="57"/>
      <c r="F8" s="57"/>
      <c r="G8" s="57"/>
      <c r="H8" s="58"/>
      <c r="I8" s="58"/>
      <c r="J8" s="58"/>
      <c r="K8" s="58"/>
      <c r="L8" s="627">
        <f>SUM(L4:O7)</f>
        <v>248592.83146071737</v>
      </c>
      <c r="M8" s="627"/>
      <c r="N8" s="627"/>
      <c r="O8" s="627"/>
    </row>
    <row r="9" spans="2:15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2:15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2:15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2:15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2:15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15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2:15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2:15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15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2:15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2:15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2:15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2:15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2:15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2:15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2:15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2:15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2:15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15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2:15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2:15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2:15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2:15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2:15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2:15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2:15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2:15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2:15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2:15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2:15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2:15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2:15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2:15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2:15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2:15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2:15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2:15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2:15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2:15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2:15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</row>
    <row r="58" spans="2:15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2:15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2:15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2:15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2:15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2:15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2:15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</row>
    <row r="65" spans="2:15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2:15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</row>
    <row r="67" spans="2:15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</row>
    <row r="68" spans="2:15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</row>
    <row r="69" spans="2:15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</row>
    <row r="70" spans="2:15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</row>
    <row r="71" spans="2:15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</row>
    <row r="72" spans="2:15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</row>
    <row r="73" spans="2:15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</row>
    <row r="74" spans="2:15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2:15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</row>
    <row r="76" spans="2:15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</row>
    <row r="77" spans="2:15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</row>
    <row r="78" spans="2:15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</row>
    <row r="79" spans="2:15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</row>
    <row r="80" spans="2:15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</row>
    <row r="81" spans="2:15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</row>
    <row r="82" spans="2:15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</row>
    <row r="83" spans="2:15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2:15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</row>
    <row r="85" spans="2:15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</row>
    <row r="86" spans="2:15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</row>
    <row r="87" spans="2:15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2:15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2:15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</row>
    <row r="90" spans="2:15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2:15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</row>
    <row r="92" spans="2:15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2:15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</row>
    <row r="94" spans="2:15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</row>
    <row r="95" spans="2:15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</row>
    <row r="96" spans="2:15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</row>
    <row r="97" spans="2:15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</row>
    <row r="98" spans="2:15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</row>
    <row r="99" spans="2:15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2:15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2:15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2:15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2:15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2:15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2:15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2:15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2:15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2:15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2:15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2:15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2:15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</row>
    <row r="112" spans="2:15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2:15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</row>
    <row r="114" spans="2:15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2:15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2:15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2:15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2:15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</row>
    <row r="119" spans="2:15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</row>
    <row r="120" spans="2:15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</row>
    <row r="121" spans="2:15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2:15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</row>
    <row r="123" spans="2:15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2:15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2:15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2:15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</row>
    <row r="127" spans="2:15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2:15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5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2:15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2:15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2:15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</row>
    <row r="133" spans="2:15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2:15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2:15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2:15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</row>
    <row r="137" spans="2:15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</row>
    <row r="138" spans="2:15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</row>
    <row r="139" spans="2:15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2:15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2:15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2:15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2:15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2:15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2:15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2:15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2:15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</row>
    <row r="148" spans="2:15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</row>
    <row r="149" spans="2:15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2:15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2:15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</row>
    <row r="152" spans="2:15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2:15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2:15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2:15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2:15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2:15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2:15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2:15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2:15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2:15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2:15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2:15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2:15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2:15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2:15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2:15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2:15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2:15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2:15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2:15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2:15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2:15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2:15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2:15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2:15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2:15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</row>
    <row r="178" spans="2:15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2:15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2:15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2:15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2:15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2:15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</row>
    <row r="184" spans="2:15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2:15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2:15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2:15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2:15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</row>
    <row r="189" spans="2:15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2:15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2:15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2:15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2:15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2:15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</row>
    <row r="195" spans="2:15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2:15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2:15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</row>
    <row r="198" spans="2:15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2:15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</row>
    <row r="200" spans="2:15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2:15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2:15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2:15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2:15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2:15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2:15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2:15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2:15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2:15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</row>
    <row r="210" spans="2:15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2:15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2:15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2:15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</row>
    <row r="214" spans="2:15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</row>
    <row r="215" spans="2:15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2:15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2:15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2:15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2:15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</row>
    <row r="220" spans="2:15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2:15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2:15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2:15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</row>
    <row r="224" spans="2:15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</row>
    <row r="225" spans="2:15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2:15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2:15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</row>
    <row r="228" spans="2:15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</row>
    <row r="229" spans="2:15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2:15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2:15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2:15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2:15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</row>
    <row r="234" spans="2:15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2:15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2:15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2:15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2:15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</row>
    <row r="240" spans="2:15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2:15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2:15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2:15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</row>
    <row r="244" spans="2:15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2:15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</row>
    <row r="246" spans="2:15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2:15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2:15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</row>
    <row r="249" spans="2:15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2:15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2:15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2:15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2:15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2:15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2:15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2:15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</row>
    <row r="257" spans="2:15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</row>
    <row r="258" spans="2:15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2:15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2:15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</row>
    <row r="261" spans="2:15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2:15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</row>
    <row r="263" spans="2:15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2:15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2:15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</row>
    <row r="266" spans="2:15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2:15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2:15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</row>
    <row r="269" spans="2:15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2:15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2:15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</row>
    <row r="272" spans="2:15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</row>
    <row r="273" spans="2:15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2:15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2:15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2:15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2:15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2:15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</row>
    <row r="279" spans="2:15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2:15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2:15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2:15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2:15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</row>
    <row r="284" spans="2:15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2:15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</row>
    <row r="286" spans="2:15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</row>
    <row r="287" spans="2:15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</row>
    <row r="288" spans="2:15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</row>
    <row r="289" spans="2:15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</row>
    <row r="290" spans="2:15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</row>
    <row r="291" spans="2:15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2:15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</row>
    <row r="293" spans="2:15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</row>
    <row r="294" spans="2:15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2:15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</row>
    <row r="296" spans="2:15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</row>
    <row r="297" spans="2:15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</row>
    <row r="298" spans="2:15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</row>
    <row r="299" spans="2:15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</row>
    <row r="300" spans="2:15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2:15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</row>
    <row r="302" spans="2:15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</row>
    <row r="303" spans="2:15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</row>
    <row r="304" spans="2:15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</row>
    <row r="305" spans="2:15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</row>
    <row r="306" spans="2:15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</row>
    <row r="307" spans="2:15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</row>
    <row r="308" spans="2:15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</row>
    <row r="309" spans="2:15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</row>
    <row r="310" spans="2:15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</row>
    <row r="311" spans="2:15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</row>
    <row r="312" spans="2:15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</row>
    <row r="313" spans="2:15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</row>
    <row r="314" spans="2:15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</row>
    <row r="315" spans="2:15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</row>
    <row r="316" spans="2:15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</row>
    <row r="317" spans="2:15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</row>
    <row r="318" spans="2:15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</row>
    <row r="319" spans="2:15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</row>
    <row r="320" spans="2:15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</row>
    <row r="321" spans="2:15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2:15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2:15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2:15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25" spans="2:15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</row>
    <row r="326" spans="2:15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</row>
    <row r="327" spans="2:15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</row>
    <row r="328" spans="2:15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</row>
    <row r="329" spans="2:15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</row>
    <row r="330" spans="2:15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</row>
    <row r="331" spans="2:15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</row>
    <row r="332" spans="2:15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</row>
    <row r="333" spans="2:15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</row>
    <row r="334" spans="2:15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</row>
    <row r="335" spans="2:15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</row>
    <row r="336" spans="2:15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</row>
    <row r="337" spans="2:15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2:15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</row>
    <row r="339" spans="2:15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</row>
    <row r="340" spans="2:15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</row>
    <row r="341" spans="2:15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</row>
    <row r="342" spans="2:15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</row>
    <row r="343" spans="2:15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</row>
    <row r="344" spans="2:15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</row>
    <row r="345" spans="2:15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</row>
    <row r="346" spans="2:15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</row>
    <row r="347" spans="2:15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</row>
    <row r="348" spans="2:15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</row>
    <row r="349" spans="2:15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</row>
    <row r="350" spans="2:15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</row>
    <row r="351" spans="2:15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</row>
    <row r="352" spans="2:15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</row>
    <row r="353" spans="2:15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</row>
    <row r="354" spans="2:15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</row>
    <row r="355" spans="2:15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</row>
    <row r="356" spans="2:15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</row>
    <row r="357" spans="2:15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</row>
    <row r="358" spans="2:15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</row>
    <row r="359" spans="2:15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</row>
    <row r="360" spans="2:15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</row>
    <row r="361" spans="2:15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</row>
    <row r="362" spans="2:15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</row>
    <row r="363" spans="2:15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</row>
    <row r="364" spans="2:15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</row>
    <row r="365" spans="2:15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</row>
    <row r="366" spans="2:15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</row>
    <row r="367" spans="2:15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</row>
    <row r="368" spans="2:15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</row>
    <row r="369" spans="2:15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</row>
    <row r="370" spans="2:15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</row>
    <row r="371" spans="2:15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</row>
    <row r="372" spans="2:15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</row>
    <row r="373" spans="2:15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</row>
    <row r="374" spans="2:15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</row>
    <row r="375" spans="2:15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</row>
    <row r="376" spans="2:15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</row>
    <row r="377" spans="2:15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</row>
    <row r="378" spans="2:15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</row>
    <row r="379" spans="2:15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</row>
    <row r="380" spans="2:15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</row>
    <row r="381" spans="2:15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</row>
    <row r="382" spans="2:15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</row>
    <row r="383" spans="2:15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</row>
    <row r="384" spans="2:15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</row>
    <row r="385" spans="2:15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</row>
    <row r="386" spans="2:15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</row>
    <row r="387" spans="2:15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</row>
    <row r="388" spans="2:15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</row>
    <row r="389" spans="2:15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</row>
    <row r="390" spans="2:15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</row>
    <row r="391" spans="2:15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</row>
    <row r="392" spans="2:15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</row>
    <row r="393" spans="2:15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</row>
    <row r="394" spans="2:15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</row>
    <row r="395" spans="2:15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</row>
    <row r="396" spans="2:15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</row>
    <row r="397" spans="2:15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</row>
    <row r="398" spans="2:15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</row>
    <row r="399" spans="2:15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</row>
    <row r="400" spans="2:15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</row>
    <row r="401" spans="2:15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</row>
    <row r="402" spans="2:15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</row>
    <row r="403" spans="2:15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</row>
    <row r="404" spans="2:15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</row>
    <row r="405" spans="2:15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</row>
    <row r="406" spans="2:15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</row>
    <row r="407" spans="2:15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</row>
    <row r="408" spans="2:15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</row>
    <row r="409" spans="2:15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</row>
    <row r="410" spans="2:15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</row>
    <row r="411" spans="2:15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</row>
    <row r="412" spans="2:15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</row>
    <row r="413" spans="2:15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</row>
    <row r="414" spans="2:15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</row>
    <row r="415" spans="2:15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</row>
    <row r="416" spans="2:15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</row>
    <row r="417" spans="2:15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</row>
    <row r="418" spans="2:15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</row>
    <row r="419" spans="2:15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</row>
    <row r="420" spans="2:15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</row>
    <row r="421" spans="2:15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</row>
    <row r="422" spans="2:15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</row>
    <row r="423" spans="2:15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</row>
    <row r="424" spans="2:15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</row>
    <row r="425" spans="2:15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</row>
    <row r="426" spans="2:15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</row>
    <row r="427" spans="2:15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</row>
    <row r="428" spans="2:15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</row>
    <row r="429" spans="2:15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</row>
    <row r="430" spans="2:15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</row>
    <row r="431" spans="2:15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</row>
    <row r="432" spans="2:15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</row>
    <row r="433" spans="2:15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</row>
    <row r="434" spans="2:15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</row>
    <row r="435" spans="2:15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</row>
    <row r="436" spans="2:15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</row>
    <row r="437" spans="2:15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</row>
    <row r="438" spans="2:15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</row>
    <row r="439" spans="2:15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</row>
    <row r="440" spans="2:15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</row>
    <row r="441" spans="2:15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</row>
    <row r="442" spans="2:15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</row>
    <row r="443" spans="2:15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</row>
    <row r="444" spans="2:15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</row>
    <row r="445" spans="2:15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</row>
    <row r="446" spans="2:15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</row>
    <row r="447" spans="2:15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</row>
    <row r="448" spans="2:15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</row>
    <row r="449" spans="2:15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</row>
    <row r="450" spans="2:15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</row>
    <row r="451" spans="2:15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</row>
    <row r="452" spans="2:15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</row>
    <row r="453" spans="2:15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</row>
    <row r="454" spans="2:15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</row>
    <row r="455" spans="2:15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</row>
    <row r="456" spans="2:15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</row>
    <row r="457" spans="2:15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</row>
    <row r="458" spans="2:15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</row>
    <row r="459" spans="2:15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</row>
    <row r="460" spans="2:15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</row>
    <row r="461" spans="2:15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</row>
    <row r="462" spans="2:15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</row>
    <row r="463" spans="2:15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</row>
    <row r="464" spans="2:15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</row>
    <row r="465" spans="2:15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</row>
    <row r="466" spans="2:15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</row>
    <row r="467" spans="2:15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</row>
    <row r="468" spans="2:15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</row>
    <row r="469" spans="2:15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</row>
    <row r="470" spans="2:15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</row>
    <row r="471" spans="2:15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</row>
    <row r="472" spans="2:15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</row>
    <row r="473" spans="2:15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</row>
    <row r="474" spans="2:15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</row>
    <row r="475" spans="2:15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</row>
    <row r="476" spans="2:15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</row>
    <row r="477" spans="2:15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</row>
    <row r="478" spans="2:15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</row>
    <row r="479" spans="2:15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</row>
    <row r="480" spans="2:15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</row>
    <row r="481" spans="2:15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</row>
    <row r="482" spans="2:15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</row>
    <row r="483" spans="2:15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</row>
    <row r="484" spans="2:15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</row>
    <row r="485" spans="2:15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</row>
    <row r="486" spans="2:15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</row>
    <row r="487" spans="2:15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</row>
    <row r="488" spans="2:15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</row>
    <row r="489" spans="2:15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</row>
    <row r="490" spans="2:15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</row>
    <row r="491" spans="2:15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</row>
    <row r="492" spans="2:15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</row>
    <row r="493" spans="2:15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</row>
    <row r="494" spans="2:15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</row>
    <row r="495" spans="2:15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</row>
    <row r="496" spans="2:15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</row>
    <row r="497" spans="2:15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</row>
    <row r="498" spans="2:15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</row>
    <row r="499" spans="2:15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</row>
    <row r="500" spans="2:15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</row>
    <row r="501" spans="2:15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</row>
    <row r="502" spans="2:15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</row>
    <row r="503" spans="2:15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</row>
    <row r="504" spans="2:15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</row>
    <row r="505" spans="2:15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</row>
    <row r="506" spans="2:15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</row>
    <row r="507" spans="2:15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</row>
    <row r="508" spans="2:15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</row>
    <row r="509" spans="2:15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</row>
    <row r="510" spans="2:15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</row>
    <row r="511" spans="2:15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</row>
    <row r="512" spans="2:15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</row>
    <row r="513" spans="2:15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</row>
    <row r="514" spans="2:15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</row>
    <row r="515" spans="2:15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</row>
  </sheetData>
  <mergeCells count="13">
    <mergeCell ref="B8:C8"/>
    <mergeCell ref="L8:O8"/>
    <mergeCell ref="C5:K5"/>
    <mergeCell ref="L5:O5"/>
    <mergeCell ref="C6:K6"/>
    <mergeCell ref="L6:O6"/>
    <mergeCell ref="C7:K7"/>
    <mergeCell ref="L7:O7"/>
    <mergeCell ref="B1:O1"/>
    <mergeCell ref="B3:K3"/>
    <mergeCell ref="L3:O3"/>
    <mergeCell ref="C4:K4"/>
    <mergeCell ref="L4:O4"/>
  </mergeCells>
  <pageMargins left="0.511811023622047" right="0.511811023622047" top="0.55118110236220497" bottom="0.55118110236220497" header="0.31496062992126" footer="0.31496062992126"/>
  <pageSetup paperSize="9" scale="78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8"/>
  <sheetViews>
    <sheetView workbookViewId="0">
      <selection activeCell="E24" sqref="E24"/>
    </sheetView>
  </sheetViews>
  <sheetFormatPr baseColWidth="10" defaultColWidth="11.44140625" defaultRowHeight="13.2"/>
  <cols>
    <col min="1" max="1" width="15.6640625" style="1" customWidth="1"/>
    <col min="2" max="2" width="2.33203125" style="1" customWidth="1"/>
    <col min="3" max="3" width="11.33203125" style="2" customWidth="1"/>
    <col min="4" max="4" width="67.6640625" style="3" customWidth="1"/>
    <col min="5" max="5" width="22.88671875" style="2" customWidth="1"/>
    <col min="6" max="6" width="15.6640625" style="4" customWidth="1"/>
    <col min="7" max="7" width="19.44140625" style="1" customWidth="1"/>
    <col min="8" max="8" width="15" style="1" customWidth="1"/>
    <col min="9" max="9" width="20.5546875" style="1" customWidth="1"/>
    <col min="10" max="16384" width="11.44140625" style="1"/>
  </cols>
  <sheetData>
    <row r="1" spans="1:13" ht="15" customHeight="1">
      <c r="A1" s="41"/>
      <c r="B1" s="22"/>
      <c r="C1" s="743" t="s">
        <v>881</v>
      </c>
      <c r="D1" s="743"/>
      <c r="E1" s="743"/>
      <c r="F1" s="743"/>
      <c r="G1" s="743"/>
      <c r="H1" s="743"/>
      <c r="I1" s="744"/>
      <c r="J1" s="18"/>
      <c r="K1" s="18"/>
      <c r="L1" s="18"/>
      <c r="M1" s="18"/>
    </row>
    <row r="2" spans="1:13" ht="43.2">
      <c r="A2" s="42" t="s">
        <v>651</v>
      </c>
      <c r="B2" s="23"/>
      <c r="C2" s="5" t="s">
        <v>632</v>
      </c>
      <c r="D2" s="6" t="s">
        <v>360</v>
      </c>
      <c r="E2" s="6" t="s">
        <v>633</v>
      </c>
      <c r="F2" s="6" t="s">
        <v>634</v>
      </c>
      <c r="G2" s="6" t="s">
        <v>635</v>
      </c>
      <c r="H2" s="6" t="s">
        <v>636</v>
      </c>
      <c r="I2" s="6" t="s">
        <v>637</v>
      </c>
      <c r="J2" s="19"/>
      <c r="K2" s="19"/>
      <c r="L2" s="19"/>
      <c r="M2" s="45"/>
    </row>
    <row r="3" spans="1:13" ht="15" customHeight="1">
      <c r="A3" s="304"/>
      <c r="B3" s="26"/>
      <c r="C3" s="304"/>
      <c r="D3" s="304" t="s">
        <v>882</v>
      </c>
      <c r="E3" s="304"/>
      <c r="F3" s="304"/>
      <c r="G3" s="304"/>
      <c r="H3" s="304"/>
      <c r="I3" s="304"/>
      <c r="J3" s="20"/>
      <c r="K3"/>
      <c r="L3"/>
      <c r="M3"/>
    </row>
    <row r="4" spans="1:13" ht="15" customHeight="1">
      <c r="A4" s="43"/>
      <c r="B4" s="27"/>
      <c r="C4" s="44">
        <f>M9</f>
        <v>19</v>
      </c>
      <c r="D4" s="7" t="s">
        <v>883</v>
      </c>
      <c r="E4" s="12">
        <v>120</v>
      </c>
      <c r="F4" s="9">
        <v>1</v>
      </c>
      <c r="G4" s="8">
        <f>E4/F4</f>
        <v>120</v>
      </c>
      <c r="H4" s="10"/>
      <c r="I4" s="8">
        <f>C4*G4</f>
        <v>2280</v>
      </c>
      <c r="J4" s="21"/>
      <c r="K4" s="46"/>
      <c r="L4" s="47" t="s">
        <v>121</v>
      </c>
      <c r="M4" s="48">
        <f>C.1.1.Vestuario_Equip!K4</f>
        <v>80</v>
      </c>
    </row>
    <row r="5" spans="1:13" ht="15" customHeight="1">
      <c r="A5" s="43"/>
      <c r="B5" s="27"/>
      <c r="C5" s="326"/>
      <c r="D5" s="304" t="s">
        <v>884</v>
      </c>
      <c r="E5" s="327"/>
      <c r="F5" s="304"/>
      <c r="G5" s="304"/>
      <c r="H5" s="304"/>
      <c r="I5" s="304"/>
      <c r="J5" s="21"/>
      <c r="K5" s="46"/>
      <c r="L5" s="47" t="s">
        <v>641</v>
      </c>
      <c r="M5" s="48">
        <f>C.1.1.Vestuario_Equip!K5</f>
        <v>1</v>
      </c>
    </row>
    <row r="6" spans="1:13" ht="15" customHeight="1">
      <c r="A6" s="43">
        <v>2</v>
      </c>
      <c r="B6" s="27"/>
      <c r="C6" s="44">
        <f>(M4/10)*A6+M5+M6</f>
        <v>19</v>
      </c>
      <c r="D6" s="7" t="s">
        <v>885</v>
      </c>
      <c r="E6" s="12">
        <v>250</v>
      </c>
      <c r="F6" s="9">
        <v>4</v>
      </c>
      <c r="G6" s="8">
        <f t="shared" ref="G6:G8" si="0">E6/F6</f>
        <v>62.5</v>
      </c>
      <c r="H6" s="10"/>
      <c r="I6" s="8">
        <f t="shared" ref="I6:I8" si="1">C6*G6</f>
        <v>1187.5</v>
      </c>
      <c r="J6" s="21"/>
      <c r="K6" s="46"/>
      <c r="L6" s="47" t="s">
        <v>643</v>
      </c>
      <c r="M6" s="48">
        <f>C.1.1.Vestuario_Equip!K6</f>
        <v>2</v>
      </c>
    </row>
    <row r="7" spans="1:13" ht="15" customHeight="1">
      <c r="A7" s="43">
        <v>2</v>
      </c>
      <c r="B7" s="27"/>
      <c r="C7" s="44">
        <f>(M4/10)*A7</f>
        <v>16</v>
      </c>
      <c r="D7" s="7" t="s">
        <v>886</v>
      </c>
      <c r="E7" s="12">
        <v>450</v>
      </c>
      <c r="F7" s="9">
        <v>4</v>
      </c>
      <c r="G7" s="8">
        <f t="shared" si="0"/>
        <v>112.5</v>
      </c>
      <c r="H7" s="10"/>
      <c r="I7" s="8">
        <f t="shared" si="1"/>
        <v>1800</v>
      </c>
      <c r="J7" s="21"/>
      <c r="K7" s="18"/>
      <c r="L7" s="18"/>
      <c r="M7" s="18"/>
    </row>
    <row r="8" spans="1:13" ht="15" customHeight="1">
      <c r="A8" s="43">
        <v>2</v>
      </c>
      <c r="B8" s="27"/>
      <c r="C8" s="44">
        <f>C7+C6</f>
        <v>35</v>
      </c>
      <c r="D8" s="7" t="s">
        <v>887</v>
      </c>
      <c r="E8" s="12">
        <v>180</v>
      </c>
      <c r="F8" s="9">
        <v>1</v>
      </c>
      <c r="G8" s="8">
        <f t="shared" si="0"/>
        <v>180</v>
      </c>
      <c r="H8" s="10"/>
      <c r="I8" s="8">
        <f t="shared" si="1"/>
        <v>6300</v>
      </c>
      <c r="J8" s="21"/>
      <c r="K8" s="18"/>
      <c r="L8" s="18"/>
      <c r="M8" s="18"/>
    </row>
    <row r="9" spans="1:13" ht="15" customHeight="1">
      <c r="A9" s="43"/>
      <c r="C9" s="326"/>
      <c r="D9" s="304" t="s">
        <v>888</v>
      </c>
      <c r="E9" s="327"/>
      <c r="F9" s="304"/>
      <c r="G9" s="304"/>
      <c r="H9" s="304"/>
      <c r="I9" s="304"/>
      <c r="J9" s="21"/>
      <c r="K9" s="46"/>
      <c r="L9" s="47" t="s">
        <v>889</v>
      </c>
      <c r="M9" s="48">
        <f>SUM(B.1.Vehículos!A7:A18)+SUM(B.1.Vehículos!A20:A26)+SUM(B.1.Vehículos!A28:A29)+SUM(B.1.Vehículos!A31:A37)+SUM(B.1.Vehículos!A39:A48)</f>
        <v>19</v>
      </c>
    </row>
    <row r="10" spans="1:13" ht="15" customHeight="1">
      <c r="A10" s="43">
        <v>1</v>
      </c>
      <c r="C10" s="44">
        <f>(M4/10)*A10+M5+M6</f>
        <v>11</v>
      </c>
      <c r="D10" s="7" t="s">
        <v>890</v>
      </c>
      <c r="E10" s="12">
        <v>750</v>
      </c>
      <c r="F10" s="9">
        <v>4</v>
      </c>
      <c r="G10" s="8">
        <f t="shared" ref="G10:G11" si="2">E10/F10</f>
        <v>187.5</v>
      </c>
      <c r="H10" s="10"/>
      <c r="I10" s="8">
        <f t="shared" ref="I10:I11" si="3">C10*G10</f>
        <v>2062.5</v>
      </c>
      <c r="K10" s="46"/>
      <c r="L10" s="47" t="s">
        <v>891</v>
      </c>
      <c r="M10" s="48">
        <f>D.1_2_Locales_Inst!A4+D.1_2_Locales_Inst!A5+D.1_2_Locales_Inst!A6</f>
        <v>1</v>
      </c>
    </row>
    <row r="11" spans="1:13" ht="15" customHeight="1">
      <c r="A11" s="43">
        <v>1</v>
      </c>
      <c r="C11" s="44">
        <f>M10</f>
        <v>1</v>
      </c>
      <c r="D11" s="7" t="s">
        <v>892</v>
      </c>
      <c r="E11" s="12">
        <v>750</v>
      </c>
      <c r="F11" s="9">
        <v>1</v>
      </c>
      <c r="G11" s="8">
        <f t="shared" si="2"/>
        <v>750</v>
      </c>
      <c r="H11" s="10"/>
      <c r="I11" s="8">
        <f t="shared" si="3"/>
        <v>750</v>
      </c>
    </row>
    <row r="12" spans="1:13" ht="15" customHeight="1">
      <c r="A12" s="43"/>
      <c r="C12" s="326"/>
      <c r="D12" s="304" t="s">
        <v>893</v>
      </c>
      <c r="E12" s="327"/>
      <c r="F12" s="304"/>
      <c r="G12" s="304"/>
      <c r="H12" s="304"/>
      <c r="I12" s="304"/>
    </row>
    <row r="13" spans="1:13" ht="15" customHeight="1">
      <c r="A13" s="43"/>
      <c r="C13" s="44">
        <f>C10</f>
        <v>11</v>
      </c>
      <c r="D13" s="7" t="s">
        <v>894</v>
      </c>
      <c r="E13" s="12">
        <v>200</v>
      </c>
      <c r="F13" s="9">
        <v>1</v>
      </c>
      <c r="G13" s="8">
        <f t="shared" ref="G13:G17" si="4">E13/F13</f>
        <v>200</v>
      </c>
      <c r="H13" s="10"/>
      <c r="I13" s="8">
        <f t="shared" ref="I13:I17" si="5">C13*G13</f>
        <v>2200</v>
      </c>
    </row>
    <row r="14" spans="1:13" ht="15" customHeight="1">
      <c r="A14" s="43"/>
      <c r="C14" s="11">
        <f>M6</f>
        <v>2</v>
      </c>
      <c r="D14" s="7" t="s">
        <v>895</v>
      </c>
      <c r="E14" s="12">
        <v>25</v>
      </c>
      <c r="F14" s="9">
        <v>1</v>
      </c>
      <c r="G14" s="8">
        <f t="shared" si="4"/>
        <v>25</v>
      </c>
      <c r="H14" s="10"/>
      <c r="I14" s="8">
        <f t="shared" si="5"/>
        <v>50</v>
      </c>
    </row>
    <row r="15" spans="1:13" ht="15" customHeight="1">
      <c r="A15" s="43"/>
      <c r="C15" s="11">
        <f>M6</f>
        <v>2</v>
      </c>
      <c r="D15" s="7" t="s">
        <v>896</v>
      </c>
      <c r="E15" s="12">
        <v>75</v>
      </c>
      <c r="F15" s="9">
        <v>1</v>
      </c>
      <c r="G15" s="8">
        <f t="shared" si="4"/>
        <v>75</v>
      </c>
      <c r="H15" s="10"/>
      <c r="I15" s="8">
        <f t="shared" si="5"/>
        <v>150</v>
      </c>
    </row>
    <row r="16" spans="1:13" ht="15" customHeight="1">
      <c r="A16" s="43"/>
      <c r="C16" s="11">
        <f>M6</f>
        <v>2</v>
      </c>
      <c r="D16" s="7" t="s">
        <v>897</v>
      </c>
      <c r="E16" s="12">
        <v>150</v>
      </c>
      <c r="F16" s="9">
        <v>1</v>
      </c>
      <c r="G16" s="8">
        <f t="shared" si="4"/>
        <v>150</v>
      </c>
      <c r="H16" s="10"/>
      <c r="I16" s="8">
        <f t="shared" si="5"/>
        <v>300</v>
      </c>
    </row>
    <row r="17" spans="1:12" ht="15" customHeight="1">
      <c r="A17" s="43"/>
      <c r="C17" s="11">
        <v>1</v>
      </c>
      <c r="D17" s="7" t="s">
        <v>898</v>
      </c>
      <c r="E17" s="12">
        <f>0.0075*('A. Resumen Costes Personal'!N17)</f>
        <v>23117.78056071738</v>
      </c>
      <c r="F17" s="9">
        <v>1</v>
      </c>
      <c r="G17" s="8">
        <f t="shared" si="4"/>
        <v>23117.78056071738</v>
      </c>
      <c r="H17" s="10"/>
      <c r="I17" s="8">
        <f t="shared" si="5"/>
        <v>23117.78056071738</v>
      </c>
      <c r="J17" s="3"/>
      <c r="K17" s="2"/>
      <c r="L17" s="4"/>
    </row>
    <row r="18" spans="1:12" ht="15" customHeight="1">
      <c r="A18" s="43"/>
      <c r="C18" s="328"/>
      <c r="D18" s="329"/>
      <c r="E18" s="329"/>
      <c r="F18" s="328"/>
      <c r="G18" s="330" t="s">
        <v>56</v>
      </c>
      <c r="H18" s="330"/>
      <c r="I18" s="331">
        <f>SUM(I4:I17)</f>
        <v>40197.78056071738</v>
      </c>
    </row>
  </sheetData>
  <mergeCells count="1">
    <mergeCell ref="C1:I1"/>
  </mergeCells>
  <conditionalFormatting sqref="I4 I6:I8 I10:I11 I13:I17">
    <cfRule type="cellIs" dxfId="10" priority="1" operator="equal">
      <formula>0</formula>
    </cfRule>
  </conditionalFormatting>
  <pageMargins left="0.7" right="0.7" top="0.75" bottom="0.75" header="0.3" footer="0.3"/>
  <pageSetup paperSize="9" scale="91" orientation="landscape"/>
  <colBreaks count="1" manualBreakCount="1">
    <brk id="9" max="17" man="1"/>
  </col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4"/>
  <sheetViews>
    <sheetView workbookViewId="0">
      <selection activeCell="G23" sqref="G23"/>
    </sheetView>
  </sheetViews>
  <sheetFormatPr baseColWidth="10" defaultColWidth="11.44140625" defaultRowHeight="13.2"/>
  <cols>
    <col min="1" max="1" width="2.33203125" style="1" customWidth="1"/>
    <col min="2" max="2" width="11.33203125" style="2" customWidth="1"/>
    <col min="3" max="3" width="67.6640625" style="3" customWidth="1"/>
    <col min="4" max="4" width="17" style="2" customWidth="1"/>
    <col min="5" max="5" width="15.6640625" style="4" customWidth="1"/>
    <col min="6" max="6" width="21.5546875" style="1" customWidth="1"/>
    <col min="7" max="16384" width="11.44140625" style="1"/>
  </cols>
  <sheetData>
    <row r="1" spans="1:7" ht="15" customHeight="1">
      <c r="A1" s="22"/>
      <c r="B1" s="737" t="s">
        <v>899</v>
      </c>
      <c r="C1" s="738"/>
      <c r="D1" s="738"/>
      <c r="E1" s="738"/>
      <c r="F1" s="739"/>
      <c r="G1" s="18"/>
    </row>
    <row r="2" spans="1:7" ht="14.4">
      <c r="A2" s="23"/>
      <c r="B2" s="24" t="s">
        <v>632</v>
      </c>
      <c r="C2" s="6" t="s">
        <v>360</v>
      </c>
      <c r="D2" s="6" t="s">
        <v>633</v>
      </c>
      <c r="E2" s="6" t="s">
        <v>900</v>
      </c>
      <c r="F2" s="25" t="s">
        <v>637</v>
      </c>
      <c r="G2" s="19"/>
    </row>
    <row r="3" spans="1:7" ht="15" customHeight="1">
      <c r="A3" s="26"/>
      <c r="B3" s="316"/>
      <c r="C3" s="304" t="s">
        <v>901</v>
      </c>
      <c r="D3" s="304"/>
      <c r="E3" s="304"/>
      <c r="F3" s="318"/>
      <c r="G3" s="20"/>
    </row>
    <row r="4" spans="1:7" ht="15" customHeight="1">
      <c r="A4" s="27"/>
      <c r="B4" s="39">
        <v>18127</v>
      </c>
      <c r="C4" s="7" t="s">
        <v>902</v>
      </c>
      <c r="D4" s="8">
        <v>0.9</v>
      </c>
      <c r="E4" s="9" t="s">
        <v>903</v>
      </c>
      <c r="F4" s="35">
        <f>D4*B4</f>
        <v>16314.300000000001</v>
      </c>
      <c r="G4" s="21"/>
    </row>
    <row r="5" spans="1:7" ht="15" customHeight="1">
      <c r="A5" s="27"/>
      <c r="B5" s="39">
        <v>0</v>
      </c>
      <c r="C5" s="7" t="s">
        <v>904</v>
      </c>
      <c r="D5" s="8">
        <v>1.2</v>
      </c>
      <c r="E5" s="9" t="s">
        <v>903</v>
      </c>
      <c r="F5" s="35">
        <f>D5*B5</f>
        <v>0</v>
      </c>
      <c r="G5" s="21"/>
    </row>
    <row r="6" spans="1:7" ht="15" customHeight="1">
      <c r="A6" s="27"/>
      <c r="B6" s="332"/>
      <c r="C6" s="304" t="s">
        <v>905</v>
      </c>
      <c r="D6" s="304"/>
      <c r="E6" s="304"/>
      <c r="F6" s="318"/>
      <c r="G6" s="21"/>
    </row>
    <row r="7" spans="1:7" ht="15" customHeight="1">
      <c r="A7" s="27"/>
      <c r="B7" s="40">
        <f>1862408/10000-B10</f>
        <v>159.0866</v>
      </c>
      <c r="C7" s="7" t="s">
        <v>906</v>
      </c>
      <c r="D7" s="8">
        <v>102</v>
      </c>
      <c r="E7" s="9" t="s">
        <v>907</v>
      </c>
      <c r="F7" s="35">
        <f>D7*B7</f>
        <v>16226.833200000001</v>
      </c>
      <c r="G7" s="21"/>
    </row>
    <row r="8" spans="1:7" ht="15" customHeight="1">
      <c r="A8" s="27"/>
      <c r="B8" s="40">
        <v>0</v>
      </c>
      <c r="C8" s="7" t="s">
        <v>908</v>
      </c>
      <c r="D8" s="8">
        <v>132</v>
      </c>
      <c r="E8" s="9" t="s">
        <v>907</v>
      </c>
      <c r="F8" s="35">
        <f>D8*B8</f>
        <v>0</v>
      </c>
      <c r="G8" s="21"/>
    </row>
    <row r="9" spans="1:7" ht="15" customHeight="1">
      <c r="B9" s="333"/>
      <c r="C9" s="304" t="s">
        <v>909</v>
      </c>
      <c r="D9" s="304"/>
      <c r="E9" s="304"/>
      <c r="F9" s="318"/>
      <c r="G9" s="21"/>
    </row>
    <row r="10" spans="1:7" ht="15" customHeight="1">
      <c r="B10" s="40">
        <v>27.154199999999999</v>
      </c>
      <c r="C10" s="7" t="s">
        <v>910</v>
      </c>
      <c r="D10" s="8">
        <v>36</v>
      </c>
      <c r="E10" s="9" t="s">
        <v>907</v>
      </c>
      <c r="F10" s="35">
        <f>D10*B10</f>
        <v>977.55119999999999</v>
      </c>
    </row>
    <row r="11" spans="1:7" ht="15" customHeight="1">
      <c r="B11" s="40">
        <v>0</v>
      </c>
      <c r="C11" s="7" t="s">
        <v>911</v>
      </c>
      <c r="D11" s="8">
        <v>42</v>
      </c>
      <c r="E11" s="9" t="s">
        <v>907</v>
      </c>
      <c r="F11" s="35">
        <f>D11*B11</f>
        <v>0</v>
      </c>
    </row>
    <row r="12" spans="1:7" ht="15" customHeight="1">
      <c r="B12" s="333"/>
      <c r="C12" s="304" t="s">
        <v>912</v>
      </c>
      <c r="D12" s="304"/>
      <c r="E12" s="304"/>
      <c r="F12" s="318"/>
    </row>
    <row r="13" spans="1:7" ht="15" customHeight="1">
      <c r="B13" s="40">
        <f>B7</f>
        <v>159.0866</v>
      </c>
      <c r="C13" s="7" t="s">
        <v>913</v>
      </c>
      <c r="D13" s="8">
        <v>12</v>
      </c>
      <c r="E13" s="9" t="s">
        <v>907</v>
      </c>
      <c r="F13" s="35">
        <f>D13*B13</f>
        <v>1909.0392000000002</v>
      </c>
    </row>
    <row r="14" spans="1:7" ht="15" customHeight="1">
      <c r="B14" s="40">
        <v>0</v>
      </c>
      <c r="C14" s="7" t="s">
        <v>914</v>
      </c>
      <c r="D14" s="8">
        <v>18</v>
      </c>
      <c r="E14" s="9" t="s">
        <v>907</v>
      </c>
      <c r="F14" s="35">
        <f>D14*B14</f>
        <v>0</v>
      </c>
    </row>
    <row r="15" spans="1:7" ht="15" customHeight="1">
      <c r="B15" s="333"/>
      <c r="C15" s="304" t="s">
        <v>915</v>
      </c>
      <c r="D15" s="304"/>
      <c r="E15" s="304"/>
      <c r="F15" s="318"/>
    </row>
    <row r="16" spans="1:7" ht="15" customHeight="1">
      <c r="B16" s="40">
        <v>0</v>
      </c>
      <c r="C16" s="7" t="s">
        <v>916</v>
      </c>
      <c r="D16" s="8">
        <v>0.36</v>
      </c>
      <c r="E16" s="9" t="s">
        <v>865</v>
      </c>
      <c r="F16" s="35">
        <f>D16*B16</f>
        <v>0</v>
      </c>
    </row>
    <row r="17" spans="2:7" ht="15" customHeight="1">
      <c r="B17" s="40">
        <v>0</v>
      </c>
      <c r="C17" s="7" t="s">
        <v>917</v>
      </c>
      <c r="D17" s="8">
        <v>0.6</v>
      </c>
      <c r="E17" s="9" t="s">
        <v>865</v>
      </c>
      <c r="F17" s="35">
        <f>D17*B17</f>
        <v>0</v>
      </c>
      <c r="G17" s="3"/>
    </row>
    <row r="18" spans="2:7" ht="15" customHeight="1">
      <c r="B18" s="332"/>
      <c r="C18" s="304" t="s">
        <v>918</v>
      </c>
      <c r="D18" s="304"/>
      <c r="E18" s="304"/>
      <c r="F18" s="318"/>
      <c r="G18" s="3"/>
    </row>
    <row r="19" spans="2:7" ht="15" customHeight="1">
      <c r="B19" s="40">
        <v>42</v>
      </c>
      <c r="C19" s="7" t="s">
        <v>919</v>
      </c>
      <c r="D19" s="8"/>
      <c r="E19" s="9" t="s">
        <v>865</v>
      </c>
      <c r="F19" s="35"/>
      <c r="G19" s="3"/>
    </row>
    <row r="20" spans="2:7" ht="15" customHeight="1">
      <c r="B20" s="40">
        <v>0</v>
      </c>
      <c r="C20" s="7" t="s">
        <v>920</v>
      </c>
      <c r="D20" s="8"/>
      <c r="E20" s="9" t="s">
        <v>865</v>
      </c>
      <c r="F20" s="35"/>
      <c r="G20" s="3"/>
    </row>
    <row r="21" spans="2:7" ht="15" customHeight="1">
      <c r="B21" s="309"/>
      <c r="C21" s="334" t="s">
        <v>56</v>
      </c>
      <c r="D21" s="310"/>
      <c r="E21" s="311"/>
      <c r="F21" s="314">
        <f>SUM(F4:F20)</f>
        <v>35427.723600000005</v>
      </c>
      <c r="G21" s="3"/>
    </row>
    <row r="22" spans="2:7" ht="15" customHeight="1">
      <c r="G22" s="3"/>
    </row>
    <row r="23" spans="2:7" ht="15" customHeight="1">
      <c r="G23" s="3"/>
    </row>
    <row r="24" spans="2:7" ht="15" customHeight="1">
      <c r="G24" s="3"/>
    </row>
  </sheetData>
  <mergeCells count="1">
    <mergeCell ref="B1:F1"/>
  </mergeCells>
  <conditionalFormatting sqref="F4:F5 F7:F8 F10:F11 F13:F14 F16:F17 F19:F20">
    <cfRule type="cellIs" dxfId="9" priority="1" operator="equal">
      <formula>0</formula>
    </cfRule>
  </conditionalFormatting>
  <pageMargins left="0.7" right="0.7" top="0.75" bottom="0.75" header="0.3" footer="0.3"/>
  <pageSetup paperSize="9" orientation="landscape" r:id="rId1"/>
  <colBreaks count="1" manualBreakCount="1">
    <brk id="6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0"/>
  <sheetViews>
    <sheetView zoomScale="90" zoomScaleNormal="90" workbookViewId="0">
      <selection activeCell="G125" sqref="G125"/>
    </sheetView>
  </sheetViews>
  <sheetFormatPr baseColWidth="10" defaultColWidth="11.44140625" defaultRowHeight="13.2"/>
  <cols>
    <col min="1" max="1" width="2.33203125" style="1" customWidth="1"/>
    <col min="2" max="2" width="11.33203125" style="2" customWidth="1"/>
    <col min="3" max="3" width="53.44140625" style="3" customWidth="1"/>
    <col min="4" max="4" width="10.44140625" style="2" customWidth="1"/>
    <col min="5" max="5" width="15.6640625" style="4" customWidth="1"/>
    <col min="6" max="6" width="21.6640625" style="1" customWidth="1"/>
    <col min="7" max="16384" width="11.44140625" style="1"/>
  </cols>
  <sheetData>
    <row r="1" spans="1:7" ht="15" customHeight="1">
      <c r="A1" s="22"/>
      <c r="B1" s="737" t="s">
        <v>921</v>
      </c>
      <c r="C1" s="738"/>
      <c r="D1" s="738"/>
      <c r="E1" s="738"/>
      <c r="F1" s="739"/>
      <c r="G1" s="18"/>
    </row>
    <row r="2" spans="1:7" ht="14.4">
      <c r="A2" s="23"/>
      <c r="B2" s="24" t="s">
        <v>632</v>
      </c>
      <c r="C2" s="6" t="s">
        <v>360</v>
      </c>
      <c r="D2" s="6" t="s">
        <v>633</v>
      </c>
      <c r="E2" s="6" t="s">
        <v>900</v>
      </c>
      <c r="F2" s="25" t="s">
        <v>637</v>
      </c>
      <c r="G2" s="19"/>
    </row>
    <row r="3" spans="1:7" ht="15" customHeight="1">
      <c r="A3" s="26"/>
      <c r="B3" s="303"/>
      <c r="C3" s="304" t="s">
        <v>922</v>
      </c>
      <c r="D3" s="304"/>
      <c r="E3" s="304"/>
      <c r="F3" s="318"/>
      <c r="G3" s="20"/>
    </row>
    <row r="4" spans="1:7" ht="15" customHeight="1">
      <c r="A4" s="27"/>
      <c r="B4" s="28"/>
      <c r="C4" s="29" t="s">
        <v>923</v>
      </c>
      <c r="D4" s="30"/>
      <c r="E4" s="31"/>
      <c r="F4" s="32">
        <f>SUM(F6:F19)</f>
        <v>60034.22</v>
      </c>
      <c r="G4" s="21"/>
    </row>
    <row r="5" spans="1:7" ht="15" customHeight="1">
      <c r="A5" s="27"/>
      <c r="B5" s="33"/>
      <c r="C5" s="34" t="s">
        <v>924</v>
      </c>
      <c r="D5" s="8"/>
      <c r="E5" s="9"/>
      <c r="F5" s="35"/>
      <c r="G5" s="21"/>
    </row>
    <row r="6" spans="1:7" ht="15" customHeight="1">
      <c r="A6" s="27"/>
      <c r="B6" s="33">
        <v>50</v>
      </c>
      <c r="C6" s="7" t="s">
        <v>925</v>
      </c>
      <c r="D6" s="8">
        <v>63.34</v>
      </c>
      <c r="E6" s="9" t="s">
        <v>926</v>
      </c>
      <c r="F6" s="35">
        <f>D6*B6</f>
        <v>3167</v>
      </c>
      <c r="G6" s="21"/>
    </row>
    <row r="7" spans="1:7" ht="15" customHeight="1">
      <c r="A7" s="27"/>
      <c r="B7" s="33">
        <v>60</v>
      </c>
      <c r="C7" s="7" t="s">
        <v>927</v>
      </c>
      <c r="D7" s="8">
        <v>37.11</v>
      </c>
      <c r="E7" s="9" t="s">
        <v>926</v>
      </c>
      <c r="F7" s="35">
        <f t="shared" ref="F7:F11" si="0">D7*B7</f>
        <v>2226.6</v>
      </c>
      <c r="G7" s="21"/>
    </row>
    <row r="8" spans="1:7" ht="15" customHeight="1">
      <c r="A8" s="27"/>
      <c r="B8" s="33">
        <v>150</v>
      </c>
      <c r="C8" s="7" t="s">
        <v>928</v>
      </c>
      <c r="D8" s="8">
        <v>26.53</v>
      </c>
      <c r="E8" s="9" t="s">
        <v>926</v>
      </c>
      <c r="F8" s="35">
        <f t="shared" si="0"/>
        <v>3979.5</v>
      </c>
      <c r="G8" s="21"/>
    </row>
    <row r="9" spans="1:7" ht="15" customHeight="1">
      <c r="A9" s="27"/>
      <c r="B9" s="33">
        <v>16</v>
      </c>
      <c r="C9" s="7" t="s">
        <v>929</v>
      </c>
      <c r="D9" s="8">
        <v>25.92</v>
      </c>
      <c r="E9" s="9" t="s">
        <v>926</v>
      </c>
      <c r="F9" s="35">
        <f t="shared" si="0"/>
        <v>414.72</v>
      </c>
      <c r="G9" s="21"/>
    </row>
    <row r="10" spans="1:7" ht="15" customHeight="1">
      <c r="A10" s="27"/>
      <c r="B10" s="33">
        <v>20</v>
      </c>
      <c r="C10" s="7" t="s">
        <v>930</v>
      </c>
      <c r="D10" s="8">
        <v>19.71</v>
      </c>
      <c r="E10" s="9" t="s">
        <v>926</v>
      </c>
      <c r="F10" s="35">
        <f t="shared" si="0"/>
        <v>394.20000000000005</v>
      </c>
      <c r="G10" s="21"/>
    </row>
    <row r="11" spans="1:7" ht="15" customHeight="1">
      <c r="A11" s="27"/>
      <c r="B11" s="33">
        <v>40</v>
      </c>
      <c r="C11" s="7" t="s">
        <v>931</v>
      </c>
      <c r="D11" s="8">
        <v>73.209999999999994</v>
      </c>
      <c r="E11" s="9" t="s">
        <v>926</v>
      </c>
      <c r="F11" s="35">
        <f t="shared" si="0"/>
        <v>2928.3999999999996</v>
      </c>
      <c r="G11" s="21"/>
    </row>
    <row r="12" spans="1:7" ht="15" customHeight="1">
      <c r="A12" s="27"/>
      <c r="B12" s="33"/>
      <c r="C12" s="34" t="s">
        <v>932</v>
      </c>
      <c r="D12" s="8"/>
      <c r="E12" s="9"/>
      <c r="F12" s="35"/>
      <c r="G12" s="21"/>
    </row>
    <row r="13" spans="1:7" ht="15" customHeight="1">
      <c r="A13" s="27"/>
      <c r="B13" s="33">
        <v>400</v>
      </c>
      <c r="C13" s="7" t="s">
        <v>925</v>
      </c>
      <c r="D13" s="8">
        <v>63.34</v>
      </c>
      <c r="E13" s="9" t="s">
        <v>926</v>
      </c>
      <c r="F13" s="35">
        <f t="shared" ref="F13:F18" si="1">D13*B13</f>
        <v>25336</v>
      </c>
      <c r="G13" s="21"/>
    </row>
    <row r="14" spans="1:7" ht="15" customHeight="1">
      <c r="A14" s="27"/>
      <c r="B14" s="33">
        <v>300</v>
      </c>
      <c r="C14" s="7" t="s">
        <v>927</v>
      </c>
      <c r="D14" s="8">
        <v>37.11</v>
      </c>
      <c r="E14" s="9" t="s">
        <v>926</v>
      </c>
      <c r="F14" s="35">
        <f t="shared" si="1"/>
        <v>11133</v>
      </c>
      <c r="G14" s="21"/>
    </row>
    <row r="15" spans="1:7" ht="15" customHeight="1">
      <c r="A15" s="27"/>
      <c r="B15" s="33">
        <v>40</v>
      </c>
      <c r="C15" s="7" t="s">
        <v>928</v>
      </c>
      <c r="D15" s="8">
        <v>26.53</v>
      </c>
      <c r="E15" s="9" t="s">
        <v>926</v>
      </c>
      <c r="F15" s="35">
        <f t="shared" si="1"/>
        <v>1061.2</v>
      </c>
      <c r="G15" s="21"/>
    </row>
    <row r="16" spans="1:7" ht="15" customHeight="1">
      <c r="A16" s="27"/>
      <c r="B16" s="33">
        <v>40</v>
      </c>
      <c r="C16" s="7" t="s">
        <v>929</v>
      </c>
      <c r="D16" s="8">
        <v>25.92</v>
      </c>
      <c r="E16" s="9" t="s">
        <v>926</v>
      </c>
      <c r="F16" s="35">
        <f t="shared" si="1"/>
        <v>1036.8000000000002</v>
      </c>
      <c r="G16" s="21"/>
    </row>
    <row r="17" spans="1:7" ht="15" customHeight="1">
      <c r="A17" s="27"/>
      <c r="B17" s="33"/>
      <c r="C17" s="7" t="s">
        <v>930</v>
      </c>
      <c r="D17" s="8">
        <v>19.71</v>
      </c>
      <c r="E17" s="9" t="s">
        <v>926</v>
      </c>
      <c r="F17" s="35">
        <f t="shared" si="1"/>
        <v>0</v>
      </c>
      <c r="G17" s="21"/>
    </row>
    <row r="18" spans="1:7" ht="15" customHeight="1">
      <c r="A18" s="27"/>
      <c r="B18" s="33">
        <v>80</v>
      </c>
      <c r="C18" s="7" t="s">
        <v>931</v>
      </c>
      <c r="D18" s="8">
        <v>73.209999999999994</v>
      </c>
      <c r="E18" s="9" t="s">
        <v>926</v>
      </c>
      <c r="F18" s="35">
        <f t="shared" si="1"/>
        <v>5856.7999999999993</v>
      </c>
      <c r="G18" s="21"/>
    </row>
    <row r="19" spans="1:7" ht="15" customHeight="1">
      <c r="A19" s="27"/>
      <c r="B19" s="33"/>
      <c r="C19" s="34" t="s">
        <v>933</v>
      </c>
      <c r="D19" s="8"/>
      <c r="E19" s="9"/>
      <c r="F19" s="36">
        <v>2500</v>
      </c>
      <c r="G19" s="21"/>
    </row>
    <row r="20" spans="1:7" ht="15" customHeight="1">
      <c r="A20" s="27"/>
      <c r="B20" s="28"/>
      <c r="C20" s="29" t="s">
        <v>934</v>
      </c>
      <c r="D20" s="30"/>
      <c r="E20" s="31"/>
      <c r="F20" s="32">
        <f>SUM(F21:F24)</f>
        <v>8000</v>
      </c>
      <c r="G20" s="21"/>
    </row>
    <row r="21" spans="1:7" ht="15" customHeight="1">
      <c r="A21" s="27"/>
      <c r="B21" s="33"/>
      <c r="C21" s="7" t="s">
        <v>935</v>
      </c>
      <c r="D21" s="8"/>
      <c r="E21" s="9"/>
      <c r="F21" s="35">
        <f t="shared" ref="F21:F24" si="2">D21*B21</f>
        <v>0</v>
      </c>
      <c r="G21" s="21"/>
    </row>
    <row r="22" spans="1:7" ht="15" customHeight="1">
      <c r="A22" s="27"/>
      <c r="B22" s="33"/>
      <c r="C22" s="7" t="s">
        <v>936</v>
      </c>
      <c r="D22" s="8"/>
      <c r="E22" s="9"/>
      <c r="F22" s="35">
        <f t="shared" si="2"/>
        <v>0</v>
      </c>
      <c r="G22" s="21"/>
    </row>
    <row r="23" spans="1:7" ht="15" customHeight="1">
      <c r="A23" s="27"/>
      <c r="B23" s="37"/>
      <c r="C23" s="7" t="s">
        <v>937</v>
      </c>
      <c r="D23" s="14"/>
      <c r="E23" s="15"/>
      <c r="F23" s="35">
        <v>8000</v>
      </c>
      <c r="G23" s="21"/>
    </row>
    <row r="24" spans="1:7" ht="15" customHeight="1">
      <c r="A24" s="27"/>
      <c r="B24" s="37"/>
      <c r="C24" s="7" t="s">
        <v>938</v>
      </c>
      <c r="D24" s="14"/>
      <c r="E24" s="15"/>
      <c r="F24" s="35">
        <f t="shared" si="2"/>
        <v>0</v>
      </c>
      <c r="G24" s="21"/>
    </row>
    <row r="25" spans="1:7" ht="15" customHeight="1">
      <c r="A25" s="27"/>
      <c r="B25" s="335"/>
      <c r="C25" s="304" t="s">
        <v>939</v>
      </c>
      <c r="D25" s="304"/>
      <c r="E25" s="304"/>
      <c r="F25" s="318"/>
      <c r="G25" s="21"/>
    </row>
    <row r="26" spans="1:7" ht="15" customHeight="1">
      <c r="A26" s="27"/>
      <c r="B26" s="28"/>
      <c r="C26" s="29" t="s">
        <v>923</v>
      </c>
      <c r="D26" s="30"/>
      <c r="E26" s="31"/>
      <c r="F26" s="32">
        <f>SUM(F28:F41)</f>
        <v>0</v>
      </c>
      <c r="G26" s="21"/>
    </row>
    <row r="27" spans="1:7" ht="15" customHeight="1">
      <c r="A27" s="27"/>
      <c r="B27" s="33"/>
      <c r="C27" s="34" t="s">
        <v>924</v>
      </c>
      <c r="D27" s="8"/>
      <c r="E27" s="9"/>
      <c r="F27" s="35"/>
      <c r="G27" s="21"/>
    </row>
    <row r="28" spans="1:7" ht="15" customHeight="1">
      <c r="A28" s="27"/>
      <c r="B28" s="33"/>
      <c r="C28" s="7" t="s">
        <v>925</v>
      </c>
      <c r="D28" s="8">
        <v>63.34</v>
      </c>
      <c r="E28" s="9" t="s">
        <v>926</v>
      </c>
      <c r="F28" s="35">
        <f t="shared" ref="F28:F33" si="3">D28*B28</f>
        <v>0</v>
      </c>
      <c r="G28" s="21"/>
    </row>
    <row r="29" spans="1:7" ht="15" customHeight="1">
      <c r="A29" s="27"/>
      <c r="B29" s="33"/>
      <c r="C29" s="7" t="s">
        <v>927</v>
      </c>
      <c r="D29" s="8">
        <v>37.11</v>
      </c>
      <c r="E29" s="9" t="s">
        <v>926</v>
      </c>
      <c r="F29" s="35">
        <f t="shared" si="3"/>
        <v>0</v>
      </c>
      <c r="G29" s="21"/>
    </row>
    <row r="30" spans="1:7" ht="15" customHeight="1">
      <c r="A30" s="27"/>
      <c r="B30" s="33"/>
      <c r="C30" s="7" t="s">
        <v>928</v>
      </c>
      <c r="D30" s="8">
        <v>26.53</v>
      </c>
      <c r="E30" s="9" t="s">
        <v>926</v>
      </c>
      <c r="F30" s="35">
        <f t="shared" si="3"/>
        <v>0</v>
      </c>
      <c r="G30" s="21"/>
    </row>
    <row r="31" spans="1:7" ht="15" customHeight="1">
      <c r="A31" s="27"/>
      <c r="B31" s="33"/>
      <c r="C31" s="7" t="s">
        <v>929</v>
      </c>
      <c r="D31" s="8">
        <v>25.92</v>
      </c>
      <c r="E31" s="9" t="s">
        <v>926</v>
      </c>
      <c r="F31" s="35">
        <f t="shared" si="3"/>
        <v>0</v>
      </c>
      <c r="G31" s="21"/>
    </row>
    <row r="32" spans="1:7" ht="15" customHeight="1">
      <c r="A32" s="27"/>
      <c r="B32" s="33"/>
      <c r="C32" s="7" t="s">
        <v>930</v>
      </c>
      <c r="D32" s="8">
        <v>19.71</v>
      </c>
      <c r="E32" s="9" t="s">
        <v>926</v>
      </c>
      <c r="F32" s="35">
        <f t="shared" si="3"/>
        <v>0</v>
      </c>
      <c r="G32" s="21"/>
    </row>
    <row r="33" spans="1:7" ht="15" customHeight="1">
      <c r="A33" s="27"/>
      <c r="B33" s="33"/>
      <c r="C33" s="7" t="s">
        <v>940</v>
      </c>
      <c r="D33" s="8">
        <v>73.209999999999994</v>
      </c>
      <c r="E33" s="9" t="s">
        <v>926</v>
      </c>
      <c r="F33" s="35">
        <f t="shared" si="3"/>
        <v>0</v>
      </c>
      <c r="G33" s="21"/>
    </row>
    <row r="34" spans="1:7" ht="15" customHeight="1">
      <c r="A34" s="27"/>
      <c r="B34" s="33"/>
      <c r="C34" s="34" t="s">
        <v>932</v>
      </c>
      <c r="D34" s="8"/>
      <c r="E34" s="9"/>
      <c r="F34" s="35"/>
      <c r="G34" s="21"/>
    </row>
    <row r="35" spans="1:7" ht="15" customHeight="1">
      <c r="A35" s="27"/>
      <c r="B35" s="33"/>
      <c r="C35" s="7" t="s">
        <v>925</v>
      </c>
      <c r="D35" s="8">
        <v>63.34</v>
      </c>
      <c r="E35" s="9" t="s">
        <v>926</v>
      </c>
      <c r="F35" s="35">
        <f t="shared" ref="F35:F40" si="4">D35*B35</f>
        <v>0</v>
      </c>
      <c r="G35" s="21"/>
    </row>
    <row r="36" spans="1:7" ht="15" customHeight="1">
      <c r="A36" s="27"/>
      <c r="B36" s="33"/>
      <c r="C36" s="7" t="s">
        <v>927</v>
      </c>
      <c r="D36" s="8">
        <v>37.11</v>
      </c>
      <c r="E36" s="9" t="s">
        <v>926</v>
      </c>
      <c r="F36" s="35">
        <f t="shared" si="4"/>
        <v>0</v>
      </c>
      <c r="G36" s="21"/>
    </row>
    <row r="37" spans="1:7" ht="15" customHeight="1">
      <c r="A37" s="27"/>
      <c r="B37" s="33"/>
      <c r="C37" s="7" t="s">
        <v>928</v>
      </c>
      <c r="D37" s="8">
        <v>26.53</v>
      </c>
      <c r="E37" s="9" t="s">
        <v>926</v>
      </c>
      <c r="F37" s="35">
        <f t="shared" si="4"/>
        <v>0</v>
      </c>
      <c r="G37" s="21"/>
    </row>
    <row r="38" spans="1:7" ht="15" customHeight="1">
      <c r="A38" s="27"/>
      <c r="B38" s="33"/>
      <c r="C38" s="7" t="s">
        <v>929</v>
      </c>
      <c r="D38" s="8">
        <v>25.92</v>
      </c>
      <c r="E38" s="9" t="s">
        <v>926</v>
      </c>
      <c r="F38" s="35">
        <f t="shared" si="4"/>
        <v>0</v>
      </c>
      <c r="G38" s="21"/>
    </row>
    <row r="39" spans="1:7" ht="15" customHeight="1">
      <c r="A39" s="27"/>
      <c r="B39" s="33"/>
      <c r="C39" s="7" t="s">
        <v>930</v>
      </c>
      <c r="D39" s="8">
        <v>19.71</v>
      </c>
      <c r="E39" s="9" t="s">
        <v>926</v>
      </c>
      <c r="F39" s="35">
        <f t="shared" si="4"/>
        <v>0</v>
      </c>
      <c r="G39" s="21"/>
    </row>
    <row r="40" spans="1:7" ht="15" customHeight="1">
      <c r="A40" s="27"/>
      <c r="B40" s="33"/>
      <c r="C40" s="7" t="s">
        <v>940</v>
      </c>
      <c r="D40" s="8">
        <v>73.209999999999994</v>
      </c>
      <c r="E40" s="9" t="s">
        <v>926</v>
      </c>
      <c r="F40" s="35">
        <f t="shared" si="4"/>
        <v>0</v>
      </c>
      <c r="G40" s="21"/>
    </row>
    <row r="41" spans="1:7" ht="15" customHeight="1">
      <c r="A41" s="27"/>
      <c r="B41" s="33"/>
      <c r="C41" s="34" t="s">
        <v>933</v>
      </c>
      <c r="D41" s="8"/>
      <c r="E41" s="9"/>
      <c r="F41" s="36"/>
      <c r="G41" s="21"/>
    </row>
    <row r="42" spans="1:7" ht="15" customHeight="1">
      <c r="A42" s="27"/>
      <c r="B42" s="28"/>
      <c r="C42" s="29" t="s">
        <v>934</v>
      </c>
      <c r="D42" s="30"/>
      <c r="E42" s="31"/>
      <c r="F42" s="32">
        <f>SUM(F43:F45)</f>
        <v>15000</v>
      </c>
      <c r="G42" s="21"/>
    </row>
    <row r="43" spans="1:7" ht="15" customHeight="1">
      <c r="A43" s="27"/>
      <c r="B43" s="33"/>
      <c r="C43" s="7" t="s">
        <v>941</v>
      </c>
      <c r="D43" s="8"/>
      <c r="E43" s="9"/>
      <c r="F43" s="35"/>
      <c r="G43" s="21"/>
    </row>
    <row r="44" spans="1:7" ht="15" customHeight="1">
      <c r="A44" s="27"/>
      <c r="B44" s="33"/>
      <c r="C44" s="7" t="s">
        <v>942</v>
      </c>
      <c r="D44" s="8"/>
      <c r="E44" s="9"/>
      <c r="F44" s="35">
        <v>15000</v>
      </c>
      <c r="G44" s="21"/>
    </row>
    <row r="45" spans="1:7" ht="15" customHeight="1">
      <c r="A45" s="27"/>
      <c r="B45" s="37"/>
      <c r="C45" s="7" t="s">
        <v>943</v>
      </c>
      <c r="D45" s="14"/>
      <c r="E45" s="15"/>
      <c r="F45" s="38"/>
      <c r="G45" s="21"/>
    </row>
    <row r="46" spans="1:7" ht="15" customHeight="1">
      <c r="B46" s="336"/>
      <c r="C46" s="304" t="s">
        <v>944</v>
      </c>
      <c r="D46" s="304"/>
      <c r="E46" s="304"/>
      <c r="F46" s="318"/>
      <c r="G46" s="21"/>
    </row>
    <row r="47" spans="1:7" ht="15" customHeight="1">
      <c r="A47" s="27"/>
      <c r="B47" s="28"/>
      <c r="C47" s="29" t="s">
        <v>923</v>
      </c>
      <c r="D47" s="30"/>
      <c r="E47" s="31"/>
      <c r="F47" s="32">
        <f>SUM(F49:F62)</f>
        <v>0</v>
      </c>
      <c r="G47" s="21"/>
    </row>
    <row r="48" spans="1:7" ht="15" customHeight="1">
      <c r="A48" s="27"/>
      <c r="B48" s="33"/>
      <c r="C48" s="34" t="s">
        <v>924</v>
      </c>
      <c r="D48" s="8"/>
      <c r="E48" s="9"/>
      <c r="F48" s="35"/>
      <c r="G48" s="21"/>
    </row>
    <row r="49" spans="1:7" ht="15" customHeight="1">
      <c r="A49" s="27"/>
      <c r="B49" s="33"/>
      <c r="C49" s="7" t="s">
        <v>925</v>
      </c>
      <c r="D49" s="8">
        <v>63.34</v>
      </c>
      <c r="E49" s="9" t="s">
        <v>926</v>
      </c>
      <c r="F49" s="35">
        <f t="shared" ref="F49:F54" si="5">D49*B49</f>
        <v>0</v>
      </c>
      <c r="G49" s="21"/>
    </row>
    <row r="50" spans="1:7" ht="15" customHeight="1">
      <c r="A50" s="27"/>
      <c r="B50" s="33"/>
      <c r="C50" s="7" t="s">
        <v>927</v>
      </c>
      <c r="D50" s="8">
        <v>37.11</v>
      </c>
      <c r="E50" s="9" t="s">
        <v>926</v>
      </c>
      <c r="F50" s="35">
        <f t="shared" si="5"/>
        <v>0</v>
      </c>
      <c r="G50" s="21"/>
    </row>
    <row r="51" spans="1:7" ht="15" customHeight="1">
      <c r="A51" s="27"/>
      <c r="B51" s="33"/>
      <c r="C51" s="7" t="s">
        <v>928</v>
      </c>
      <c r="D51" s="8">
        <v>26.53</v>
      </c>
      <c r="E51" s="9" t="s">
        <v>926</v>
      </c>
      <c r="F51" s="35">
        <f t="shared" si="5"/>
        <v>0</v>
      </c>
      <c r="G51" s="21"/>
    </row>
    <row r="52" spans="1:7" ht="15" customHeight="1">
      <c r="A52" s="27"/>
      <c r="B52" s="33"/>
      <c r="C52" s="7" t="s">
        <v>929</v>
      </c>
      <c r="D52" s="8">
        <v>25.92</v>
      </c>
      <c r="E52" s="9" t="s">
        <v>926</v>
      </c>
      <c r="F52" s="35">
        <f t="shared" si="5"/>
        <v>0</v>
      </c>
      <c r="G52" s="21"/>
    </row>
    <row r="53" spans="1:7" ht="15" customHeight="1">
      <c r="A53" s="27"/>
      <c r="B53" s="33"/>
      <c r="C53" s="7" t="s">
        <v>930</v>
      </c>
      <c r="D53" s="8">
        <v>19.71</v>
      </c>
      <c r="E53" s="9" t="s">
        <v>926</v>
      </c>
      <c r="F53" s="35">
        <f t="shared" si="5"/>
        <v>0</v>
      </c>
      <c r="G53" s="21"/>
    </row>
    <row r="54" spans="1:7" ht="15" customHeight="1">
      <c r="A54" s="27"/>
      <c r="B54" s="33"/>
      <c r="C54" s="7" t="s">
        <v>940</v>
      </c>
      <c r="D54" s="8">
        <v>73.209999999999994</v>
      </c>
      <c r="E54" s="9" t="s">
        <v>926</v>
      </c>
      <c r="F54" s="35">
        <f t="shared" si="5"/>
        <v>0</v>
      </c>
      <c r="G54" s="21"/>
    </row>
    <row r="55" spans="1:7" ht="15" customHeight="1">
      <c r="A55" s="27"/>
      <c r="B55" s="33"/>
      <c r="C55" s="34" t="s">
        <v>932</v>
      </c>
      <c r="D55" s="8"/>
      <c r="E55" s="9"/>
      <c r="F55" s="35"/>
      <c r="G55" s="21"/>
    </row>
    <row r="56" spans="1:7" ht="15" customHeight="1">
      <c r="A56" s="27"/>
      <c r="B56" s="33"/>
      <c r="C56" s="7" t="s">
        <v>925</v>
      </c>
      <c r="D56" s="8">
        <v>63.34</v>
      </c>
      <c r="E56" s="9" t="s">
        <v>926</v>
      </c>
      <c r="F56" s="35">
        <f t="shared" ref="F56:F61" si="6">D56*B56</f>
        <v>0</v>
      </c>
      <c r="G56" s="21"/>
    </row>
    <row r="57" spans="1:7" ht="15" customHeight="1">
      <c r="A57" s="27"/>
      <c r="B57" s="33"/>
      <c r="C57" s="7" t="s">
        <v>927</v>
      </c>
      <c r="D57" s="8">
        <v>37.11</v>
      </c>
      <c r="E57" s="9" t="s">
        <v>926</v>
      </c>
      <c r="F57" s="35">
        <f t="shared" si="6"/>
        <v>0</v>
      </c>
      <c r="G57" s="21"/>
    </row>
    <row r="58" spans="1:7" ht="15" customHeight="1">
      <c r="A58" s="27"/>
      <c r="B58" s="33"/>
      <c r="C58" s="7" t="s">
        <v>928</v>
      </c>
      <c r="D58" s="8">
        <v>26.53</v>
      </c>
      <c r="E58" s="9" t="s">
        <v>926</v>
      </c>
      <c r="F58" s="35">
        <f t="shared" si="6"/>
        <v>0</v>
      </c>
      <c r="G58" s="21"/>
    </row>
    <row r="59" spans="1:7" ht="15" customHeight="1">
      <c r="A59" s="27"/>
      <c r="B59" s="33"/>
      <c r="C59" s="7" t="s">
        <v>929</v>
      </c>
      <c r="D59" s="8">
        <v>25.92</v>
      </c>
      <c r="E59" s="9" t="s">
        <v>926</v>
      </c>
      <c r="F59" s="35">
        <f t="shared" si="6"/>
        <v>0</v>
      </c>
      <c r="G59" s="21"/>
    </row>
    <row r="60" spans="1:7" ht="15" customHeight="1">
      <c r="A60" s="27"/>
      <c r="B60" s="33"/>
      <c r="C60" s="7" t="s">
        <v>930</v>
      </c>
      <c r="D60" s="8">
        <v>19.71</v>
      </c>
      <c r="E60" s="9" t="s">
        <v>926</v>
      </c>
      <c r="F60" s="35">
        <f t="shared" si="6"/>
        <v>0</v>
      </c>
      <c r="G60" s="21"/>
    </row>
    <row r="61" spans="1:7" ht="15" customHeight="1">
      <c r="A61" s="27"/>
      <c r="B61" s="33"/>
      <c r="C61" s="7" t="s">
        <v>940</v>
      </c>
      <c r="D61" s="8">
        <v>73.209999999999994</v>
      </c>
      <c r="E61" s="9" t="s">
        <v>926</v>
      </c>
      <c r="F61" s="35">
        <f t="shared" si="6"/>
        <v>0</v>
      </c>
      <c r="G61" s="21"/>
    </row>
    <row r="62" spans="1:7" ht="15" customHeight="1">
      <c r="A62" s="27"/>
      <c r="B62" s="33"/>
      <c r="C62" s="34" t="s">
        <v>933</v>
      </c>
      <c r="D62" s="8"/>
      <c r="E62" s="9"/>
      <c r="F62" s="36"/>
      <c r="G62" s="21"/>
    </row>
    <row r="63" spans="1:7" ht="15" customHeight="1">
      <c r="A63" s="27"/>
      <c r="B63" s="28"/>
      <c r="C63" s="29" t="s">
        <v>934</v>
      </c>
      <c r="D63" s="30"/>
      <c r="E63" s="31"/>
      <c r="F63" s="32">
        <f>SUM(F64:F66)</f>
        <v>2500</v>
      </c>
      <c r="G63" s="21"/>
    </row>
    <row r="64" spans="1:7" ht="15" customHeight="1">
      <c r="A64" s="27"/>
      <c r="B64" s="33"/>
      <c r="C64" s="7" t="s">
        <v>945</v>
      </c>
      <c r="D64" s="8"/>
      <c r="E64" s="9"/>
      <c r="F64" s="35"/>
      <c r="G64" s="21"/>
    </row>
    <row r="65" spans="1:7" ht="15" customHeight="1">
      <c r="A65" s="27"/>
      <c r="B65" s="33"/>
      <c r="C65" s="7" t="s">
        <v>946</v>
      </c>
      <c r="D65" s="8"/>
      <c r="E65" s="9"/>
      <c r="F65" s="35">
        <v>2500</v>
      </c>
      <c r="G65" s="21"/>
    </row>
    <row r="66" spans="1:7" ht="15" customHeight="1">
      <c r="A66" s="27"/>
      <c r="B66" s="37"/>
      <c r="C66" s="7" t="s">
        <v>943</v>
      </c>
      <c r="D66" s="14"/>
      <c r="E66" s="15"/>
      <c r="F66" s="38"/>
      <c r="G66" s="21"/>
    </row>
    <row r="67" spans="1:7" ht="15" customHeight="1">
      <c r="B67" s="336"/>
      <c r="C67" s="304" t="s">
        <v>947</v>
      </c>
      <c r="D67" s="304"/>
      <c r="E67" s="304"/>
      <c r="F67" s="318"/>
    </row>
    <row r="68" spans="1:7" ht="15" customHeight="1">
      <c r="A68" s="27"/>
      <c r="B68" s="28"/>
      <c r="C68" s="29" t="s">
        <v>923</v>
      </c>
      <c r="D68" s="30"/>
      <c r="E68" s="31"/>
      <c r="F68" s="32">
        <f>SUM(F70:F83)</f>
        <v>29841.4</v>
      </c>
      <c r="G68" s="21"/>
    </row>
    <row r="69" spans="1:7" ht="15" customHeight="1">
      <c r="A69" s="27"/>
      <c r="B69" s="33"/>
      <c r="C69" s="34" t="s">
        <v>924</v>
      </c>
      <c r="D69" s="8"/>
      <c r="E69" s="9"/>
      <c r="F69" s="35"/>
      <c r="G69" s="21"/>
    </row>
    <row r="70" spans="1:7" ht="15" customHeight="1">
      <c r="A70" s="27"/>
      <c r="B70" s="33">
        <v>80</v>
      </c>
      <c r="C70" s="7" t="s">
        <v>925</v>
      </c>
      <c r="D70" s="8">
        <v>63.34</v>
      </c>
      <c r="E70" s="9" t="s">
        <v>926</v>
      </c>
      <c r="F70" s="35">
        <f t="shared" ref="F70:F75" si="7">D70*B70</f>
        <v>5067.2000000000007</v>
      </c>
      <c r="G70" s="21"/>
    </row>
    <row r="71" spans="1:7" ht="15" customHeight="1">
      <c r="A71" s="27"/>
      <c r="B71" s="33">
        <v>60</v>
      </c>
      <c r="C71" s="7" t="s">
        <v>927</v>
      </c>
      <c r="D71" s="8">
        <v>37.11</v>
      </c>
      <c r="E71" s="9" t="s">
        <v>926</v>
      </c>
      <c r="F71" s="35">
        <f t="shared" si="7"/>
        <v>2226.6</v>
      </c>
      <c r="G71" s="21"/>
    </row>
    <row r="72" spans="1:7" ht="15" customHeight="1">
      <c r="A72" s="27"/>
      <c r="B72" s="33">
        <v>60</v>
      </c>
      <c r="C72" s="7" t="s">
        <v>928</v>
      </c>
      <c r="D72" s="8">
        <v>26.53</v>
      </c>
      <c r="E72" s="9" t="s">
        <v>926</v>
      </c>
      <c r="F72" s="35">
        <f t="shared" si="7"/>
        <v>1591.8000000000002</v>
      </c>
      <c r="G72" s="21"/>
    </row>
    <row r="73" spans="1:7" ht="15" customHeight="1">
      <c r="A73" s="27"/>
      <c r="B73" s="33"/>
      <c r="C73" s="7" t="s">
        <v>929</v>
      </c>
      <c r="D73" s="8">
        <v>25.92</v>
      </c>
      <c r="E73" s="9" t="s">
        <v>926</v>
      </c>
      <c r="F73" s="35">
        <f t="shared" si="7"/>
        <v>0</v>
      </c>
      <c r="G73" s="21"/>
    </row>
    <row r="74" spans="1:7" ht="15" customHeight="1">
      <c r="A74" s="27"/>
      <c r="B74" s="33"/>
      <c r="C74" s="7" t="s">
        <v>930</v>
      </c>
      <c r="D74" s="8">
        <v>19.71</v>
      </c>
      <c r="E74" s="9" t="s">
        <v>926</v>
      </c>
      <c r="F74" s="35">
        <f t="shared" si="7"/>
        <v>0</v>
      </c>
      <c r="G74" s="21"/>
    </row>
    <row r="75" spans="1:7" ht="15" customHeight="1">
      <c r="A75" s="27"/>
      <c r="B75" s="33">
        <v>20</v>
      </c>
      <c r="C75" s="7" t="s">
        <v>940</v>
      </c>
      <c r="D75" s="8">
        <v>73.209999999999994</v>
      </c>
      <c r="E75" s="9" t="s">
        <v>926</v>
      </c>
      <c r="F75" s="35">
        <f t="shared" si="7"/>
        <v>1464.1999999999998</v>
      </c>
      <c r="G75" s="21"/>
    </row>
    <row r="76" spans="1:7" ht="15" customHeight="1">
      <c r="A76" s="27"/>
      <c r="B76" s="33"/>
      <c r="C76" s="34" t="s">
        <v>932</v>
      </c>
      <c r="D76" s="8"/>
      <c r="E76" s="9"/>
      <c r="F76" s="35"/>
      <c r="G76" s="21"/>
    </row>
    <row r="77" spans="1:7" ht="15" customHeight="1">
      <c r="A77" s="27"/>
      <c r="B77" s="33">
        <v>120</v>
      </c>
      <c r="C77" s="7" t="s">
        <v>925</v>
      </c>
      <c r="D77" s="8">
        <v>63.34</v>
      </c>
      <c r="E77" s="9" t="s">
        <v>926</v>
      </c>
      <c r="F77" s="35">
        <f t="shared" ref="F77:F82" si="8">D77*B77</f>
        <v>7600.8</v>
      </c>
      <c r="G77" s="21"/>
    </row>
    <row r="78" spans="1:7" ht="15" customHeight="1">
      <c r="A78" s="27"/>
      <c r="B78" s="33">
        <v>280</v>
      </c>
      <c r="C78" s="7" t="s">
        <v>927</v>
      </c>
      <c r="D78" s="8">
        <v>37.11</v>
      </c>
      <c r="E78" s="9" t="s">
        <v>926</v>
      </c>
      <c r="F78" s="35">
        <f t="shared" si="8"/>
        <v>10390.799999999999</v>
      </c>
      <c r="G78" s="21"/>
    </row>
    <row r="79" spans="1:7" ht="15" customHeight="1">
      <c r="A79" s="27"/>
      <c r="B79" s="33"/>
      <c r="C79" s="7" t="s">
        <v>928</v>
      </c>
      <c r="D79" s="8">
        <v>26.53</v>
      </c>
      <c r="E79" s="9" t="s">
        <v>926</v>
      </c>
      <c r="F79" s="35">
        <f t="shared" si="8"/>
        <v>0</v>
      </c>
      <c r="G79" s="21"/>
    </row>
    <row r="80" spans="1:7" ht="15" customHeight="1">
      <c r="A80" s="27"/>
      <c r="B80" s="33"/>
      <c r="C80" s="7" t="s">
        <v>929</v>
      </c>
      <c r="D80" s="8">
        <v>25.92</v>
      </c>
      <c r="E80" s="9" t="s">
        <v>926</v>
      </c>
      <c r="F80" s="35">
        <f t="shared" si="8"/>
        <v>0</v>
      </c>
      <c r="G80" s="21"/>
    </row>
    <row r="81" spans="1:7" ht="15" customHeight="1">
      <c r="A81" s="27"/>
      <c r="B81" s="33"/>
      <c r="C81" s="7" t="s">
        <v>930</v>
      </c>
      <c r="D81" s="8">
        <v>19.71</v>
      </c>
      <c r="E81" s="9" t="s">
        <v>926</v>
      </c>
      <c r="F81" s="35">
        <f t="shared" si="8"/>
        <v>0</v>
      </c>
      <c r="G81" s="21"/>
    </row>
    <row r="82" spans="1:7" ht="15" customHeight="1">
      <c r="A82" s="27"/>
      <c r="B82" s="33"/>
      <c r="C82" s="7" t="s">
        <v>940</v>
      </c>
      <c r="D82" s="8">
        <v>73.209999999999994</v>
      </c>
      <c r="E82" s="9" t="s">
        <v>926</v>
      </c>
      <c r="F82" s="35">
        <f t="shared" si="8"/>
        <v>0</v>
      </c>
      <c r="G82" s="21"/>
    </row>
    <row r="83" spans="1:7" ht="15" customHeight="1">
      <c r="A83" s="27"/>
      <c r="B83" s="33"/>
      <c r="C83" s="34" t="s">
        <v>933</v>
      </c>
      <c r="D83" s="8"/>
      <c r="E83" s="9"/>
      <c r="F83" s="36">
        <v>1500</v>
      </c>
      <c r="G83" s="21"/>
    </row>
    <row r="84" spans="1:7" ht="15" customHeight="1">
      <c r="A84" s="27"/>
      <c r="B84" s="28"/>
      <c r="C84" s="29" t="s">
        <v>934</v>
      </c>
      <c r="D84" s="30"/>
      <c r="E84" s="31"/>
      <c r="F84" s="32">
        <f>SUM(F85:F87)</f>
        <v>0</v>
      </c>
      <c r="G84" s="21"/>
    </row>
    <row r="85" spans="1:7" ht="15" customHeight="1">
      <c r="A85" s="27"/>
      <c r="B85" s="33"/>
      <c r="C85" s="7" t="s">
        <v>948</v>
      </c>
      <c r="D85" s="8"/>
      <c r="E85" s="9"/>
      <c r="F85" s="35"/>
      <c r="G85" s="21"/>
    </row>
    <row r="86" spans="1:7" ht="15" customHeight="1">
      <c r="A86" s="27"/>
      <c r="B86" s="33"/>
      <c r="C86" s="7" t="s">
        <v>949</v>
      </c>
      <c r="D86" s="8"/>
      <c r="E86" s="9"/>
      <c r="F86" s="35"/>
      <c r="G86" s="21"/>
    </row>
    <row r="87" spans="1:7" ht="15" customHeight="1">
      <c r="A87" s="27"/>
      <c r="B87" s="37"/>
      <c r="C87" s="7" t="s">
        <v>943</v>
      </c>
      <c r="D87" s="14"/>
      <c r="E87" s="15"/>
      <c r="F87" s="38"/>
      <c r="G87" s="21"/>
    </row>
    <row r="88" spans="1:7" ht="15" customHeight="1">
      <c r="B88" s="336"/>
      <c r="C88" s="304" t="s">
        <v>950</v>
      </c>
      <c r="D88" s="304"/>
      <c r="E88" s="304"/>
      <c r="F88" s="318"/>
    </row>
    <row r="89" spans="1:7" ht="15" customHeight="1">
      <c r="A89" s="27"/>
      <c r="B89" s="28"/>
      <c r="C89" s="29" t="s">
        <v>923</v>
      </c>
      <c r="D89" s="30"/>
      <c r="E89" s="31"/>
      <c r="F89" s="32">
        <f>SUM(F91:F104)</f>
        <v>0</v>
      </c>
      <c r="G89" s="21"/>
    </row>
    <row r="90" spans="1:7" ht="15" customHeight="1">
      <c r="A90" s="27"/>
      <c r="B90" s="33"/>
      <c r="C90" s="34" t="s">
        <v>924</v>
      </c>
      <c r="D90" s="8"/>
      <c r="E90" s="9"/>
      <c r="F90" s="35"/>
      <c r="G90" s="21"/>
    </row>
    <row r="91" spans="1:7" ht="15" customHeight="1">
      <c r="A91" s="27"/>
      <c r="B91" s="33"/>
      <c r="C91" s="7" t="s">
        <v>925</v>
      </c>
      <c r="D91" s="8">
        <v>63.34</v>
      </c>
      <c r="E91" s="9" t="s">
        <v>926</v>
      </c>
      <c r="F91" s="35">
        <f t="shared" ref="F91:F96" si="9">D91*B91</f>
        <v>0</v>
      </c>
      <c r="G91" s="21"/>
    </row>
    <row r="92" spans="1:7" ht="15" customHeight="1">
      <c r="A92" s="27"/>
      <c r="B92" s="33"/>
      <c r="C92" s="7" t="s">
        <v>927</v>
      </c>
      <c r="D92" s="8">
        <v>37.11</v>
      </c>
      <c r="E92" s="9" t="s">
        <v>926</v>
      </c>
      <c r="F92" s="35">
        <f t="shared" si="9"/>
        <v>0</v>
      </c>
      <c r="G92" s="21"/>
    </row>
    <row r="93" spans="1:7" ht="15" customHeight="1">
      <c r="A93" s="27"/>
      <c r="B93" s="33"/>
      <c r="C93" s="7" t="s">
        <v>928</v>
      </c>
      <c r="D93" s="8">
        <v>26.53</v>
      </c>
      <c r="E93" s="9" t="s">
        <v>926</v>
      </c>
      <c r="F93" s="35">
        <f t="shared" si="9"/>
        <v>0</v>
      </c>
      <c r="G93" s="21"/>
    </row>
    <row r="94" spans="1:7" ht="15" customHeight="1">
      <c r="A94" s="27"/>
      <c r="B94" s="33"/>
      <c r="C94" s="7" t="s">
        <v>929</v>
      </c>
      <c r="D94" s="8">
        <v>25.92</v>
      </c>
      <c r="E94" s="9" t="s">
        <v>926</v>
      </c>
      <c r="F94" s="35">
        <f t="shared" si="9"/>
        <v>0</v>
      </c>
      <c r="G94" s="21"/>
    </row>
    <row r="95" spans="1:7" ht="15" customHeight="1">
      <c r="A95" s="27"/>
      <c r="B95" s="33"/>
      <c r="C95" s="7" t="s">
        <v>930</v>
      </c>
      <c r="D95" s="8">
        <v>19.71</v>
      </c>
      <c r="E95" s="9" t="s">
        <v>926</v>
      </c>
      <c r="F95" s="35">
        <f t="shared" si="9"/>
        <v>0</v>
      </c>
      <c r="G95" s="21"/>
    </row>
    <row r="96" spans="1:7" ht="15" customHeight="1">
      <c r="A96" s="27"/>
      <c r="B96" s="33"/>
      <c r="C96" s="7" t="s">
        <v>940</v>
      </c>
      <c r="D96" s="8">
        <v>73.209999999999994</v>
      </c>
      <c r="E96" s="9" t="s">
        <v>926</v>
      </c>
      <c r="F96" s="35">
        <f t="shared" si="9"/>
        <v>0</v>
      </c>
      <c r="G96" s="21"/>
    </row>
    <row r="97" spans="1:7" ht="15" customHeight="1">
      <c r="A97" s="27"/>
      <c r="B97" s="33"/>
      <c r="C97" s="34" t="s">
        <v>932</v>
      </c>
      <c r="D97" s="8"/>
      <c r="E97" s="9"/>
      <c r="F97" s="35"/>
      <c r="G97" s="21"/>
    </row>
    <row r="98" spans="1:7" ht="15" customHeight="1">
      <c r="A98" s="27"/>
      <c r="B98" s="33"/>
      <c r="C98" s="7" t="s">
        <v>925</v>
      </c>
      <c r="D98" s="8">
        <v>63.34</v>
      </c>
      <c r="E98" s="9" t="s">
        <v>926</v>
      </c>
      <c r="F98" s="35">
        <f t="shared" ref="F98:F103" si="10">D98*B98</f>
        <v>0</v>
      </c>
      <c r="G98" s="21"/>
    </row>
    <row r="99" spans="1:7" ht="15" customHeight="1">
      <c r="A99" s="27"/>
      <c r="B99" s="33"/>
      <c r="C99" s="7" t="s">
        <v>927</v>
      </c>
      <c r="D99" s="8">
        <v>37.11</v>
      </c>
      <c r="E99" s="9" t="s">
        <v>926</v>
      </c>
      <c r="F99" s="35">
        <f t="shared" si="10"/>
        <v>0</v>
      </c>
      <c r="G99" s="21"/>
    </row>
    <row r="100" spans="1:7" ht="15" customHeight="1">
      <c r="A100" s="27"/>
      <c r="B100" s="33"/>
      <c r="C100" s="7" t="s">
        <v>928</v>
      </c>
      <c r="D100" s="8">
        <v>26.53</v>
      </c>
      <c r="E100" s="9" t="s">
        <v>926</v>
      </c>
      <c r="F100" s="35">
        <f t="shared" si="10"/>
        <v>0</v>
      </c>
      <c r="G100" s="21"/>
    </row>
    <row r="101" spans="1:7" ht="15" customHeight="1">
      <c r="A101" s="27"/>
      <c r="B101" s="33"/>
      <c r="C101" s="7" t="s">
        <v>929</v>
      </c>
      <c r="D101" s="8">
        <v>25.92</v>
      </c>
      <c r="E101" s="9" t="s">
        <v>926</v>
      </c>
      <c r="F101" s="35">
        <f t="shared" si="10"/>
        <v>0</v>
      </c>
      <c r="G101" s="21"/>
    </row>
    <row r="102" spans="1:7" ht="15" customHeight="1">
      <c r="A102" s="27"/>
      <c r="B102" s="33"/>
      <c r="C102" s="7" t="s">
        <v>930</v>
      </c>
      <c r="D102" s="8">
        <v>19.71</v>
      </c>
      <c r="E102" s="9" t="s">
        <v>926</v>
      </c>
      <c r="F102" s="35">
        <f t="shared" si="10"/>
        <v>0</v>
      </c>
      <c r="G102" s="21"/>
    </row>
    <row r="103" spans="1:7" ht="15" customHeight="1">
      <c r="A103" s="27"/>
      <c r="B103" s="33"/>
      <c r="C103" s="7" t="s">
        <v>940</v>
      </c>
      <c r="D103" s="8">
        <v>73.209999999999994</v>
      </c>
      <c r="E103" s="9" t="s">
        <v>926</v>
      </c>
      <c r="F103" s="35">
        <f t="shared" si="10"/>
        <v>0</v>
      </c>
      <c r="G103" s="21"/>
    </row>
    <row r="104" spans="1:7" ht="15" customHeight="1">
      <c r="A104" s="27"/>
      <c r="B104" s="33"/>
      <c r="C104" s="34" t="s">
        <v>933</v>
      </c>
      <c r="D104" s="8"/>
      <c r="E104" s="9"/>
      <c r="F104" s="35"/>
      <c r="G104" s="21"/>
    </row>
    <row r="105" spans="1:7" ht="15" customHeight="1">
      <c r="A105" s="27"/>
      <c r="B105" s="28"/>
      <c r="C105" s="29" t="s">
        <v>934</v>
      </c>
      <c r="D105" s="30"/>
      <c r="E105" s="31"/>
      <c r="F105" s="32">
        <f>SUM(F106:F109)</f>
        <v>35000</v>
      </c>
      <c r="G105" s="21"/>
    </row>
    <row r="106" spans="1:7" ht="15" customHeight="1">
      <c r="A106" s="27"/>
      <c r="B106" s="33"/>
      <c r="C106" s="7" t="s">
        <v>948</v>
      </c>
      <c r="D106" s="8"/>
      <c r="E106" s="9"/>
      <c r="F106" s="35"/>
      <c r="G106" s="21"/>
    </row>
    <row r="107" spans="1:7" ht="15" customHeight="1">
      <c r="A107" s="27"/>
      <c r="B107" s="33"/>
      <c r="C107" s="7" t="s">
        <v>949</v>
      </c>
      <c r="D107" s="8"/>
      <c r="E107" s="9"/>
      <c r="F107" s="35"/>
      <c r="G107" s="21"/>
    </row>
    <row r="108" spans="1:7" ht="15" customHeight="1">
      <c r="A108" s="27"/>
      <c r="B108" s="37"/>
      <c r="C108" s="7" t="s">
        <v>951</v>
      </c>
      <c r="D108" s="14"/>
      <c r="E108" s="15"/>
      <c r="F108" s="38">
        <v>35000</v>
      </c>
      <c r="G108" s="21"/>
    </row>
    <row r="109" spans="1:7" ht="15" customHeight="1">
      <c r="A109" s="27"/>
      <c r="B109" s="37"/>
      <c r="C109" s="7" t="s">
        <v>943</v>
      </c>
      <c r="D109" s="14"/>
      <c r="E109" s="15"/>
      <c r="F109" s="38"/>
      <c r="G109" s="21"/>
    </row>
    <row r="110" spans="1:7" ht="15" customHeight="1">
      <c r="B110" s="336"/>
      <c r="C110" s="304" t="s">
        <v>952</v>
      </c>
      <c r="D110" s="304"/>
      <c r="E110" s="304"/>
      <c r="F110" s="318"/>
    </row>
    <row r="111" spans="1:7" ht="15" customHeight="1">
      <c r="A111" s="27"/>
      <c r="B111" s="28"/>
      <c r="C111" s="29" t="s">
        <v>732</v>
      </c>
      <c r="D111" s="30"/>
      <c r="E111" s="31"/>
      <c r="F111" s="32">
        <f>SUM(F113:F126)</f>
        <v>0</v>
      </c>
      <c r="G111" s="21"/>
    </row>
    <row r="112" spans="1:7" ht="15" customHeight="1">
      <c r="A112" s="27"/>
      <c r="B112" s="33"/>
      <c r="C112" s="34" t="s">
        <v>924</v>
      </c>
      <c r="D112" s="8"/>
      <c r="E112" s="9"/>
      <c r="F112" s="35"/>
      <c r="G112" s="21"/>
    </row>
    <row r="113" spans="1:7" ht="15" customHeight="1">
      <c r="A113" s="27"/>
      <c r="B113" s="33"/>
      <c r="C113" s="7" t="s">
        <v>925</v>
      </c>
      <c r="D113" s="8">
        <v>63.34</v>
      </c>
      <c r="E113" s="9" t="s">
        <v>926</v>
      </c>
      <c r="F113" s="35"/>
      <c r="G113" s="21"/>
    </row>
    <row r="114" spans="1:7" ht="15" customHeight="1">
      <c r="A114" s="27"/>
      <c r="B114" s="33"/>
      <c r="C114" s="7" t="s">
        <v>927</v>
      </c>
      <c r="D114" s="8">
        <v>37.11</v>
      </c>
      <c r="E114" s="9" t="s">
        <v>926</v>
      </c>
      <c r="F114" s="35"/>
      <c r="G114" s="21"/>
    </row>
    <row r="115" spans="1:7" ht="15" customHeight="1">
      <c r="A115" s="27"/>
      <c r="B115" s="33"/>
      <c r="C115" s="7" t="s">
        <v>928</v>
      </c>
      <c r="D115" s="8">
        <v>26.53</v>
      </c>
      <c r="E115" s="9" t="s">
        <v>926</v>
      </c>
      <c r="F115" s="35"/>
      <c r="G115" s="21"/>
    </row>
    <row r="116" spans="1:7" ht="15" customHeight="1">
      <c r="A116" s="27"/>
      <c r="B116" s="33"/>
      <c r="C116" s="7" t="s">
        <v>929</v>
      </c>
      <c r="D116" s="8">
        <v>25.92</v>
      </c>
      <c r="E116" s="9" t="s">
        <v>926</v>
      </c>
      <c r="F116" s="35"/>
      <c r="G116" s="21"/>
    </row>
    <row r="117" spans="1:7" ht="15" customHeight="1">
      <c r="A117" s="27"/>
      <c r="B117" s="33"/>
      <c r="C117" s="7" t="s">
        <v>930</v>
      </c>
      <c r="D117" s="8">
        <v>19.71</v>
      </c>
      <c r="E117" s="9" t="s">
        <v>926</v>
      </c>
      <c r="F117" s="35"/>
      <c r="G117" s="21"/>
    </row>
    <row r="118" spans="1:7" ht="15" customHeight="1">
      <c r="A118" s="27"/>
      <c r="B118" s="33"/>
      <c r="C118" s="7" t="s">
        <v>940</v>
      </c>
      <c r="D118" s="8">
        <v>73.209999999999994</v>
      </c>
      <c r="E118" s="9" t="s">
        <v>926</v>
      </c>
      <c r="F118" s="35"/>
      <c r="G118" s="21"/>
    </row>
    <row r="119" spans="1:7" ht="15" customHeight="1">
      <c r="A119" s="27"/>
      <c r="B119" s="33"/>
      <c r="C119" s="34" t="s">
        <v>932</v>
      </c>
      <c r="D119" s="8"/>
      <c r="E119" s="9"/>
      <c r="F119" s="35"/>
      <c r="G119" s="21"/>
    </row>
    <row r="120" spans="1:7" ht="15" customHeight="1">
      <c r="A120" s="27"/>
      <c r="B120" s="33"/>
      <c r="C120" s="7" t="s">
        <v>925</v>
      </c>
      <c r="D120" s="8">
        <v>63.34</v>
      </c>
      <c r="E120" s="9" t="s">
        <v>926</v>
      </c>
      <c r="F120" s="35"/>
      <c r="G120" s="21"/>
    </row>
    <row r="121" spans="1:7" ht="15" customHeight="1">
      <c r="A121" s="27"/>
      <c r="B121" s="33"/>
      <c r="C121" s="7" t="s">
        <v>927</v>
      </c>
      <c r="D121" s="8">
        <v>37.11</v>
      </c>
      <c r="E121" s="9" t="s">
        <v>926</v>
      </c>
      <c r="F121" s="35"/>
      <c r="G121" s="21"/>
    </row>
    <row r="122" spans="1:7" ht="15" customHeight="1">
      <c r="A122" s="27"/>
      <c r="B122" s="33"/>
      <c r="C122" s="7" t="s">
        <v>928</v>
      </c>
      <c r="D122" s="8">
        <v>26.53</v>
      </c>
      <c r="E122" s="9" t="s">
        <v>926</v>
      </c>
      <c r="F122" s="35"/>
      <c r="G122" s="21"/>
    </row>
    <row r="123" spans="1:7" ht="15" customHeight="1">
      <c r="A123" s="27"/>
      <c r="B123" s="33"/>
      <c r="C123" s="7" t="s">
        <v>929</v>
      </c>
      <c r="D123" s="8">
        <v>25.92</v>
      </c>
      <c r="E123" s="9" t="s">
        <v>926</v>
      </c>
      <c r="F123" s="35"/>
      <c r="G123" s="21"/>
    </row>
    <row r="124" spans="1:7" ht="15" customHeight="1">
      <c r="A124" s="27"/>
      <c r="B124" s="33"/>
      <c r="C124" s="7" t="s">
        <v>930</v>
      </c>
      <c r="D124" s="8">
        <v>19.71</v>
      </c>
      <c r="E124" s="9" t="s">
        <v>926</v>
      </c>
      <c r="F124" s="35"/>
      <c r="G124" s="21"/>
    </row>
    <row r="125" spans="1:7" ht="15" customHeight="1">
      <c r="A125" s="27"/>
      <c r="B125" s="33"/>
      <c r="C125" s="7" t="s">
        <v>940</v>
      </c>
      <c r="D125" s="8">
        <v>73.209999999999994</v>
      </c>
      <c r="E125" s="9" t="s">
        <v>926</v>
      </c>
      <c r="F125" s="35"/>
      <c r="G125" s="21"/>
    </row>
    <row r="126" spans="1:7" ht="15" hidden="1" customHeight="1">
      <c r="A126" s="27"/>
      <c r="B126" s="33"/>
      <c r="C126" s="34" t="s">
        <v>933</v>
      </c>
      <c r="D126" s="8"/>
      <c r="E126" s="9"/>
      <c r="F126" s="35"/>
      <c r="G126" s="21"/>
    </row>
    <row r="127" spans="1:7" ht="15" customHeight="1">
      <c r="B127" s="309"/>
      <c r="C127" s="334" t="s">
        <v>56</v>
      </c>
      <c r="D127" s="310"/>
      <c r="E127" s="311"/>
      <c r="F127" s="314">
        <f>F111+F105+F89+F84+F68+F63+F47+F42+F26+F20+F4</f>
        <v>150375.62</v>
      </c>
      <c r="G127" s="3"/>
    </row>
    <row r="128" spans="1:7" ht="15" customHeight="1">
      <c r="G128" s="3"/>
    </row>
    <row r="129" spans="7:7" ht="15" customHeight="1">
      <c r="G129" s="3"/>
    </row>
    <row r="130" spans="7:7" ht="15" customHeight="1">
      <c r="G130" s="3"/>
    </row>
  </sheetData>
  <mergeCells count="1">
    <mergeCell ref="B1:F1"/>
  </mergeCells>
  <conditionalFormatting sqref="F6:F19 F21:F24 F28:F40 F43:F45 F49:F61 F64:F66 F70:F83 F85:F87 F91:F103 F112:F125">
    <cfRule type="cellIs" dxfId="8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3" orientation="portrait"/>
  <rowBreaks count="1" manualBreakCount="1">
    <brk id="66" max="5" man="1"/>
  </rowBreaks>
  <colBreaks count="1" manualBreakCount="1">
    <brk id="6" max="1048575" man="1"/>
  </col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1:I16"/>
  <sheetViews>
    <sheetView workbookViewId="0">
      <selection activeCell="C7" sqref="C7"/>
    </sheetView>
  </sheetViews>
  <sheetFormatPr baseColWidth="10" defaultColWidth="11.44140625" defaultRowHeight="13.2"/>
  <cols>
    <col min="1" max="1" width="2.33203125" style="1" customWidth="1"/>
    <col min="2" max="2" width="11.33203125" style="2" customWidth="1"/>
    <col min="3" max="3" width="62.88671875" style="3" customWidth="1"/>
    <col min="4" max="4" width="14.109375" style="2" customWidth="1"/>
    <col min="5" max="5" width="15.6640625" style="4" customWidth="1"/>
    <col min="6" max="6" width="11.44140625" style="1"/>
    <col min="7" max="7" width="15" style="1" customWidth="1"/>
    <col min="8" max="8" width="19.5546875" style="1" customWidth="1"/>
    <col min="9" max="16384" width="11.44140625" style="1"/>
  </cols>
  <sheetData>
    <row r="1" spans="2:9" ht="15" customHeight="1">
      <c r="B1" s="743" t="s">
        <v>880</v>
      </c>
      <c r="C1" s="743"/>
      <c r="D1" s="743"/>
      <c r="E1" s="743"/>
      <c r="F1" s="743"/>
      <c r="G1" s="743"/>
      <c r="H1" s="744"/>
      <c r="I1" s="18"/>
    </row>
    <row r="2" spans="2:9" ht="43.2">
      <c r="B2" s="5" t="s">
        <v>632</v>
      </c>
      <c r="C2" s="6" t="s">
        <v>360</v>
      </c>
      <c r="D2" s="6" t="s">
        <v>633</v>
      </c>
      <c r="E2" s="6" t="s">
        <v>634</v>
      </c>
      <c r="F2" s="6" t="s">
        <v>635</v>
      </c>
      <c r="G2" s="6" t="s">
        <v>636</v>
      </c>
      <c r="H2" s="6" t="s">
        <v>637</v>
      </c>
      <c r="I2" s="19"/>
    </row>
    <row r="3" spans="2:9" ht="15" customHeight="1">
      <c r="B3" s="304"/>
      <c r="C3" s="304" t="s">
        <v>953</v>
      </c>
      <c r="D3" s="304"/>
      <c r="E3" s="304"/>
      <c r="F3" s="304"/>
      <c r="G3" s="304"/>
      <c r="H3" s="304"/>
      <c r="I3" s="20"/>
    </row>
    <row r="4" spans="2:9" ht="15" customHeight="1">
      <c r="B4" s="7"/>
      <c r="C4" s="7"/>
      <c r="D4" s="8"/>
      <c r="E4" s="9">
        <v>4</v>
      </c>
      <c r="F4" s="8">
        <f t="shared" ref="F4:F7" si="0">D4/E4</f>
        <v>0</v>
      </c>
      <c r="G4" s="10"/>
      <c r="H4" s="8">
        <f t="shared" ref="H4:H5" si="1">B4*F4</f>
        <v>0</v>
      </c>
      <c r="I4" s="21"/>
    </row>
    <row r="5" spans="2:9" ht="15" customHeight="1">
      <c r="B5" s="7"/>
      <c r="C5" s="7"/>
      <c r="D5" s="8"/>
      <c r="E5" s="9">
        <v>4</v>
      </c>
      <c r="F5" s="8">
        <f t="shared" si="0"/>
        <v>0</v>
      </c>
      <c r="G5" s="10"/>
      <c r="H5" s="8">
        <f t="shared" si="1"/>
        <v>0</v>
      </c>
      <c r="I5" s="21"/>
    </row>
    <row r="6" spans="2:9" ht="15" customHeight="1">
      <c r="B6" s="304"/>
      <c r="C6" s="304" t="s">
        <v>954</v>
      </c>
      <c r="D6" s="304"/>
      <c r="E6" s="304"/>
      <c r="F6" s="304"/>
      <c r="G6" s="304"/>
      <c r="H6" s="304"/>
      <c r="I6" s="21"/>
    </row>
    <row r="7" spans="2:9" ht="15" customHeight="1">
      <c r="B7" s="11">
        <v>1</v>
      </c>
      <c r="C7" s="7" t="s">
        <v>955</v>
      </c>
      <c r="D7" s="8"/>
      <c r="E7" s="9">
        <v>1</v>
      </c>
      <c r="F7" s="8">
        <f t="shared" si="0"/>
        <v>0</v>
      </c>
      <c r="G7" s="10"/>
      <c r="H7" s="12">
        <v>12000</v>
      </c>
      <c r="I7" s="21"/>
    </row>
    <row r="8" spans="2:9" ht="15" customHeight="1">
      <c r="B8" s="13"/>
      <c r="C8" s="13"/>
      <c r="D8" s="14"/>
      <c r="E8" s="15"/>
      <c r="F8" s="14"/>
      <c r="G8" s="13"/>
      <c r="H8" s="14"/>
      <c r="I8" s="21"/>
    </row>
    <row r="9" spans="2:9" ht="15" customHeight="1">
      <c r="B9" s="304"/>
      <c r="C9" s="304" t="s">
        <v>732</v>
      </c>
      <c r="D9" s="304"/>
      <c r="E9" s="304"/>
      <c r="F9" s="304"/>
      <c r="G9" s="304"/>
      <c r="H9" s="304"/>
    </row>
    <row r="10" spans="2:9" ht="15" customHeight="1">
      <c r="B10" s="11">
        <v>1</v>
      </c>
      <c r="C10" s="7" t="s">
        <v>956</v>
      </c>
      <c r="D10" s="8"/>
      <c r="E10" s="9">
        <v>1</v>
      </c>
      <c r="F10" s="8">
        <f>D10/E10</f>
        <v>0</v>
      </c>
      <c r="G10" s="10"/>
      <c r="H10" s="12">
        <v>30000</v>
      </c>
    </row>
    <row r="11" spans="2:9" ht="15" customHeight="1">
      <c r="B11" s="16">
        <v>10</v>
      </c>
      <c r="C11" s="13" t="s">
        <v>957</v>
      </c>
      <c r="D11" s="14">
        <f>19.75*5*7+25</f>
        <v>716.25</v>
      </c>
      <c r="E11" s="15">
        <v>1</v>
      </c>
      <c r="F11" s="14"/>
      <c r="G11" s="13"/>
      <c r="H11" s="17">
        <f>D11*B11</f>
        <v>7162.5</v>
      </c>
    </row>
    <row r="12" spans="2:9" ht="15" customHeight="1">
      <c r="B12" s="16"/>
      <c r="C12" s="13"/>
      <c r="D12" s="14"/>
      <c r="E12" s="15"/>
      <c r="F12" s="14"/>
      <c r="G12" s="13"/>
      <c r="H12" s="17"/>
    </row>
    <row r="13" spans="2:9" ht="15" customHeight="1">
      <c r="B13" s="16"/>
      <c r="C13" s="13"/>
      <c r="D13" s="14"/>
      <c r="E13" s="15"/>
      <c r="F13" s="14"/>
      <c r="G13" s="13"/>
      <c r="H13" s="17"/>
    </row>
    <row r="14" spans="2:9" ht="15" customHeight="1">
      <c r="B14" s="16"/>
      <c r="C14" s="13"/>
      <c r="D14" s="14"/>
      <c r="E14" s="15"/>
      <c r="F14" s="14"/>
      <c r="G14" s="13"/>
      <c r="H14" s="17"/>
    </row>
    <row r="15" spans="2:9" ht="15" customHeight="1">
      <c r="B15" s="16"/>
      <c r="C15" s="13"/>
      <c r="D15" s="14"/>
      <c r="E15" s="15"/>
      <c r="F15" s="14"/>
      <c r="G15" s="13"/>
      <c r="H15" s="17"/>
    </row>
    <row r="16" spans="2:9" ht="15" customHeight="1">
      <c r="B16" s="328"/>
      <c r="C16" s="329"/>
      <c r="D16" s="329"/>
      <c r="E16" s="328"/>
      <c r="F16" s="330" t="s">
        <v>56</v>
      </c>
      <c r="G16" s="330"/>
      <c r="H16" s="331">
        <f>SUM(H4:H15)</f>
        <v>49162.5</v>
      </c>
    </row>
  </sheetData>
  <mergeCells count="1">
    <mergeCell ref="B1:H1"/>
  </mergeCells>
  <pageMargins left="0.7" right="0.7" top="0.75" bottom="0.75" header="0.3" footer="0.3"/>
  <pageSetup paperSize="9" scale="91" orientation="landscape"/>
  <colBreaks count="1" manualBreakCount="1">
    <brk id="8" max="17" man="1"/>
  </colBreak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Z539"/>
  <sheetViews>
    <sheetView showGridLines="0" zoomScaleNormal="100" workbookViewId="0">
      <selection activeCell="O18" sqref="O18:T18"/>
    </sheetView>
  </sheetViews>
  <sheetFormatPr baseColWidth="10" defaultColWidth="11.44140625" defaultRowHeight="14.4"/>
  <cols>
    <col min="1" max="1" width="5.33203125" style="49" customWidth="1"/>
    <col min="2" max="10" width="3.33203125" style="51" customWidth="1"/>
    <col min="11" max="11" width="35.109375" style="51" customWidth="1"/>
    <col min="12" max="19" width="3.33203125" style="51" customWidth="1"/>
    <col min="20" max="20" width="14.44140625" style="51" customWidth="1"/>
    <col min="21" max="29" width="3.33203125" style="51" customWidth="1"/>
    <col min="30" max="16384" width="11.44140625" style="51"/>
  </cols>
  <sheetData>
    <row r="1" spans="2:26" ht="15" customHeight="1">
      <c r="B1" s="454" t="s">
        <v>55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</row>
    <row r="2" spans="2:26" ht="3.75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2:26" ht="15" customHeight="1"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545" t="s">
        <v>56</v>
      </c>
      <c r="M3" s="545"/>
      <c r="N3" s="545"/>
      <c r="O3" s="545"/>
      <c r="P3" s="545"/>
      <c r="Q3" s="545"/>
      <c r="R3" s="545"/>
      <c r="S3" s="545"/>
      <c r="T3" s="545"/>
      <c r="U3" s="545" t="s">
        <v>37</v>
      </c>
      <c r="V3" s="545"/>
      <c r="W3" s="545"/>
      <c r="X3" s="545"/>
      <c r="Y3" s="545"/>
      <c r="Z3" s="545"/>
    </row>
    <row r="4" spans="2:26" ht="15" customHeight="1">
      <c r="B4" s="468" t="s">
        <v>57</v>
      </c>
      <c r="C4" s="468"/>
      <c r="D4" s="468"/>
      <c r="E4" s="468"/>
      <c r="F4" s="468"/>
      <c r="G4" s="468"/>
      <c r="H4" s="468"/>
      <c r="I4" s="468"/>
      <c r="J4" s="468"/>
      <c r="K4" s="468"/>
      <c r="L4" s="546">
        <f>'A. Resumen Costes Personal'!N17</f>
        <v>3082370.7414289839</v>
      </c>
      <c r="M4" s="547"/>
      <c r="N4" s="547"/>
      <c r="O4" s="547"/>
      <c r="P4" s="547"/>
      <c r="Q4" s="547"/>
      <c r="R4" s="547"/>
      <c r="S4" s="547"/>
      <c r="T4" s="548"/>
      <c r="U4" s="549">
        <f>L4/$L$10</f>
        <v>0.77224523998621464</v>
      </c>
      <c r="V4" s="550"/>
      <c r="W4" s="550"/>
      <c r="X4" s="550"/>
      <c r="Y4" s="550"/>
      <c r="Z4" s="551"/>
    </row>
    <row r="5" spans="2:26" ht="15" customHeight="1">
      <c r="B5" s="468" t="s">
        <v>58</v>
      </c>
      <c r="C5" s="468"/>
      <c r="D5" s="468"/>
      <c r="E5" s="468"/>
      <c r="F5" s="468"/>
      <c r="G5" s="468"/>
      <c r="H5" s="468"/>
      <c r="I5" s="468"/>
      <c r="J5" s="468"/>
      <c r="K5" s="468"/>
      <c r="L5" s="546">
        <f>'B. Resumen Costes Veh_Maq'!L6:O6</f>
        <v>304288.25020156737</v>
      </c>
      <c r="M5" s="547"/>
      <c r="N5" s="547"/>
      <c r="O5" s="547"/>
      <c r="P5" s="547"/>
      <c r="Q5" s="547"/>
      <c r="R5" s="547"/>
      <c r="S5" s="547"/>
      <c r="T5" s="548"/>
      <c r="U5" s="549">
        <f t="shared" ref="U5:U10" si="0">L5/$L$10</f>
        <v>7.6235200926205213E-2</v>
      </c>
      <c r="V5" s="550"/>
      <c r="W5" s="550"/>
      <c r="X5" s="550"/>
      <c r="Y5" s="550"/>
      <c r="Z5" s="551"/>
    </row>
    <row r="6" spans="2:26" ht="15" customHeight="1">
      <c r="B6" s="468" t="s">
        <v>59</v>
      </c>
      <c r="C6" s="468"/>
      <c r="D6" s="468"/>
      <c r="E6" s="468"/>
      <c r="F6" s="468"/>
      <c r="G6" s="468"/>
      <c r="H6" s="468"/>
      <c r="I6" s="468"/>
      <c r="J6" s="468"/>
      <c r="K6" s="468"/>
      <c r="L6" s="546">
        <f>'C. Resumen Costes Vest_Util_Her'!N8</f>
        <v>53803.71149999999</v>
      </c>
      <c r="M6" s="547"/>
      <c r="N6" s="547"/>
      <c r="O6" s="547"/>
      <c r="P6" s="547"/>
      <c r="Q6" s="547"/>
      <c r="R6" s="547"/>
      <c r="S6" s="547"/>
      <c r="T6" s="548"/>
      <c r="U6" s="549">
        <f t="shared" si="0"/>
        <v>1.3479773714762219E-2</v>
      </c>
      <c r="V6" s="550"/>
      <c r="W6" s="550"/>
      <c r="X6" s="550"/>
      <c r="Y6" s="550"/>
      <c r="Z6" s="551"/>
    </row>
    <row r="7" spans="2:26" ht="15" customHeight="1">
      <c r="B7" s="468" t="s">
        <v>60</v>
      </c>
      <c r="C7" s="468"/>
      <c r="D7" s="468"/>
      <c r="E7" s="468"/>
      <c r="F7" s="468"/>
      <c r="G7" s="468"/>
      <c r="H7" s="468"/>
      <c r="I7" s="468"/>
      <c r="J7" s="468"/>
      <c r="K7" s="468"/>
      <c r="L7" s="546">
        <f>'D. Resumen Costes Locales e ins'!N6</f>
        <v>149067.5</v>
      </c>
      <c r="M7" s="547"/>
      <c r="N7" s="547"/>
      <c r="O7" s="547"/>
      <c r="P7" s="547"/>
      <c r="Q7" s="547"/>
      <c r="R7" s="547"/>
      <c r="S7" s="547"/>
      <c r="T7" s="548"/>
      <c r="U7" s="549">
        <f t="shared" si="0"/>
        <v>3.7346794713694002E-2</v>
      </c>
      <c r="V7" s="550"/>
      <c r="W7" s="550"/>
      <c r="X7" s="550"/>
      <c r="Y7" s="550"/>
      <c r="Z7" s="551"/>
    </row>
    <row r="8" spans="2:26" ht="15" customHeight="1">
      <c r="B8" s="468" t="s">
        <v>61</v>
      </c>
      <c r="C8" s="468"/>
      <c r="D8" s="468"/>
      <c r="E8" s="468"/>
      <c r="F8" s="468"/>
      <c r="G8" s="468"/>
      <c r="H8" s="468"/>
      <c r="I8" s="468"/>
      <c r="J8" s="468"/>
      <c r="K8" s="468"/>
      <c r="L8" s="546">
        <f>'E. Resumen Costes Materiales '!N6</f>
        <v>153317.22534999999</v>
      </c>
      <c r="M8" s="547"/>
      <c r="N8" s="547"/>
      <c r="O8" s="547"/>
      <c r="P8" s="547"/>
      <c r="Q8" s="547"/>
      <c r="R8" s="547"/>
      <c r="S8" s="547"/>
      <c r="T8" s="548"/>
      <c r="U8" s="549">
        <f t="shared" si="0"/>
        <v>3.8411504460862445E-2</v>
      </c>
      <c r="V8" s="550"/>
      <c r="W8" s="550"/>
      <c r="X8" s="550"/>
      <c r="Y8" s="550"/>
      <c r="Z8" s="551"/>
    </row>
    <row r="9" spans="2:26" ht="15" customHeight="1">
      <c r="B9" s="468" t="s">
        <v>62</v>
      </c>
      <c r="C9" s="468"/>
      <c r="D9" s="468"/>
      <c r="E9" s="468"/>
      <c r="F9" s="468"/>
      <c r="G9" s="468"/>
      <c r="H9" s="468"/>
      <c r="I9" s="468"/>
      <c r="J9" s="468"/>
      <c r="K9" s="468"/>
      <c r="L9" s="546">
        <f>'F. Resumen Otros Costes'!L8</f>
        <v>248592.83146071737</v>
      </c>
      <c r="M9" s="547"/>
      <c r="N9" s="547"/>
      <c r="O9" s="547"/>
      <c r="P9" s="547"/>
      <c r="Q9" s="547"/>
      <c r="R9" s="547"/>
      <c r="S9" s="547"/>
      <c r="T9" s="548"/>
      <c r="U9" s="549">
        <f t="shared" si="0"/>
        <v>6.2281486198261488E-2</v>
      </c>
      <c r="V9" s="550"/>
      <c r="W9" s="550"/>
      <c r="X9" s="550"/>
      <c r="Y9" s="550"/>
      <c r="Z9" s="551"/>
    </row>
    <row r="10" spans="2:26" ht="15" customHeight="1">
      <c r="B10" s="554" t="s">
        <v>63</v>
      </c>
      <c r="C10" s="554"/>
      <c r="D10" s="554"/>
      <c r="E10" s="554"/>
      <c r="F10" s="554"/>
      <c r="G10" s="554"/>
      <c r="H10" s="554"/>
      <c r="I10" s="554"/>
      <c r="J10" s="554"/>
      <c r="K10" s="554"/>
      <c r="L10" s="555">
        <f>L4+L5+L6+L7+L8+L9</f>
        <v>3991440.2599412687</v>
      </c>
      <c r="M10" s="556"/>
      <c r="N10" s="556"/>
      <c r="O10" s="556"/>
      <c r="P10" s="556"/>
      <c r="Q10" s="556"/>
      <c r="R10" s="556"/>
      <c r="S10" s="556"/>
      <c r="T10" s="557"/>
      <c r="U10" s="558">
        <f t="shared" si="0"/>
        <v>1</v>
      </c>
      <c r="V10" s="559"/>
      <c r="W10" s="559"/>
      <c r="X10" s="559"/>
      <c r="Y10" s="559"/>
      <c r="Z10" s="560"/>
    </row>
    <row r="11" spans="2:26" ht="15" customHeight="1">
      <c r="B11" s="468" t="s">
        <v>12</v>
      </c>
      <c r="C11" s="468"/>
      <c r="D11" s="468"/>
      <c r="E11" s="468"/>
      <c r="F11" s="468"/>
      <c r="G11" s="468"/>
      <c r="H11" s="468"/>
      <c r="I11" s="468"/>
      <c r="J11" s="468"/>
      <c r="K11" s="468"/>
      <c r="L11" s="567">
        <v>0.13</v>
      </c>
      <c r="M11" s="568"/>
      <c r="N11" s="568"/>
      <c r="O11" s="546">
        <f>L10*L11</f>
        <v>518887.23379236495</v>
      </c>
      <c r="P11" s="552"/>
      <c r="Q11" s="552"/>
      <c r="R11" s="552"/>
      <c r="S11" s="552"/>
      <c r="T11" s="553"/>
      <c r="U11" s="561"/>
      <c r="V11" s="562"/>
      <c r="W11" s="562"/>
      <c r="X11" s="562"/>
      <c r="Y11" s="562"/>
      <c r="Z11" s="563"/>
    </row>
    <row r="12" spans="2:26" ht="15" customHeight="1">
      <c r="B12" s="468" t="s">
        <v>64</v>
      </c>
      <c r="C12" s="468"/>
      <c r="D12" s="468"/>
      <c r="E12" s="468"/>
      <c r="F12" s="468"/>
      <c r="G12" s="468"/>
      <c r="H12" s="468"/>
      <c r="I12" s="468"/>
      <c r="J12" s="468"/>
      <c r="K12" s="468"/>
      <c r="L12" s="567">
        <v>0.06</v>
      </c>
      <c r="M12" s="568"/>
      <c r="N12" s="568"/>
      <c r="O12" s="546">
        <f>L10*L12</f>
        <v>239486.41559647612</v>
      </c>
      <c r="P12" s="552"/>
      <c r="Q12" s="552"/>
      <c r="R12" s="552"/>
      <c r="S12" s="552"/>
      <c r="T12" s="553"/>
      <c r="U12" s="564"/>
      <c r="V12" s="565"/>
      <c r="W12" s="565"/>
      <c r="X12" s="565"/>
      <c r="Y12" s="565"/>
      <c r="Z12" s="566"/>
    </row>
    <row r="13" spans="2:26" ht="15" customHeight="1">
      <c r="B13" s="577" t="s">
        <v>65</v>
      </c>
      <c r="C13" s="577"/>
      <c r="D13" s="577"/>
      <c r="E13" s="577"/>
      <c r="F13" s="577"/>
      <c r="G13" s="577"/>
      <c r="H13" s="577"/>
      <c r="I13" s="577"/>
      <c r="J13" s="577"/>
      <c r="K13" s="577"/>
      <c r="L13" s="578">
        <f>L10+O11+O12</f>
        <v>4749813.9093301091</v>
      </c>
      <c r="M13" s="579"/>
      <c r="N13" s="579"/>
      <c r="O13" s="579"/>
      <c r="P13" s="579"/>
      <c r="Q13" s="579"/>
      <c r="R13" s="579"/>
      <c r="S13" s="579"/>
      <c r="T13" s="580"/>
      <c r="U13" s="581"/>
      <c r="V13" s="582"/>
      <c r="W13" s="582"/>
      <c r="X13" s="582"/>
      <c r="Y13" s="582"/>
      <c r="Z13" s="583"/>
    </row>
    <row r="14" spans="2:26" ht="15" customHeight="1">
      <c r="B14" s="468" t="s">
        <v>66</v>
      </c>
      <c r="C14" s="468"/>
      <c r="D14" s="468"/>
      <c r="E14" s="468"/>
      <c r="F14" s="468"/>
      <c r="G14" s="468"/>
      <c r="H14" s="468"/>
      <c r="I14" s="468"/>
      <c r="J14" s="468"/>
      <c r="K14" s="468"/>
      <c r="L14" s="584">
        <v>0.8</v>
      </c>
      <c r="M14" s="585"/>
      <c r="N14" s="585"/>
      <c r="O14" s="546">
        <f>L13*L14</f>
        <v>3799851.1274640877</v>
      </c>
      <c r="P14" s="552"/>
      <c r="Q14" s="552"/>
      <c r="R14" s="552"/>
      <c r="S14" s="552"/>
      <c r="T14" s="553"/>
      <c r="U14" s="561"/>
      <c r="V14" s="562"/>
      <c r="W14" s="562"/>
      <c r="X14" s="562"/>
      <c r="Y14" s="562"/>
      <c r="Z14" s="563"/>
    </row>
    <row r="15" spans="2:26" ht="15" customHeight="1">
      <c r="B15" s="468" t="s">
        <v>18</v>
      </c>
      <c r="C15" s="468"/>
      <c r="D15" s="468"/>
      <c r="E15" s="468"/>
      <c r="F15" s="468"/>
      <c r="G15" s="468"/>
      <c r="H15" s="468"/>
      <c r="I15" s="468"/>
      <c r="J15" s="468"/>
      <c r="K15" s="468"/>
      <c r="L15" s="469">
        <v>0.21</v>
      </c>
      <c r="M15" s="470"/>
      <c r="N15" s="470"/>
      <c r="O15" s="546">
        <f>O14*L15</f>
        <v>797968.73676745838</v>
      </c>
      <c r="P15" s="552"/>
      <c r="Q15" s="552"/>
      <c r="R15" s="552"/>
      <c r="S15" s="552"/>
      <c r="T15" s="553"/>
      <c r="U15" s="574"/>
      <c r="V15" s="575"/>
      <c r="W15" s="575"/>
      <c r="X15" s="575"/>
      <c r="Y15" s="575"/>
      <c r="Z15" s="576"/>
    </row>
    <row r="16" spans="2:26" ht="15" customHeight="1">
      <c r="B16" s="468" t="s">
        <v>67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572">
        <f>100%-L14</f>
        <v>0.19999999999999996</v>
      </c>
      <c r="M16" s="573"/>
      <c r="N16" s="573"/>
      <c r="O16" s="546">
        <f>L13*L16</f>
        <v>949962.78186602157</v>
      </c>
      <c r="P16" s="552"/>
      <c r="Q16" s="552"/>
      <c r="R16" s="552"/>
      <c r="S16" s="552"/>
      <c r="T16" s="553"/>
      <c r="U16" s="574"/>
      <c r="V16" s="575"/>
      <c r="W16" s="575"/>
      <c r="X16" s="575"/>
      <c r="Y16" s="575"/>
      <c r="Z16" s="576"/>
    </row>
    <row r="17" spans="2:26" ht="15" customHeight="1">
      <c r="B17" s="468" t="s">
        <v>20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9">
        <v>0.1</v>
      </c>
      <c r="M17" s="470"/>
      <c r="N17" s="470"/>
      <c r="O17" s="546">
        <f>O16*L17</f>
        <v>94996.278186602169</v>
      </c>
      <c r="P17" s="552"/>
      <c r="Q17" s="552"/>
      <c r="R17" s="552"/>
      <c r="S17" s="552"/>
      <c r="T17" s="553"/>
      <c r="U17" s="564"/>
      <c r="V17" s="565"/>
      <c r="W17" s="565"/>
      <c r="X17" s="565"/>
      <c r="Y17" s="565"/>
      <c r="Z17" s="566"/>
    </row>
    <row r="18" spans="2:26" ht="15" customHeight="1">
      <c r="B18" s="569" t="s">
        <v>68</v>
      </c>
      <c r="C18" s="569"/>
      <c r="D18" s="569"/>
      <c r="E18" s="569"/>
      <c r="F18" s="569"/>
      <c r="G18" s="569"/>
      <c r="H18" s="569"/>
      <c r="I18" s="569"/>
      <c r="J18" s="569"/>
      <c r="K18" s="569"/>
      <c r="L18" s="280"/>
      <c r="M18" s="280"/>
      <c r="N18" s="280"/>
      <c r="O18" s="570">
        <f>L13+O15+O17</f>
        <v>5642778.9242841704</v>
      </c>
      <c r="P18" s="571"/>
      <c r="Q18" s="571"/>
      <c r="R18" s="571"/>
      <c r="S18" s="571"/>
      <c r="T18" s="571"/>
      <c r="U18" s="280"/>
      <c r="V18" s="280"/>
      <c r="W18" s="280"/>
      <c r="X18" s="280"/>
      <c r="Y18" s="280"/>
      <c r="Z18" s="281"/>
    </row>
    <row r="19" spans="2:26" s="49" customFormat="1" ht="15" customHeight="1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2:26" s="49" customFormat="1" ht="15" customHeight="1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2:26" s="49" customFormat="1" ht="15" customHeight="1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2:26" s="49" customFormat="1" ht="1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2:26" s="49" customFormat="1" ht="1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2:26" s="49" customFormat="1" ht="15" customHeight="1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2:26" s="49" customFormat="1" ht="15" customHeight="1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2:26" s="49" customFormat="1" ht="15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2:26" s="49" customFormat="1" ht="1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2:26" s="49" customFormat="1" ht="15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2:26" s="49" customFormat="1" ht="15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2:26" s="49" customFormat="1" ht="15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2:26" s="49" customFormat="1" ht="15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2:26" s="49" customFormat="1" ht="15" customHeight="1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2:26" s="49" customFormat="1" ht="15" customHeight="1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2:26" s="49" customFormat="1" ht="15" customHeight="1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2:26" s="49" customFormat="1" ht="15" customHeight="1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2:26" s="49" customFormat="1" ht="15" customHeight="1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2:26" s="49" customFormat="1" ht="15" customHeight="1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2:26" s="49" customFormat="1" ht="15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2:26" s="49" customFormat="1" ht="1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2:26" s="49" customFormat="1" ht="15" customHeight="1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2:26" s="49" customFormat="1" ht="15" customHeight="1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2:26" s="49" customFormat="1" ht="15" customHeight="1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2:26" s="49" customFormat="1" ht="15" customHeight="1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s="49" customFormat="1" ht="15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2:26" s="49" customFormat="1" ht="15" customHeight="1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2:26" s="49" customFormat="1" ht="15" customHeight="1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2:26" s="49" customFormat="1" ht="15" customHeight="1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2:26" s="49" customFormat="1" ht="15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2:26" s="49" customFormat="1" ht="15" customHeight="1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2:26" s="49" customFormat="1" ht="15" customHeight="1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2:26" s="49" customFormat="1" ht="15" customHeight="1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2:26" s="49" customFormat="1" ht="15" customHeight="1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2:26" s="49" customFormat="1" ht="15" customHeight="1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2:26" s="49" customFormat="1" ht="15" customHeight="1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2:26" s="49" customFormat="1" ht="15" customHeight="1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2:26" s="49" customFormat="1" ht="15" customHeight="1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2:26" s="49" customFormat="1" ht="15" customHeight="1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2:26" s="49" customFormat="1" ht="15" customHeight="1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2:26" s="49" customFormat="1" ht="15" customHeight="1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2:26" s="49" customFormat="1" ht="15" customHeight="1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2:26" s="49" customFormat="1" ht="15" customHeight="1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2:26" s="49" customFormat="1" ht="1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2:26" s="49" customFormat="1" ht="15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2:26" s="49" customFormat="1" ht="15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2:26" s="49" customFormat="1" ht="15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2:26" s="49" customFormat="1" ht="15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2:26" s="49" customFormat="1" ht="15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2:26" s="49" customFormat="1" ht="15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2:26" s="49" customFormat="1" ht="15" customHeight="1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2:26" s="49" customFormat="1" ht="15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2:26" s="49" customFormat="1" ht="15" customHeight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2:26" s="49" customFormat="1" ht="15" customHeight="1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2:26" s="49" customFormat="1" ht="15" customHeight="1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2:26" s="49" customFormat="1" ht="15" customHeight="1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2:26" s="49" customFormat="1" ht="15" customHeight="1"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2:26" s="49" customFormat="1" ht="15" customHeight="1"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2:26" s="49" customFormat="1" ht="15" customHeight="1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2:26" s="49" customFormat="1" ht="15" customHeight="1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2:26" s="49" customFormat="1" ht="15" customHeight="1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2:26" s="49" customFormat="1" ht="15" customHeight="1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2:26" s="49" customFormat="1" ht="15" customHeight="1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2:26" s="49" customFormat="1" ht="15" customHeight="1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s="49" customFormat="1" ht="15" customHeight="1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2:26" s="49" customFormat="1" ht="15" customHeight="1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2:26" s="49" customFormat="1" ht="15" customHeight="1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2:26" s="49" customFormat="1" ht="15" customHeight="1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2:26" s="49" customFormat="1" ht="15" customHeight="1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2:26" s="49" customFormat="1" ht="15" customHeight="1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2:26" s="49" customFormat="1" ht="15" customHeight="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2:26" s="49" customFormat="1" ht="15" customHeight="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2:26" s="49" customFormat="1" ht="15" customHeight="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2:26" s="49" customFormat="1" ht="15" customHeight="1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2:26" s="49" customFormat="1" ht="15" customHeight="1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2:26" s="49" customFormat="1" ht="15" customHeight="1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2:26" s="49" customFormat="1" ht="15" customHeight="1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2:26" s="49" customFormat="1" ht="15" customHeight="1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2:26" s="49" customFormat="1" ht="15" customHeight="1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2:26" s="49" customFormat="1" ht="15" customHeight="1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2:26" s="49" customFormat="1" ht="15" customHeight="1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2:26" s="49" customFormat="1" ht="15" customHeight="1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2:26" s="49" customFormat="1" ht="15" customHeight="1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2:26" s="49" customFormat="1" ht="15" customHeight="1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2:26" s="49" customFormat="1" ht="15" customHeight="1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2:26" s="49" customFormat="1" ht="15" customHeight="1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2:26" s="49" customFormat="1" ht="15" customHeigh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2:26" s="49" customFormat="1" ht="15" customHeight="1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2:26" s="49" customFormat="1" ht="15" customHeigh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2:26" s="49" customFormat="1" ht="15" customHeight="1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2:26" s="49" customFormat="1" ht="15" customHeight="1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2:26" s="49" customFormat="1" ht="15" customHeight="1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2:26" s="49" customFormat="1" ht="15" customHeight="1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2:26" s="49" customFormat="1" ht="15" customHeight="1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2:26" s="49" customFormat="1" ht="15" customHeight="1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2:26" s="49" customFormat="1" ht="15" customHeight="1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2:26" s="49" customFormat="1" ht="15" customHeight="1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2:26" s="49" customFormat="1" ht="15" customHeight="1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2:26" s="49" customFormat="1" ht="1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2:26" s="49" customFormat="1" ht="1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2:26" s="49" customFormat="1" ht="1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2:26" s="49" customFormat="1" ht="1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2:26" s="49" customFormat="1" ht="15" customHeight="1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2:26" s="49" customFormat="1" ht="15" customHeight="1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2:26" s="49" customFormat="1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2:26" s="49" customFormat="1" ht="1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2:26" s="49" customFormat="1" ht="15" customHeigh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2:26" s="49" customFormat="1" ht="15" customHeigh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2:26" s="49" customFormat="1" ht="15" customHeight="1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2:26" s="49" customFormat="1" ht="15" customHeight="1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2:26" s="49" customFormat="1" ht="15" customHeight="1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2:26" s="49" customFormat="1" ht="15" customHeight="1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2:26" s="49" customFormat="1" ht="15" customHeight="1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2:26" s="49" customFormat="1" ht="1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2:26" s="49" customFormat="1" ht="1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2:26" s="49" customFormat="1" ht="15" customHeight="1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2:26" s="49" customFormat="1" ht="15" customHeight="1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2:26" s="49" customFormat="1" ht="15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2:26" s="49" customFormat="1" ht="15" customHeight="1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2:26" s="49" customFormat="1" ht="15" customHeight="1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2:26" s="49" customFormat="1" ht="15" customHeight="1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2:26" s="49" customFormat="1" ht="15" customHeight="1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2:26" s="49" customFormat="1" ht="15" customHeight="1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2:26" s="49" customFormat="1" ht="15" customHeight="1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2:26" s="49" customFormat="1" ht="15" customHeight="1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2:26" s="49" customFormat="1" ht="15" customHeight="1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2:26" s="49" customFormat="1" ht="15" customHeight="1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2:26" s="49" customFormat="1" ht="15" customHeight="1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2:26" s="49" customFormat="1" ht="1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2:26" s="49" customFormat="1" ht="1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2:26" s="49" customFormat="1" ht="1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2:26" s="49" customFormat="1" ht="15" customHeight="1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2:26" s="49" customFormat="1" ht="15" customHeight="1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2:26" s="49" customFormat="1" ht="15" customHeight="1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2:26" s="49" customFormat="1" ht="15" customHeight="1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2:26" s="49" customFormat="1" ht="15" customHeight="1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2:26" s="49" customFormat="1" ht="15" customHeight="1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2:26" s="49" customFormat="1" ht="15" customHeight="1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2:26" s="49" customFormat="1" ht="15" customHeight="1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2:26" s="49" customFormat="1" ht="15" customHeight="1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2:26" s="49" customFormat="1" ht="15" customHeight="1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2:26" s="49" customFormat="1" ht="15" customHeight="1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2:26" s="49" customFormat="1" ht="15" customHeight="1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2:26" s="49" customFormat="1" ht="1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2:26" s="49" customFormat="1" ht="1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2:26" s="49" customFormat="1" ht="1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2:26" s="49" customFormat="1" ht="15" customHeight="1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2:26" s="49" customFormat="1" ht="15" customHeight="1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2:26" s="49" customFormat="1" ht="15" customHeight="1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2:26" s="49" customFormat="1" ht="15" customHeight="1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2:26" s="49" customFormat="1" ht="15" customHeight="1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2:26" s="49" customFormat="1" ht="15" customHeight="1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2:26" s="49" customFormat="1" ht="15" customHeight="1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2:26" s="49" customFormat="1" ht="15" customHeight="1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2:26" s="49" customFormat="1" ht="15" customHeight="1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2:26" s="49" customFormat="1" ht="15" customHeight="1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2:26" s="49" customFormat="1" ht="15" customHeight="1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2:26" s="49" customFormat="1" ht="15" customHeight="1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2:26" s="49" customFormat="1" ht="1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2:26" s="49" customFormat="1" ht="1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2:26" s="49" customFormat="1" ht="15" customHeight="1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2:26" s="49" customFormat="1" ht="15" customHeight="1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2:26" s="49" customFormat="1" ht="15" customHeight="1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2:26" s="49" customFormat="1" ht="15" customHeight="1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2:26" s="49" customFormat="1" ht="15" customHeight="1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2:26" s="49" customFormat="1" ht="15" customHeight="1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2:26" s="49" customFormat="1" ht="15" customHeight="1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2:26" s="49" customFormat="1" ht="15" customHeight="1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2:26" s="49" customFormat="1" ht="15" customHeight="1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2:26" s="49" customFormat="1" ht="15" customHeight="1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2:26" s="49" customFormat="1" ht="15" customHeight="1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2:26" s="49" customFormat="1" ht="15" customHeight="1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2:26" s="49" customFormat="1" ht="15" customHeight="1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2:26" s="49" customFormat="1" ht="15" customHeight="1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2:26" s="49" customFormat="1" ht="15" customHeight="1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2:26" s="49" customFormat="1" ht="15" customHeight="1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2:26" s="49" customFormat="1" ht="15" customHeight="1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2:26" s="49" customFormat="1" ht="15" customHeight="1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2:26" s="49" customFormat="1" ht="15" customHeight="1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2:26" s="49" customFormat="1" ht="15" customHeight="1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2:26" s="49" customFormat="1" ht="15" customHeight="1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2:26" s="49" customFormat="1" ht="15" customHeight="1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2:26" s="49" customFormat="1" ht="15" customHeight="1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2:26" s="49" customFormat="1" ht="15" customHeight="1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2:26" s="49" customFormat="1" ht="15" customHeight="1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2:26" s="49" customFormat="1" ht="15" customHeight="1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2:26" s="49" customFormat="1" ht="15" customHeight="1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2:26" s="49" customFormat="1" ht="15" customHeight="1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2:26" s="49" customFormat="1" ht="15" customHeight="1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2:26" s="49" customFormat="1" ht="15" customHeight="1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2:26" s="49" customFormat="1" ht="15" customHeight="1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2:26" s="49" customFormat="1" ht="15" customHeight="1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2:26" s="49" customFormat="1" ht="15" customHeight="1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2:26" s="49" customFormat="1" ht="15" customHeight="1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2:26" s="49" customFormat="1" ht="15" customHeight="1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2:26" s="49" customFormat="1" ht="15" customHeight="1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2:26" s="49" customFormat="1" ht="15" customHeight="1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2:26" s="49" customFormat="1" ht="15" customHeight="1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2:26" s="49" customFormat="1" ht="15" customHeight="1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2:26" s="49" customFormat="1" ht="15" customHeight="1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2:26" s="49" customFormat="1" ht="15" customHeight="1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2:26" s="49" customFormat="1" ht="15" customHeight="1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2:26" s="49" customFormat="1" ht="15" customHeight="1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2:26" s="49" customFormat="1" ht="15" customHeight="1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2:26" s="49" customFormat="1" ht="15" customHeight="1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2:26" s="49" customFormat="1" ht="15" customHeight="1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2:26" s="49" customFormat="1" ht="15" customHeight="1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2:26" s="49" customFormat="1" ht="15" customHeight="1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2:26" s="49" customFormat="1" ht="15" customHeight="1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2:26" s="49" customFormat="1" ht="15" customHeight="1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2:26" s="49" customFormat="1" ht="15" customHeight="1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2:26" s="49" customFormat="1" ht="15" customHeight="1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2:26" s="49" customFormat="1" ht="15" customHeight="1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2:26" s="49" customFormat="1" ht="15" customHeight="1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2:26" s="49" customFormat="1" ht="15" customHeight="1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2:26" s="49" customFormat="1" ht="15" customHeight="1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2:26" s="49" customFormat="1" ht="15" customHeight="1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2:26" s="49" customFormat="1" ht="15" customHeight="1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2:26" s="49" customFormat="1" ht="15" customHeight="1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2:26" s="49" customFormat="1" ht="15" customHeight="1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2:26" s="49" customFormat="1" ht="15" customHeight="1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2:26" s="49" customFormat="1" ht="15" customHeight="1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2:26" s="49" customFormat="1" ht="15" customHeight="1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2:26" s="49" customFormat="1" ht="15" customHeight="1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2:26" s="49" customFormat="1" ht="15" customHeight="1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2:26" s="49" customFormat="1" ht="15" customHeight="1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2:26" s="49" customFormat="1" ht="15" customHeight="1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2:26" s="49" customFormat="1" ht="15" customHeight="1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2:26" s="49" customFormat="1" ht="15" customHeight="1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2:26" s="49" customFormat="1" ht="15" customHeight="1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2:26" s="49" customFormat="1" ht="15" customHeight="1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2:26" s="49" customFormat="1" ht="15" customHeight="1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2:26" s="49" customFormat="1" ht="15" customHeight="1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2:26" s="49" customFormat="1" ht="15" customHeight="1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2:26" s="49" customFormat="1" ht="15" customHeight="1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2:26" s="49" customFormat="1" ht="15" customHeight="1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2:26" s="49" customFormat="1" ht="15" customHeight="1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2:26" s="49" customFormat="1" ht="15" customHeight="1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2:26" s="49" customFormat="1" ht="15" customHeight="1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2:26" s="49" customFormat="1" ht="15" customHeight="1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2:26" s="49" customFormat="1" ht="15" customHeight="1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2:26" s="49" customFormat="1" ht="15" customHeight="1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2:26" s="49" customFormat="1" ht="15" customHeight="1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2:26" s="49" customFormat="1" ht="15" customHeight="1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2:26" s="49" customFormat="1" ht="15" customHeight="1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2:26" s="49" customFormat="1" ht="15" customHeight="1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2:26" s="49" customFormat="1" ht="15" customHeight="1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2:26" s="49" customFormat="1" ht="15" customHeight="1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2:26" s="49" customFormat="1" ht="15" customHeight="1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2:26" s="49" customFormat="1" ht="15" customHeight="1"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2:26" s="49" customFormat="1" ht="15" customHeight="1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2:26" s="49" customFormat="1" ht="15" customHeight="1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2:26" s="49" customFormat="1" ht="15" customHeight="1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2:26" s="49" customFormat="1" ht="15" customHeight="1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2:26" s="49" customFormat="1" ht="15" customHeight="1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2:26" s="49" customFormat="1" ht="15" customHeight="1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2:26" s="49" customFormat="1" ht="15" customHeight="1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2:26" s="49" customFormat="1" ht="15" customHeight="1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2:26" s="49" customFormat="1" ht="15" customHeight="1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2:26" s="49" customFormat="1" ht="15" customHeight="1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2:26" s="49" customFormat="1" ht="15" customHeight="1"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2:26" s="49" customFormat="1" ht="15" customHeight="1"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2:26" s="49" customFormat="1" ht="15" customHeight="1"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2:26" s="49" customFormat="1" ht="15" customHeight="1"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2:26" s="49" customFormat="1" ht="15" customHeight="1"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2:26" s="49" customFormat="1" ht="15" customHeight="1"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2:26" s="49" customFormat="1" ht="15" customHeight="1"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2:26" s="49" customFormat="1" ht="15" customHeight="1"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2:26" s="49" customFormat="1" ht="15" customHeight="1"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2:26" s="49" customFormat="1" ht="15" customHeight="1"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2:26" s="49" customFormat="1" ht="15" customHeight="1"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2:26" s="49" customFormat="1" ht="15" customHeight="1"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2:26" s="49" customFormat="1" ht="15" customHeight="1"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2:26" s="49" customFormat="1" ht="15" customHeight="1"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2:26" s="49" customFormat="1" ht="15" customHeight="1"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2:26" s="49" customFormat="1" ht="15" customHeight="1"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2:26" s="49" customFormat="1" ht="15" customHeight="1"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2:26" s="49" customFormat="1" ht="15" customHeight="1"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2:26" s="49" customFormat="1" ht="15" customHeight="1"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2:26" s="49" customFormat="1" ht="15" customHeight="1"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2:26" s="49" customFormat="1" ht="15" customHeight="1"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2:26" s="49" customFormat="1" ht="15" customHeight="1"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2:26" s="49" customFormat="1" ht="15" customHeight="1"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2:26" s="49" customFormat="1" ht="15" customHeight="1"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2:26" s="49" customFormat="1" ht="15" customHeight="1"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2:26" s="49" customFormat="1" ht="15" customHeight="1"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2:26" s="49" customFormat="1" ht="15" customHeight="1"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2:26" s="49" customFormat="1" ht="15" customHeight="1"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2:26" s="49" customFormat="1" ht="15" customHeight="1"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2:26" s="49" customFormat="1" ht="15" customHeight="1"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2:26" s="49" customFormat="1" ht="15" customHeight="1"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2:26" s="49" customFormat="1" ht="15" customHeight="1"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2:26" s="49" customFormat="1" ht="15" customHeight="1"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2:26" s="49" customFormat="1" ht="15" customHeight="1"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2:26" s="49" customFormat="1" ht="15" customHeight="1"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2:26" s="49" customFormat="1" ht="15" customHeight="1"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2:26" s="49" customFormat="1" ht="15" customHeight="1"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2:26" s="49" customFormat="1" ht="15" customHeight="1"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2:26" s="49" customFormat="1" ht="15" customHeight="1"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2:26" s="49" customFormat="1" ht="15" customHeight="1"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2:26" s="49" customFormat="1" ht="15" customHeight="1"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2:26" s="49" customFormat="1" ht="15" customHeight="1"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2:26" s="49" customFormat="1" ht="15" customHeight="1"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2:26" s="49" customFormat="1" ht="15" customHeight="1"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2:26" s="49" customFormat="1" ht="15" customHeight="1"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2:26" s="49" customFormat="1" ht="15" customHeight="1"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2:26" s="49" customFormat="1" ht="15" customHeight="1"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2:26" s="49" customFormat="1" ht="15" customHeight="1"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2:26" s="49" customFormat="1" ht="15" customHeight="1"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2:26" s="49" customFormat="1" ht="15" customHeight="1"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2:26" s="49" customFormat="1" ht="15" customHeight="1"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2:26" s="49" customFormat="1" ht="15" customHeight="1"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2:26" s="49" customFormat="1" ht="15" customHeight="1"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2:26" s="49" customFormat="1" ht="15" customHeight="1"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2:26" s="49" customFormat="1" ht="15" customHeight="1"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2:26" s="49" customFormat="1" ht="15" customHeight="1"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2:26" s="49" customFormat="1" ht="15" customHeight="1"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2:26" s="49" customFormat="1" ht="15" customHeight="1"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2:26" s="49" customFormat="1" ht="15" customHeight="1"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2:26" s="49" customFormat="1" ht="15" customHeight="1"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2:26" s="49" customFormat="1" ht="15" customHeight="1"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2:26" s="49" customFormat="1" ht="15" customHeight="1"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2:26" s="49" customFormat="1" ht="15" customHeight="1"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2:26" s="49" customFormat="1" ht="15" customHeight="1"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2:26" s="49" customFormat="1" ht="15" customHeight="1"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2:26" s="49" customFormat="1" ht="15" customHeight="1"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2:26" s="49" customFormat="1" ht="15" customHeight="1"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2:26" s="49" customFormat="1" ht="15" customHeight="1"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2:26" s="49" customFormat="1" ht="15" customHeight="1"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2:26" s="49" customFormat="1" ht="15" customHeight="1"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2:26" s="49" customFormat="1" ht="15" customHeight="1"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2:26" s="49" customFormat="1" ht="15" customHeight="1"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2:26" s="49" customFormat="1" ht="15" customHeight="1"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2:26" s="49" customFormat="1" ht="15" customHeight="1"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2:26" s="49" customFormat="1" ht="15" customHeight="1"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2:26" s="49" customFormat="1" ht="15" customHeight="1"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2:26" s="49" customFormat="1" ht="15" customHeight="1"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2:26" s="49" customFormat="1" ht="15" customHeight="1"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2:26" s="49" customFormat="1" ht="15" customHeight="1"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2:26" s="49" customFormat="1" ht="15" customHeight="1"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2:26" s="49" customFormat="1" ht="15" customHeight="1"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2:26" s="49" customFormat="1" ht="15" customHeight="1"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2:26" s="49" customFormat="1" ht="15" customHeight="1"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2:26" s="49" customFormat="1" ht="15" customHeight="1"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2:26" s="49" customFormat="1" ht="15" customHeight="1"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2:26" s="49" customFormat="1" ht="15" customHeight="1"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2:26" s="49" customFormat="1" ht="15" customHeight="1"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2:26" s="49" customFormat="1" ht="15" customHeight="1"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2:26" s="49" customFormat="1" ht="15" customHeight="1"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2:26" s="49" customFormat="1" ht="15" customHeight="1"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2:26" s="49" customFormat="1" ht="15" customHeight="1"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2:26" s="49" customFormat="1" ht="15" customHeight="1"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2:26" s="49" customFormat="1" ht="15" customHeight="1"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2:26" s="49" customFormat="1" ht="15" customHeight="1"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2:26" s="49" customFormat="1" ht="15" customHeight="1"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2:26" s="49" customFormat="1" ht="15" customHeight="1"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2:26" s="49" customFormat="1" ht="15" customHeight="1"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2:26" s="49" customFormat="1" ht="15" customHeight="1"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2:26" s="49" customFormat="1" ht="15" customHeight="1"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2:26" s="49" customFormat="1" ht="15" customHeight="1"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2:26" s="49" customFormat="1" ht="15" customHeight="1"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2:26" s="49" customFormat="1" ht="15" customHeight="1"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2:26" s="49" customFormat="1" ht="15" customHeight="1"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2:26" s="49" customFormat="1" ht="15" customHeight="1"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2:26" s="49" customFormat="1" ht="15" customHeight="1"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2:26" s="49" customFormat="1" ht="15" customHeight="1"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2:26" s="49" customFormat="1" ht="15" customHeight="1"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2:26" s="49" customFormat="1" ht="15" customHeight="1"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2:26" s="49" customFormat="1" ht="15" customHeight="1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2:26" s="49" customFormat="1" ht="15" customHeight="1"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2:26" s="49" customFormat="1" ht="15" customHeight="1"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2:26" s="49" customFormat="1" ht="15" customHeight="1"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2:26" s="49" customFormat="1" ht="15" customHeight="1"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2:26" s="49" customFormat="1" ht="15" customHeight="1"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2:26" s="49" customFormat="1" ht="15" customHeight="1"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2:26" s="49" customFormat="1" ht="15" customHeight="1"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2:26" s="49" customFormat="1" ht="15" customHeight="1"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2:26" s="49" customFormat="1" ht="15" customHeight="1"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2:26" s="49" customFormat="1" ht="15" customHeight="1"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2:26" s="49" customFormat="1" ht="15" customHeight="1"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2:26" s="49" customFormat="1" ht="15" customHeight="1"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2:26" s="49" customFormat="1" ht="15" customHeight="1"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2:26" s="49" customFormat="1" ht="15" customHeight="1"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2:26" s="49" customFormat="1" ht="15" customHeight="1"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2:26" s="49" customFormat="1" ht="15" customHeight="1"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2:26" s="49" customFormat="1" ht="15" customHeight="1"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2:26" s="49" customFormat="1" ht="15" customHeight="1"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2:26" s="49" customFormat="1" ht="15" customHeight="1"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2:26" s="49" customFormat="1" ht="15" customHeight="1"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2:26" s="49" customFormat="1" ht="15" customHeight="1"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2:26" s="49" customFormat="1" ht="15" customHeight="1"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2:26" s="49" customFormat="1" ht="15" customHeight="1"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2:26" s="49" customFormat="1" ht="15" customHeight="1"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2:26" s="49" customFormat="1" ht="15" customHeight="1"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2:26" s="49" customFormat="1" ht="15" customHeight="1"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2:26" s="49" customFormat="1" ht="15" customHeight="1"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2:26" s="49" customFormat="1" ht="15" customHeight="1"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2:26" s="49" customFormat="1" ht="15" customHeight="1"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2:26" s="49" customFormat="1" ht="15" customHeight="1"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2:26" s="49" customFormat="1" ht="15" customHeight="1"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2:26" s="49" customFormat="1" ht="15" customHeight="1"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2:26" s="49" customFormat="1" ht="15" customHeight="1"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2:26" s="49" customFormat="1" ht="15" customHeight="1"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2:26" s="49" customFormat="1" ht="15" customHeight="1"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2:26" s="49" customFormat="1" ht="15" customHeight="1"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2:26" s="49" customFormat="1" ht="15" customHeight="1"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2:26" s="49" customFormat="1" ht="15" customHeight="1"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2:26" s="49" customFormat="1" ht="15" customHeight="1"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2:26" s="49" customFormat="1" ht="15" customHeight="1"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2:26" s="49" customFormat="1" ht="15" customHeight="1"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2:26" s="49" customFormat="1" ht="15" customHeight="1"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2:26" s="49" customFormat="1" ht="15" customHeight="1"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2:26" s="49" customFormat="1" ht="15" customHeight="1"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2:26" s="49" customFormat="1" ht="15" customHeight="1"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2:26" s="49" customFormat="1" ht="15" customHeight="1"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2:26" s="49" customFormat="1" ht="15" customHeight="1"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2:26" s="49" customFormat="1" ht="15" customHeight="1"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2:26" s="49" customFormat="1" ht="15" customHeight="1"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2:26" s="49" customFormat="1" ht="15" customHeight="1"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2:26" s="49" customFormat="1" ht="15" customHeight="1"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2:26" s="49" customFormat="1" ht="15" customHeight="1"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2:26" s="49" customFormat="1" ht="15" customHeight="1"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2:26" s="49" customFormat="1" ht="15" customHeight="1"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2:26" s="49" customFormat="1" ht="15" customHeight="1"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2:26" s="49" customFormat="1" ht="15" customHeight="1"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2:26" s="49" customFormat="1" ht="15" customHeight="1"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2:26" s="49" customFormat="1" ht="15" customHeight="1"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2:26" s="49" customFormat="1" ht="15" customHeight="1"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2:26" s="49" customFormat="1" ht="15" customHeight="1"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2:26" s="49" customFormat="1" ht="15" customHeight="1"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2:26" s="49" customFormat="1" ht="15" customHeight="1"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2:26" s="49" customFormat="1" ht="15" customHeight="1"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2:26" s="49" customFormat="1" ht="15" customHeight="1"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2:26" s="49" customFormat="1" ht="15" customHeight="1"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2:26" s="49" customFormat="1" ht="15" customHeight="1"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2:26" s="49" customFormat="1" ht="15" customHeight="1"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2:26" s="49" customFormat="1" ht="15" customHeight="1"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2:26" s="49" customFormat="1" ht="15" customHeight="1"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2:26" s="49" customFormat="1" ht="15" customHeight="1"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2:26" s="49" customFormat="1" ht="15" customHeight="1"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2:26" s="49" customFormat="1" ht="15" customHeight="1"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2:26" s="49" customFormat="1" ht="15" customHeight="1"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2:26" s="49" customFormat="1" ht="15" customHeight="1"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2:26" s="49" customFormat="1" ht="15" customHeight="1"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2:26" s="49" customFormat="1" ht="15" customHeight="1"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2:26" s="49" customFormat="1" ht="15" customHeight="1"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2:26" s="49" customFormat="1" ht="15" customHeight="1"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2:26" s="49" customFormat="1" ht="15" customHeight="1"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2:26" s="49" customFormat="1" ht="15" customHeight="1"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2:26" s="49" customFormat="1" ht="15" customHeight="1"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2:26" s="49" customFormat="1" ht="15" customHeight="1"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2:26" s="49" customFormat="1" ht="15" customHeight="1"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2:26" s="49" customFormat="1" ht="15" customHeight="1"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2:26" s="49" customFormat="1" ht="15" customHeight="1"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2:26" s="49" customFormat="1" ht="15" customHeight="1"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2:26" s="49" customFormat="1" ht="15" customHeight="1"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2:26" s="49" customFormat="1" ht="15" customHeight="1"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2:26" s="49" customFormat="1" ht="15" customHeight="1"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2:26" s="49" customFormat="1" ht="15" customHeight="1"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2:26" s="49" customFormat="1" ht="15" customHeight="1"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2:26" s="49" customFormat="1" ht="15" customHeight="1"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2:26" s="49" customFormat="1" ht="15" customHeight="1"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2:26" s="49" customFormat="1" ht="15" customHeight="1"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2:26" s="49" customFormat="1" ht="15" customHeight="1"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2:26" s="49" customFormat="1" ht="15" customHeight="1"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2:26" s="49" customFormat="1" ht="15" customHeight="1"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2:26" s="49" customFormat="1" ht="15" customHeight="1"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2:26" s="49" customFormat="1" ht="15" customHeight="1"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2:26" s="49" customFormat="1" ht="15" customHeight="1"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2:26" s="49" customFormat="1" ht="15" customHeight="1"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2:26" s="49" customFormat="1" ht="15" customHeight="1"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2:26" s="49" customFormat="1" ht="15" customHeight="1"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2:26" s="49" customFormat="1" ht="15" customHeight="1"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2:26" s="49" customFormat="1" ht="15" customHeight="1"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2:26" s="49" customFormat="1" ht="15" customHeight="1"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2:26" s="49" customFormat="1" ht="15" customHeight="1"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2:26" s="49" customFormat="1" ht="15" customHeight="1"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2:26" s="49" customFormat="1" ht="15" customHeight="1"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2:26" s="49" customFormat="1" ht="15" customHeight="1"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2:26" s="49" customFormat="1" ht="15" customHeight="1"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2:26" s="49" customFormat="1" ht="15" customHeight="1"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2:26" s="49" customFormat="1" ht="15" customHeight="1"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2:26" s="49" customFormat="1" ht="15" customHeight="1"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2:26" s="49" customFormat="1" ht="15" customHeight="1"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2:26" s="49" customFormat="1" ht="15" customHeight="1"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2:26" s="49" customFormat="1" ht="15" customHeight="1"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2:26" s="49" customFormat="1" ht="15" customHeight="1"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2:26" s="49" customFormat="1" ht="15" customHeight="1"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2:26" s="49" customFormat="1" ht="15" customHeight="1"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2:26" s="49" customFormat="1" ht="15" customHeight="1"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2:26" s="49" customFormat="1" ht="15" customHeight="1"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2:26" s="49" customFormat="1" ht="15" customHeight="1"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2:26" s="49" customFormat="1" ht="15" customHeight="1"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2:26" s="49" customFormat="1" ht="15" customHeight="1"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2:26" s="49" customFormat="1" ht="15" customHeight="1"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2:26" s="49" customFormat="1" ht="15" customHeight="1"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2:26" s="49" customFormat="1" ht="15" customHeight="1"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2:26" s="49" customFormat="1" ht="15" customHeight="1"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2:26" s="49" customFormat="1" ht="15" customHeight="1"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2:26" s="49" customFormat="1" ht="15" customHeight="1"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2:26" s="49" customFormat="1" ht="15" customHeight="1"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2:26" s="49" customFormat="1" ht="15" customHeight="1"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2:26" s="49" customFormat="1" ht="15" customHeight="1"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2:26" s="49" customFormat="1" ht="15" customHeight="1"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2:26" s="49" customFormat="1" ht="15" customHeight="1"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2:26" s="49" customFormat="1" ht="15" customHeight="1"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2:26" s="49" customFormat="1" ht="15" customHeight="1"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2:26" s="49" customFormat="1" ht="15" customHeight="1"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2:26" s="49" customFormat="1" ht="15" customHeight="1"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2:26" s="49" customFormat="1" ht="15" customHeight="1"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2:26" s="49" customFormat="1" ht="15" customHeight="1"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2:26" s="49" customFormat="1" ht="15" customHeight="1"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2:26" s="49" customFormat="1" ht="15" customHeight="1"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2:26" s="49" customFormat="1" ht="15" customHeight="1"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2:26" s="49" customFormat="1" ht="15" customHeight="1"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2:26" s="49" customFormat="1" ht="15" customHeight="1"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2:26" s="49" customFormat="1" ht="15" customHeight="1"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2:26" s="49" customFormat="1" ht="15" customHeight="1"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2:26" s="49" customFormat="1" ht="15" customHeight="1"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2:26" s="49" customFormat="1" ht="15" customHeight="1"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2:26" s="49" customFormat="1" ht="15" customHeight="1"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</sheetData>
  <mergeCells count="49">
    <mergeCell ref="U14:Z17"/>
    <mergeCell ref="B17:K17"/>
    <mergeCell ref="L17:N17"/>
    <mergeCell ref="O17:T17"/>
    <mergeCell ref="B13:K13"/>
    <mergeCell ref="L13:T13"/>
    <mergeCell ref="U13:Z13"/>
    <mergeCell ref="B14:K14"/>
    <mergeCell ref="L14:N14"/>
    <mergeCell ref="O14:T14"/>
    <mergeCell ref="B18:K18"/>
    <mergeCell ref="O18:T18"/>
    <mergeCell ref="B15:K15"/>
    <mergeCell ref="L15:N15"/>
    <mergeCell ref="O15:T15"/>
    <mergeCell ref="B16:K16"/>
    <mergeCell ref="L16:N16"/>
    <mergeCell ref="O16:T16"/>
    <mergeCell ref="O12:T12"/>
    <mergeCell ref="B9:K9"/>
    <mergeCell ref="L9:T9"/>
    <mergeCell ref="U9:Z9"/>
    <mergeCell ref="B10:K10"/>
    <mergeCell ref="L10:T10"/>
    <mergeCell ref="U10:Z10"/>
    <mergeCell ref="U11:Z12"/>
    <mergeCell ref="B11:K11"/>
    <mergeCell ref="L11:N11"/>
    <mergeCell ref="O11:T11"/>
    <mergeCell ref="B12:K12"/>
    <mergeCell ref="L12:N12"/>
    <mergeCell ref="B7:K7"/>
    <mergeCell ref="L7:T7"/>
    <mergeCell ref="U7:Z7"/>
    <mergeCell ref="B8:K8"/>
    <mergeCell ref="L8:T8"/>
    <mergeCell ref="U8:Z8"/>
    <mergeCell ref="B5:K5"/>
    <mergeCell ref="L5:T5"/>
    <mergeCell ref="U5:Z5"/>
    <mergeCell ref="B6:K6"/>
    <mergeCell ref="L6:T6"/>
    <mergeCell ref="U6:Z6"/>
    <mergeCell ref="B1:Z1"/>
    <mergeCell ref="L3:T3"/>
    <mergeCell ref="U3:Z3"/>
    <mergeCell ref="B4:K4"/>
    <mergeCell ref="L4:T4"/>
    <mergeCell ref="U4:Z4"/>
  </mergeCells>
  <printOptions horizontalCentered="1"/>
  <pageMargins left="0.511811023622047" right="0.511811023622047" top="0.55118110236220497" bottom="0.55118110236220497" header="0.31496062992126" footer="0.31496062992126"/>
  <pageSetup paperSize="9" scale="7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Z562"/>
  <sheetViews>
    <sheetView showGridLines="0" workbookViewId="0">
      <selection activeCell="AF15" sqref="AF15"/>
    </sheetView>
  </sheetViews>
  <sheetFormatPr baseColWidth="10" defaultColWidth="11.44140625" defaultRowHeight="14.4"/>
  <cols>
    <col min="1" max="1" width="5.33203125" style="49" customWidth="1"/>
    <col min="2" max="2" width="4.6640625" style="157" customWidth="1"/>
    <col min="3" max="10" width="3.33203125" style="51" customWidth="1"/>
    <col min="11" max="11" width="26" style="51" customWidth="1"/>
    <col min="12" max="29" width="3.33203125" style="51" customWidth="1"/>
    <col min="30" max="16384" width="11.44140625" style="51"/>
  </cols>
  <sheetData>
    <row r="1" spans="2:26" ht="15" customHeight="1">
      <c r="B1" s="454" t="s">
        <v>69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</row>
    <row r="2" spans="2:26" ht="3.75" customHeight="1">
      <c r="B2" s="255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2:26" ht="30" customHeight="1">
      <c r="B3" s="545" t="s">
        <v>70</v>
      </c>
      <c r="C3" s="545"/>
      <c r="D3" s="545"/>
      <c r="E3" s="545"/>
      <c r="F3" s="545"/>
      <c r="G3" s="545"/>
      <c r="H3" s="545"/>
      <c r="I3" s="545"/>
      <c r="J3" s="545"/>
      <c r="K3" s="545"/>
      <c r="L3" s="586" t="s">
        <v>71</v>
      </c>
      <c r="M3" s="587"/>
      <c r="N3" s="587"/>
      <c r="O3" s="588"/>
      <c r="P3" s="586" t="s">
        <v>72</v>
      </c>
      <c r="Q3" s="587"/>
      <c r="R3" s="587"/>
      <c r="S3" s="587"/>
      <c r="T3" s="588"/>
      <c r="U3" s="586" t="s">
        <v>73</v>
      </c>
      <c r="V3" s="587"/>
      <c r="W3" s="587"/>
      <c r="X3" s="587"/>
      <c r="Y3" s="587"/>
      <c r="Z3" s="588"/>
    </row>
    <row r="4" spans="2:26" ht="15" customHeight="1">
      <c r="B4" s="589" t="s">
        <v>74</v>
      </c>
      <c r="C4" s="589"/>
      <c r="D4" s="589"/>
      <c r="E4" s="589"/>
      <c r="F4" s="589"/>
      <c r="G4" s="589"/>
      <c r="H4" s="589"/>
      <c r="I4" s="589"/>
      <c r="J4" s="589"/>
      <c r="K4" s="590"/>
      <c r="L4" s="591"/>
      <c r="M4" s="592"/>
      <c r="N4" s="592"/>
      <c r="O4" s="593"/>
      <c r="P4" s="594" t="s">
        <v>75</v>
      </c>
      <c r="Q4" s="595"/>
      <c r="R4" s="595"/>
      <c r="S4" s="595"/>
      <c r="T4" s="596"/>
      <c r="U4" s="597">
        <f>SUM(U5:Z7)</f>
        <v>0</v>
      </c>
      <c r="V4" s="598"/>
      <c r="W4" s="598"/>
      <c r="X4" s="598"/>
      <c r="Y4" s="598"/>
      <c r="Z4" s="599"/>
    </row>
    <row r="5" spans="2:26" ht="15" customHeight="1">
      <c r="B5" s="257"/>
      <c r="C5" s="600" t="s">
        <v>76</v>
      </c>
      <c r="D5" s="601"/>
      <c r="E5" s="601"/>
      <c r="F5" s="601"/>
      <c r="G5" s="601"/>
      <c r="H5" s="601"/>
      <c r="I5" s="601"/>
      <c r="J5" s="601"/>
      <c r="K5" s="602"/>
      <c r="L5" s="603">
        <v>0</v>
      </c>
      <c r="M5" s="604"/>
      <c r="N5" s="604"/>
      <c r="O5" s="605"/>
      <c r="P5" s="606">
        <v>6.3</v>
      </c>
      <c r="Q5" s="607"/>
      <c r="R5" s="607"/>
      <c r="S5" s="607"/>
      <c r="T5" s="608"/>
      <c r="U5" s="609">
        <f>P5*L5</f>
        <v>0</v>
      </c>
      <c r="V5" s="610"/>
      <c r="W5" s="610"/>
      <c r="X5" s="610"/>
      <c r="Y5" s="610"/>
      <c r="Z5" s="611"/>
    </row>
    <row r="6" spans="2:26" ht="15" customHeight="1">
      <c r="B6" s="257"/>
      <c r="C6" s="600" t="s">
        <v>77</v>
      </c>
      <c r="D6" s="601"/>
      <c r="E6" s="601"/>
      <c r="F6" s="601"/>
      <c r="G6" s="601"/>
      <c r="H6" s="601"/>
      <c r="I6" s="601"/>
      <c r="J6" s="601"/>
      <c r="K6" s="602"/>
      <c r="L6" s="603">
        <v>0</v>
      </c>
      <c r="M6" s="604"/>
      <c r="N6" s="604"/>
      <c r="O6" s="605"/>
      <c r="P6" s="606">
        <v>6.3</v>
      </c>
      <c r="Q6" s="607"/>
      <c r="R6" s="607"/>
      <c r="S6" s="607"/>
      <c r="T6" s="608"/>
      <c r="U6" s="609">
        <f>P6*L6</f>
        <v>0</v>
      </c>
      <c r="V6" s="610"/>
      <c r="W6" s="610"/>
      <c r="X6" s="610"/>
      <c r="Y6" s="610"/>
      <c r="Z6" s="611"/>
    </row>
    <row r="7" spans="2:26" ht="15" hidden="1" customHeight="1">
      <c r="B7" s="257"/>
      <c r="C7" s="612"/>
      <c r="D7" s="613"/>
      <c r="E7" s="613"/>
      <c r="F7" s="613"/>
      <c r="G7" s="613"/>
      <c r="H7" s="613"/>
      <c r="I7" s="613"/>
      <c r="J7" s="613"/>
      <c r="K7" s="614"/>
      <c r="L7" s="615"/>
      <c r="M7" s="616"/>
      <c r="N7" s="616"/>
      <c r="O7" s="617"/>
      <c r="P7" s="609"/>
      <c r="Q7" s="610"/>
      <c r="R7" s="610"/>
      <c r="S7" s="610"/>
      <c r="T7" s="611"/>
      <c r="U7" s="609"/>
      <c r="V7" s="610"/>
      <c r="W7" s="610"/>
      <c r="X7" s="610"/>
      <c r="Y7" s="610"/>
      <c r="Z7" s="611"/>
    </row>
    <row r="8" spans="2:26" ht="15" customHeight="1">
      <c r="B8" s="589" t="s">
        <v>78</v>
      </c>
      <c r="C8" s="589"/>
      <c r="D8" s="589"/>
      <c r="E8" s="589"/>
      <c r="F8" s="589"/>
      <c r="G8" s="589"/>
      <c r="H8" s="589"/>
      <c r="I8" s="589"/>
      <c r="J8" s="589"/>
      <c r="K8" s="590"/>
      <c r="L8" s="618"/>
      <c r="M8" s="619"/>
      <c r="N8" s="619"/>
      <c r="O8" s="620"/>
      <c r="P8" s="594"/>
      <c r="Q8" s="595"/>
      <c r="R8" s="595"/>
      <c r="S8" s="595"/>
      <c r="T8" s="596"/>
      <c r="U8" s="597">
        <f>SUM(U9:Z11)</f>
        <v>13700</v>
      </c>
      <c r="V8" s="598"/>
      <c r="W8" s="598"/>
      <c r="X8" s="598"/>
      <c r="Y8" s="598"/>
      <c r="Z8" s="599"/>
    </row>
    <row r="9" spans="2:26" ht="15" customHeight="1">
      <c r="B9" s="257"/>
      <c r="C9" s="600" t="s">
        <v>79</v>
      </c>
      <c r="D9" s="601"/>
      <c r="E9" s="601"/>
      <c r="F9" s="601"/>
      <c r="G9" s="601"/>
      <c r="H9" s="601"/>
      <c r="I9" s="601"/>
      <c r="J9" s="601"/>
      <c r="K9" s="602"/>
      <c r="L9" s="603">
        <v>100</v>
      </c>
      <c r="M9" s="604"/>
      <c r="N9" s="604"/>
      <c r="O9" s="605"/>
      <c r="P9" s="606">
        <v>85</v>
      </c>
      <c r="Q9" s="607"/>
      <c r="R9" s="607"/>
      <c r="S9" s="607"/>
      <c r="T9" s="608"/>
      <c r="U9" s="609">
        <f t="shared" ref="U9:U11" si="0">P9*L9</f>
        <v>8500</v>
      </c>
      <c r="V9" s="610"/>
      <c r="W9" s="610"/>
      <c r="X9" s="610"/>
      <c r="Y9" s="610"/>
      <c r="Z9" s="611"/>
    </row>
    <row r="10" spans="2:26" ht="15" customHeight="1">
      <c r="B10" s="257"/>
      <c r="C10" s="600" t="s">
        <v>80</v>
      </c>
      <c r="D10" s="601"/>
      <c r="E10" s="601"/>
      <c r="F10" s="601"/>
      <c r="G10" s="601"/>
      <c r="H10" s="601"/>
      <c r="I10" s="601"/>
      <c r="J10" s="601"/>
      <c r="K10" s="602"/>
      <c r="L10" s="603">
        <v>80</v>
      </c>
      <c r="M10" s="604"/>
      <c r="N10" s="604"/>
      <c r="O10" s="605"/>
      <c r="P10" s="606">
        <v>35</v>
      </c>
      <c r="Q10" s="607"/>
      <c r="R10" s="607"/>
      <c r="S10" s="607"/>
      <c r="T10" s="608"/>
      <c r="U10" s="609">
        <f t="shared" si="0"/>
        <v>2800</v>
      </c>
      <c r="V10" s="610"/>
      <c r="W10" s="610"/>
      <c r="X10" s="610"/>
      <c r="Y10" s="610"/>
      <c r="Z10" s="611"/>
    </row>
    <row r="11" spans="2:26" ht="15" customHeight="1">
      <c r="B11" s="257"/>
      <c r="C11" s="600" t="s">
        <v>81</v>
      </c>
      <c r="D11" s="601"/>
      <c r="E11" s="601"/>
      <c r="F11" s="601"/>
      <c r="G11" s="601"/>
      <c r="H11" s="601"/>
      <c r="I11" s="601"/>
      <c r="J11" s="601"/>
      <c r="K11" s="602"/>
      <c r="L11" s="603">
        <v>200</v>
      </c>
      <c r="M11" s="604"/>
      <c r="N11" s="604"/>
      <c r="O11" s="605"/>
      <c r="P11" s="606">
        <v>12</v>
      </c>
      <c r="Q11" s="607"/>
      <c r="R11" s="607"/>
      <c r="S11" s="607"/>
      <c r="T11" s="608"/>
      <c r="U11" s="609">
        <f t="shared" si="0"/>
        <v>2400</v>
      </c>
      <c r="V11" s="610"/>
      <c r="W11" s="610"/>
      <c r="X11" s="610"/>
      <c r="Y11" s="610"/>
      <c r="Z11" s="611"/>
    </row>
    <row r="12" spans="2:26" ht="15" customHeight="1">
      <c r="B12" s="589" t="s">
        <v>82</v>
      </c>
      <c r="C12" s="589"/>
      <c r="D12" s="589"/>
      <c r="E12" s="589"/>
      <c r="F12" s="589"/>
      <c r="G12" s="589"/>
      <c r="H12" s="589"/>
      <c r="I12" s="589"/>
      <c r="J12" s="589"/>
      <c r="K12" s="590"/>
      <c r="L12" s="618"/>
      <c r="M12" s="619"/>
      <c r="N12" s="619"/>
      <c r="O12" s="620"/>
      <c r="P12" s="594"/>
      <c r="Q12" s="595"/>
      <c r="R12" s="595"/>
      <c r="S12" s="595"/>
      <c r="T12" s="596"/>
      <c r="U12" s="597">
        <f>SUM(U13:Z16)</f>
        <v>37952.800000000003</v>
      </c>
      <c r="V12" s="598"/>
      <c r="W12" s="598"/>
      <c r="X12" s="598"/>
      <c r="Y12" s="598"/>
      <c r="Z12" s="599"/>
    </row>
    <row r="13" spans="2:26" ht="15" customHeight="1">
      <c r="B13" s="257"/>
      <c r="C13" s="600" t="s">
        <v>83</v>
      </c>
      <c r="D13" s="601"/>
      <c r="E13" s="601"/>
      <c r="F13" s="601"/>
      <c r="G13" s="601"/>
      <c r="H13" s="601"/>
      <c r="I13" s="601"/>
      <c r="J13" s="601"/>
      <c r="K13" s="602"/>
      <c r="L13" s="603">
        <v>555280</v>
      </c>
      <c r="M13" s="604"/>
      <c r="N13" s="604"/>
      <c r="O13" s="605"/>
      <c r="P13" s="606">
        <v>0.01</v>
      </c>
      <c r="Q13" s="607"/>
      <c r="R13" s="607"/>
      <c r="S13" s="607"/>
      <c r="T13" s="608"/>
      <c r="U13" s="609">
        <f t="shared" ref="U13:U16" si="1">P13*L13</f>
        <v>5552.8</v>
      </c>
      <c r="V13" s="610"/>
      <c r="W13" s="610"/>
      <c r="X13" s="610"/>
      <c r="Y13" s="610"/>
      <c r="Z13" s="611"/>
    </row>
    <row r="14" spans="2:26" ht="15" customHeight="1">
      <c r="B14" s="257"/>
      <c r="C14" s="600" t="s">
        <v>84</v>
      </c>
      <c r="D14" s="601"/>
      <c r="E14" s="601"/>
      <c r="F14" s="601"/>
      <c r="G14" s="601"/>
      <c r="H14" s="601"/>
      <c r="I14" s="601"/>
      <c r="J14" s="601"/>
      <c r="K14" s="602"/>
      <c r="L14" s="603">
        <v>950000</v>
      </c>
      <c r="M14" s="604"/>
      <c r="N14" s="604"/>
      <c r="O14" s="605"/>
      <c r="P14" s="606">
        <v>0.02</v>
      </c>
      <c r="Q14" s="607"/>
      <c r="R14" s="607"/>
      <c r="S14" s="607"/>
      <c r="T14" s="608"/>
      <c r="U14" s="609">
        <f t="shared" si="1"/>
        <v>19000</v>
      </c>
      <c r="V14" s="610"/>
      <c r="W14" s="610"/>
      <c r="X14" s="610"/>
      <c r="Y14" s="610"/>
      <c r="Z14" s="611"/>
    </row>
    <row r="15" spans="2:26" ht="15" customHeight="1">
      <c r="B15" s="257"/>
      <c r="C15" s="600" t="s">
        <v>85</v>
      </c>
      <c r="D15" s="601"/>
      <c r="E15" s="601"/>
      <c r="F15" s="601"/>
      <c r="G15" s="601"/>
      <c r="H15" s="601"/>
      <c r="I15" s="601"/>
      <c r="J15" s="601"/>
      <c r="K15" s="602"/>
      <c r="L15" s="603">
        <v>55000</v>
      </c>
      <c r="M15" s="604"/>
      <c r="N15" s="604"/>
      <c r="O15" s="605"/>
      <c r="P15" s="606">
        <v>0.2</v>
      </c>
      <c r="Q15" s="607"/>
      <c r="R15" s="607"/>
      <c r="S15" s="607"/>
      <c r="T15" s="608"/>
      <c r="U15" s="609">
        <f t="shared" ref="U15" si="2">P15*L15</f>
        <v>11000</v>
      </c>
      <c r="V15" s="610"/>
      <c r="W15" s="610"/>
      <c r="X15" s="610"/>
      <c r="Y15" s="610"/>
      <c r="Z15" s="611"/>
    </row>
    <row r="16" spans="2:26" ht="15" customHeight="1">
      <c r="B16" s="257"/>
      <c r="C16" s="600" t="s">
        <v>86</v>
      </c>
      <c r="D16" s="601"/>
      <c r="E16" s="601"/>
      <c r="F16" s="601"/>
      <c r="G16" s="601"/>
      <c r="H16" s="601"/>
      <c r="I16" s="601"/>
      <c r="J16" s="601"/>
      <c r="K16" s="602"/>
      <c r="L16" s="603">
        <v>200</v>
      </c>
      <c r="M16" s="604"/>
      <c r="N16" s="604"/>
      <c r="O16" s="605"/>
      <c r="P16" s="606">
        <v>12</v>
      </c>
      <c r="Q16" s="607"/>
      <c r="R16" s="607"/>
      <c r="S16" s="607"/>
      <c r="T16" s="608"/>
      <c r="U16" s="609">
        <f t="shared" si="1"/>
        <v>2400</v>
      </c>
      <c r="V16" s="610"/>
      <c r="W16" s="610"/>
      <c r="X16" s="610"/>
      <c r="Y16" s="610"/>
      <c r="Z16" s="611"/>
    </row>
    <row r="17" spans="2:26" ht="15" customHeight="1">
      <c r="B17" s="256" t="s">
        <v>87</v>
      </c>
      <c r="C17" s="258"/>
      <c r="D17" s="258"/>
      <c r="E17" s="258"/>
      <c r="F17" s="258"/>
      <c r="G17" s="258"/>
      <c r="H17" s="258"/>
      <c r="I17" s="258"/>
      <c r="J17" s="258"/>
      <c r="K17" s="259"/>
      <c r="L17" s="260"/>
      <c r="M17" s="261"/>
      <c r="N17" s="261"/>
      <c r="O17" s="262"/>
      <c r="P17" s="594"/>
      <c r="Q17" s="595"/>
      <c r="R17" s="595"/>
      <c r="S17" s="595"/>
      <c r="T17" s="596"/>
      <c r="U17" s="597">
        <f>SUM(U18:Z21)</f>
        <v>5817</v>
      </c>
      <c r="V17" s="598"/>
      <c r="W17" s="598"/>
      <c r="X17" s="598"/>
      <c r="Y17" s="598"/>
      <c r="Z17" s="599"/>
    </row>
    <row r="18" spans="2:26" ht="15" customHeight="1">
      <c r="B18" s="257"/>
      <c r="C18" s="600" t="s">
        <v>88</v>
      </c>
      <c r="D18" s="601"/>
      <c r="E18" s="601"/>
      <c r="F18" s="601"/>
      <c r="G18" s="601"/>
      <c r="H18" s="601"/>
      <c r="I18" s="601"/>
      <c r="J18" s="601"/>
      <c r="K18" s="602"/>
      <c r="L18" s="603">
        <v>100</v>
      </c>
      <c r="M18" s="604"/>
      <c r="N18" s="604"/>
      <c r="O18" s="605"/>
      <c r="P18" s="606">
        <v>25.32</v>
      </c>
      <c r="Q18" s="607"/>
      <c r="R18" s="607"/>
      <c r="S18" s="607"/>
      <c r="T18" s="608"/>
      <c r="U18" s="609">
        <f t="shared" ref="U18:U19" si="3">P18*L18</f>
        <v>2532</v>
      </c>
      <c r="V18" s="610"/>
      <c r="W18" s="610"/>
      <c r="X18" s="610"/>
      <c r="Y18" s="610"/>
      <c r="Z18" s="611"/>
    </row>
    <row r="19" spans="2:26" ht="15" customHeight="1">
      <c r="B19" s="257"/>
      <c r="C19" s="600" t="s">
        <v>76</v>
      </c>
      <c r="D19" s="601"/>
      <c r="E19" s="601"/>
      <c r="F19" s="601"/>
      <c r="G19" s="601"/>
      <c r="H19" s="601"/>
      <c r="I19" s="601"/>
      <c r="J19" s="601"/>
      <c r="K19" s="602"/>
      <c r="L19" s="603">
        <v>100</v>
      </c>
      <c r="M19" s="604"/>
      <c r="N19" s="604"/>
      <c r="O19" s="605"/>
      <c r="P19" s="606">
        <v>32.85</v>
      </c>
      <c r="Q19" s="607"/>
      <c r="R19" s="607"/>
      <c r="S19" s="607"/>
      <c r="T19" s="608"/>
      <c r="U19" s="609">
        <f t="shared" si="3"/>
        <v>3285</v>
      </c>
      <c r="V19" s="610"/>
      <c r="W19" s="610"/>
      <c r="X19" s="610"/>
      <c r="Y19" s="610"/>
      <c r="Z19" s="611"/>
    </row>
    <row r="20" spans="2:26" ht="15" hidden="1" customHeight="1">
      <c r="B20" s="257"/>
      <c r="C20" s="612"/>
      <c r="D20" s="613"/>
      <c r="E20" s="613"/>
      <c r="F20" s="613"/>
      <c r="G20" s="613"/>
      <c r="H20" s="613"/>
      <c r="I20" s="613"/>
      <c r="J20" s="613"/>
      <c r="K20" s="614"/>
      <c r="L20" s="615"/>
      <c r="M20" s="616"/>
      <c r="N20" s="616"/>
      <c r="O20" s="617"/>
      <c r="P20" s="609"/>
      <c r="Q20" s="610"/>
      <c r="R20" s="610"/>
      <c r="S20" s="610"/>
      <c r="T20" s="611"/>
      <c r="U20" s="609"/>
      <c r="V20" s="610"/>
      <c r="W20" s="610"/>
      <c r="X20" s="610"/>
      <c r="Y20" s="610"/>
      <c r="Z20" s="611"/>
    </row>
    <row r="21" spans="2:26" ht="15" hidden="1" customHeight="1">
      <c r="B21" s="257"/>
      <c r="C21" s="612"/>
      <c r="D21" s="613"/>
      <c r="E21" s="613"/>
      <c r="F21" s="613"/>
      <c r="G21" s="613"/>
      <c r="H21" s="613"/>
      <c r="I21" s="613"/>
      <c r="J21" s="613"/>
      <c r="K21" s="614"/>
      <c r="L21" s="615"/>
      <c r="M21" s="616"/>
      <c r="N21" s="616"/>
      <c r="O21" s="617"/>
      <c r="P21" s="609"/>
      <c r="Q21" s="610"/>
      <c r="R21" s="610"/>
      <c r="S21" s="610"/>
      <c r="T21" s="611"/>
      <c r="U21" s="609"/>
      <c r="V21" s="610"/>
      <c r="W21" s="610"/>
      <c r="X21" s="610"/>
      <c r="Y21" s="610"/>
      <c r="Z21" s="611"/>
    </row>
    <row r="22" spans="2:26" ht="15" customHeight="1">
      <c r="B22" s="256" t="s">
        <v>89</v>
      </c>
      <c r="C22" s="258"/>
      <c r="D22" s="258"/>
      <c r="E22" s="258"/>
      <c r="F22" s="258"/>
      <c r="G22" s="258"/>
      <c r="H22" s="258"/>
      <c r="I22" s="258"/>
      <c r="J22" s="258"/>
      <c r="K22" s="259"/>
      <c r="L22" s="260"/>
      <c r="M22" s="261"/>
      <c r="N22" s="261"/>
      <c r="O22" s="262"/>
      <c r="P22" s="594"/>
      <c r="Q22" s="595"/>
      <c r="R22" s="595"/>
      <c r="S22" s="595"/>
      <c r="T22" s="596"/>
      <c r="U22" s="597">
        <f>SUM(U23:Z24)</f>
        <v>16250</v>
      </c>
      <c r="V22" s="598"/>
      <c r="W22" s="598"/>
      <c r="X22" s="598"/>
      <c r="Y22" s="598"/>
      <c r="Z22" s="599"/>
    </row>
    <row r="23" spans="2:26" ht="15" customHeight="1">
      <c r="B23" s="257"/>
      <c r="C23" s="600" t="s">
        <v>90</v>
      </c>
      <c r="D23" s="601"/>
      <c r="E23" s="601"/>
      <c r="F23" s="601"/>
      <c r="G23" s="601"/>
      <c r="H23" s="601"/>
      <c r="I23" s="601"/>
      <c r="J23" s="601"/>
      <c r="K23" s="602"/>
      <c r="L23" s="603">
        <v>50</v>
      </c>
      <c r="M23" s="604"/>
      <c r="N23" s="604"/>
      <c r="O23" s="605"/>
      <c r="P23" s="606">
        <v>125</v>
      </c>
      <c r="Q23" s="607"/>
      <c r="R23" s="607"/>
      <c r="S23" s="607"/>
      <c r="T23" s="608"/>
      <c r="U23" s="609">
        <f t="shared" ref="U23:U27" si="4">P23*L23</f>
        <v>6250</v>
      </c>
      <c r="V23" s="610"/>
      <c r="W23" s="610"/>
      <c r="X23" s="610"/>
      <c r="Y23" s="610"/>
      <c r="Z23" s="611"/>
    </row>
    <row r="24" spans="2:26" ht="15" customHeight="1">
      <c r="B24" s="257"/>
      <c r="C24" s="600" t="s">
        <v>91</v>
      </c>
      <c r="D24" s="601"/>
      <c r="E24" s="601"/>
      <c r="F24" s="601"/>
      <c r="G24" s="601"/>
      <c r="H24" s="601"/>
      <c r="I24" s="601"/>
      <c r="J24" s="601"/>
      <c r="K24" s="602"/>
      <c r="L24" s="603">
        <v>80</v>
      </c>
      <c r="M24" s="604"/>
      <c r="N24" s="604"/>
      <c r="O24" s="605"/>
      <c r="P24" s="606">
        <v>125</v>
      </c>
      <c r="Q24" s="607"/>
      <c r="R24" s="607"/>
      <c r="S24" s="607"/>
      <c r="T24" s="608"/>
      <c r="U24" s="609">
        <f t="shared" si="4"/>
        <v>10000</v>
      </c>
      <c r="V24" s="610"/>
      <c r="W24" s="610"/>
      <c r="X24" s="610"/>
      <c r="Y24" s="610"/>
      <c r="Z24" s="611"/>
    </row>
    <row r="25" spans="2:26" ht="15" customHeight="1">
      <c r="B25" s="257"/>
      <c r="C25" s="600" t="s">
        <v>92</v>
      </c>
      <c r="D25" s="601"/>
      <c r="E25" s="601"/>
      <c r="F25" s="601"/>
      <c r="G25" s="601"/>
      <c r="H25" s="601"/>
      <c r="I25" s="601"/>
      <c r="J25" s="601"/>
      <c r="K25" s="602"/>
      <c r="L25" s="603">
        <v>10</v>
      </c>
      <c r="M25" s="604"/>
      <c r="N25" s="604"/>
      <c r="O25" s="605"/>
      <c r="P25" s="606">
        <v>325</v>
      </c>
      <c r="Q25" s="607"/>
      <c r="R25" s="607"/>
      <c r="S25" s="607"/>
      <c r="T25" s="608"/>
      <c r="U25" s="609">
        <f t="shared" si="4"/>
        <v>3250</v>
      </c>
      <c r="V25" s="610"/>
      <c r="W25" s="610"/>
      <c r="X25" s="610"/>
      <c r="Y25" s="610"/>
      <c r="Z25" s="611"/>
    </row>
    <row r="26" spans="2:26" ht="15" customHeight="1">
      <c r="B26" s="257"/>
      <c r="C26" s="600" t="s">
        <v>93</v>
      </c>
      <c r="D26" s="601"/>
      <c r="E26" s="601"/>
      <c r="F26" s="601"/>
      <c r="G26" s="601"/>
      <c r="H26" s="601"/>
      <c r="I26" s="601"/>
      <c r="J26" s="601"/>
      <c r="K26" s="602"/>
      <c r="L26" s="603">
        <v>5</v>
      </c>
      <c r="M26" s="604"/>
      <c r="N26" s="604"/>
      <c r="O26" s="605"/>
      <c r="P26" s="606">
        <v>325</v>
      </c>
      <c r="Q26" s="607"/>
      <c r="R26" s="607"/>
      <c r="S26" s="607"/>
      <c r="T26" s="608"/>
      <c r="U26" s="609">
        <f t="shared" si="4"/>
        <v>1625</v>
      </c>
      <c r="V26" s="610"/>
      <c r="W26" s="610"/>
      <c r="X26" s="610"/>
      <c r="Y26" s="610"/>
      <c r="Z26" s="611"/>
    </row>
    <row r="27" spans="2:26" ht="15" customHeight="1">
      <c r="B27" s="257"/>
      <c r="C27" s="600" t="s">
        <v>94</v>
      </c>
      <c r="D27" s="601"/>
      <c r="E27" s="601"/>
      <c r="F27" s="601"/>
      <c r="G27" s="601"/>
      <c r="H27" s="601"/>
      <c r="I27" s="601"/>
      <c r="J27" s="601"/>
      <c r="K27" s="602"/>
      <c r="L27" s="603">
        <v>5</v>
      </c>
      <c r="M27" s="604"/>
      <c r="N27" s="604"/>
      <c r="O27" s="605"/>
      <c r="P27" s="606">
        <v>298</v>
      </c>
      <c r="Q27" s="607"/>
      <c r="R27" s="607"/>
      <c r="S27" s="607"/>
      <c r="T27" s="608"/>
      <c r="U27" s="609">
        <f t="shared" si="4"/>
        <v>1490</v>
      </c>
      <c r="V27" s="610"/>
      <c r="W27" s="610"/>
      <c r="X27" s="610"/>
      <c r="Y27" s="610"/>
      <c r="Z27" s="611"/>
    </row>
    <row r="28" spans="2:26" ht="15" customHeight="1">
      <c r="B28" s="589" t="s">
        <v>95</v>
      </c>
      <c r="C28" s="589"/>
      <c r="D28" s="589"/>
      <c r="E28" s="589"/>
      <c r="F28" s="589"/>
      <c r="G28" s="589"/>
      <c r="H28" s="589"/>
      <c r="I28" s="589"/>
      <c r="J28" s="589"/>
      <c r="K28" s="590"/>
      <c r="L28" s="618"/>
      <c r="M28" s="619"/>
      <c r="N28" s="619"/>
      <c r="O28" s="620"/>
      <c r="P28" s="621" t="s">
        <v>96</v>
      </c>
      <c r="Q28" s="622"/>
      <c r="R28" s="622"/>
      <c r="S28" s="622"/>
      <c r="T28" s="623"/>
      <c r="U28" s="597">
        <f>SUM(U29:Z31)</f>
        <v>12300</v>
      </c>
      <c r="V28" s="598"/>
      <c r="W28" s="598"/>
      <c r="X28" s="598"/>
      <c r="Y28" s="598"/>
      <c r="Z28" s="599"/>
    </row>
    <row r="29" spans="2:26" ht="15" customHeight="1">
      <c r="B29" s="257"/>
      <c r="C29" s="600" t="s">
        <v>97</v>
      </c>
      <c r="D29" s="601"/>
      <c r="E29" s="601"/>
      <c r="F29" s="601"/>
      <c r="G29" s="601"/>
      <c r="H29" s="601"/>
      <c r="I29" s="601"/>
      <c r="J29" s="601"/>
      <c r="K29" s="602"/>
      <c r="L29" s="603">
        <v>100</v>
      </c>
      <c r="M29" s="604"/>
      <c r="N29" s="604"/>
      <c r="O29" s="605"/>
      <c r="P29" s="606">
        <v>95</v>
      </c>
      <c r="Q29" s="607"/>
      <c r="R29" s="607"/>
      <c r="S29" s="607"/>
      <c r="T29" s="608"/>
      <c r="U29" s="609">
        <f t="shared" ref="U29:U30" si="5">P29*L29</f>
        <v>9500</v>
      </c>
      <c r="V29" s="610"/>
      <c r="W29" s="610"/>
      <c r="X29" s="610"/>
      <c r="Y29" s="610"/>
      <c r="Z29" s="611"/>
    </row>
    <row r="30" spans="2:26" ht="15" customHeight="1">
      <c r="B30" s="257"/>
      <c r="C30" s="600" t="s">
        <v>98</v>
      </c>
      <c r="D30" s="601"/>
      <c r="E30" s="601"/>
      <c r="F30" s="601"/>
      <c r="G30" s="601"/>
      <c r="H30" s="601"/>
      <c r="I30" s="601"/>
      <c r="J30" s="601"/>
      <c r="K30" s="602"/>
      <c r="L30" s="603">
        <v>80</v>
      </c>
      <c r="M30" s="604"/>
      <c r="N30" s="604"/>
      <c r="O30" s="605"/>
      <c r="P30" s="606">
        <v>35</v>
      </c>
      <c r="Q30" s="607"/>
      <c r="R30" s="607"/>
      <c r="S30" s="607"/>
      <c r="T30" s="608"/>
      <c r="U30" s="609">
        <f t="shared" si="5"/>
        <v>2800</v>
      </c>
      <c r="V30" s="610"/>
      <c r="W30" s="610"/>
      <c r="X30" s="610"/>
      <c r="Y30" s="610"/>
      <c r="Z30" s="611"/>
    </row>
    <row r="31" spans="2:26" ht="15" hidden="1" customHeight="1">
      <c r="B31" s="257"/>
      <c r="C31" s="612"/>
      <c r="D31" s="613"/>
      <c r="E31" s="613"/>
      <c r="F31" s="613"/>
      <c r="G31" s="613"/>
      <c r="H31" s="613"/>
      <c r="I31" s="613"/>
      <c r="J31" s="613"/>
      <c r="K31" s="614"/>
      <c r="L31" s="615"/>
      <c r="M31" s="616"/>
      <c r="N31" s="616"/>
      <c r="O31" s="617"/>
      <c r="P31" s="609"/>
      <c r="Q31" s="610"/>
      <c r="R31" s="610"/>
      <c r="S31" s="610"/>
      <c r="T31" s="611"/>
      <c r="U31" s="609"/>
      <c r="V31" s="610"/>
      <c r="W31" s="610"/>
      <c r="X31" s="610"/>
      <c r="Y31" s="610"/>
      <c r="Z31" s="611"/>
    </row>
    <row r="32" spans="2:26" ht="15" customHeight="1">
      <c r="B32" s="589" t="s">
        <v>99</v>
      </c>
      <c r="C32" s="589"/>
      <c r="D32" s="589"/>
      <c r="E32" s="589"/>
      <c r="F32" s="589"/>
      <c r="G32" s="589"/>
      <c r="H32" s="589"/>
      <c r="I32" s="589"/>
      <c r="J32" s="589"/>
      <c r="K32" s="590"/>
      <c r="L32" s="618"/>
      <c r="M32" s="619"/>
      <c r="N32" s="619"/>
      <c r="O32" s="620"/>
      <c r="P32" s="594"/>
      <c r="Q32" s="595"/>
      <c r="R32" s="595"/>
      <c r="S32" s="595"/>
      <c r="T32" s="596"/>
      <c r="U32" s="597">
        <f>SUM(U33:Z35)</f>
        <v>9231.7999999999993</v>
      </c>
      <c r="V32" s="598"/>
      <c r="W32" s="598"/>
      <c r="X32" s="598"/>
      <c r="Y32" s="598"/>
      <c r="Z32" s="599"/>
    </row>
    <row r="33" spans="2:26" ht="15" customHeight="1">
      <c r="B33" s="257"/>
      <c r="C33" s="600" t="s">
        <v>100</v>
      </c>
      <c r="D33" s="601"/>
      <c r="E33" s="601"/>
      <c r="F33" s="601"/>
      <c r="G33" s="601"/>
      <c r="H33" s="601"/>
      <c r="I33" s="601"/>
      <c r="J33" s="601"/>
      <c r="K33" s="602"/>
      <c r="L33" s="603">
        <v>15</v>
      </c>
      <c r="M33" s="604"/>
      <c r="N33" s="604"/>
      <c r="O33" s="605"/>
      <c r="P33" s="606">
        <v>225</v>
      </c>
      <c r="Q33" s="607"/>
      <c r="R33" s="607"/>
      <c r="S33" s="607"/>
      <c r="T33" s="608"/>
      <c r="U33" s="609">
        <f t="shared" ref="U33:U34" si="6">P33*L33</f>
        <v>3375</v>
      </c>
      <c r="V33" s="610"/>
      <c r="W33" s="610"/>
      <c r="X33" s="610"/>
      <c r="Y33" s="610"/>
      <c r="Z33" s="611"/>
    </row>
    <row r="34" spans="2:26" ht="15" customHeight="1">
      <c r="B34" s="257"/>
      <c r="C34" s="600" t="s">
        <v>101</v>
      </c>
      <c r="D34" s="601"/>
      <c r="E34" s="601"/>
      <c r="F34" s="601"/>
      <c r="G34" s="601"/>
      <c r="H34" s="601"/>
      <c r="I34" s="601"/>
      <c r="J34" s="601"/>
      <c r="K34" s="602"/>
      <c r="L34" s="603">
        <v>80</v>
      </c>
      <c r="M34" s="604"/>
      <c r="N34" s="604"/>
      <c r="O34" s="605"/>
      <c r="P34" s="606">
        <v>73.209999999999994</v>
      </c>
      <c r="Q34" s="607"/>
      <c r="R34" s="607"/>
      <c r="S34" s="607"/>
      <c r="T34" s="608"/>
      <c r="U34" s="609">
        <f t="shared" si="6"/>
        <v>5856.7999999999993</v>
      </c>
      <c r="V34" s="610"/>
      <c r="W34" s="610"/>
      <c r="X34" s="610"/>
      <c r="Y34" s="610"/>
      <c r="Z34" s="611"/>
    </row>
    <row r="35" spans="2:26" ht="15" hidden="1" customHeight="1">
      <c r="B35" s="257"/>
      <c r="C35" s="612"/>
      <c r="D35" s="613"/>
      <c r="E35" s="613"/>
      <c r="F35" s="613"/>
      <c r="G35" s="613"/>
      <c r="H35" s="613"/>
      <c r="I35" s="613"/>
      <c r="J35" s="613"/>
      <c r="K35" s="614"/>
      <c r="L35" s="615"/>
      <c r="M35" s="616"/>
      <c r="N35" s="616"/>
      <c r="O35" s="617"/>
      <c r="P35" s="609"/>
      <c r="Q35" s="610"/>
      <c r="R35" s="610"/>
      <c r="S35" s="610"/>
      <c r="T35" s="611"/>
      <c r="U35" s="609"/>
      <c r="V35" s="610"/>
      <c r="W35" s="610"/>
      <c r="X35" s="610"/>
      <c r="Y35" s="610"/>
      <c r="Z35" s="611"/>
    </row>
    <row r="36" spans="2:26" ht="15" customHeight="1">
      <c r="B36" s="577" t="s">
        <v>102</v>
      </c>
      <c r="C36" s="577"/>
      <c r="D36" s="577"/>
      <c r="E36" s="577"/>
      <c r="F36" s="577"/>
      <c r="G36" s="577"/>
      <c r="H36" s="577"/>
      <c r="I36" s="577"/>
      <c r="J36" s="577"/>
      <c r="K36" s="577"/>
      <c r="L36" s="56"/>
      <c r="M36" s="57"/>
      <c r="N36" s="57"/>
      <c r="O36" s="57"/>
      <c r="P36" s="556">
        <f>U32+U28+U22+U17+U8+U4</f>
        <v>57298.8</v>
      </c>
      <c r="Q36" s="556"/>
      <c r="R36" s="556"/>
      <c r="S36" s="556"/>
      <c r="T36" s="556"/>
      <c r="U36" s="556"/>
      <c r="V36" s="556"/>
      <c r="W36" s="556"/>
      <c r="X36" s="556"/>
      <c r="Y36" s="556"/>
      <c r="Z36" s="557"/>
    </row>
    <row r="37" spans="2:26" ht="15" customHeight="1">
      <c r="B37" s="468" t="s">
        <v>12</v>
      </c>
      <c r="C37" s="468"/>
      <c r="D37" s="468"/>
      <c r="E37" s="468"/>
      <c r="F37" s="468"/>
      <c r="G37" s="468"/>
      <c r="H37" s="468"/>
      <c r="I37" s="468"/>
      <c r="J37" s="468"/>
      <c r="K37" s="468"/>
      <c r="L37" s="624">
        <v>0.13</v>
      </c>
      <c r="M37" s="625"/>
      <c r="N37" s="625"/>
      <c r="O37" s="626"/>
      <c r="P37" s="546">
        <f>P36*L37</f>
        <v>7448.844000000001</v>
      </c>
      <c r="Q37" s="547"/>
      <c r="R37" s="547"/>
      <c r="S37" s="547"/>
      <c r="T37" s="547"/>
      <c r="U37" s="547"/>
      <c r="V37" s="547"/>
      <c r="W37" s="547"/>
      <c r="X37" s="547"/>
      <c r="Y37" s="547"/>
      <c r="Z37" s="548"/>
    </row>
    <row r="38" spans="2:26" ht="15" customHeight="1">
      <c r="B38" s="468" t="s">
        <v>64</v>
      </c>
      <c r="C38" s="468"/>
      <c r="D38" s="468"/>
      <c r="E38" s="468"/>
      <c r="F38" s="468"/>
      <c r="G38" s="468"/>
      <c r="H38" s="468"/>
      <c r="I38" s="468"/>
      <c r="J38" s="468"/>
      <c r="K38" s="468"/>
      <c r="L38" s="624">
        <v>0.06</v>
      </c>
      <c r="M38" s="625"/>
      <c r="N38" s="625"/>
      <c r="O38" s="626"/>
      <c r="P38" s="546">
        <f>P36*L38</f>
        <v>3437.9279999999999</v>
      </c>
      <c r="Q38" s="547"/>
      <c r="R38" s="547"/>
      <c r="S38" s="547"/>
      <c r="T38" s="547"/>
      <c r="U38" s="547"/>
      <c r="V38" s="547"/>
      <c r="W38" s="547"/>
      <c r="X38" s="547"/>
      <c r="Y38" s="547"/>
      <c r="Z38" s="548"/>
    </row>
    <row r="39" spans="2:26" ht="15" customHeight="1">
      <c r="B39" s="577" t="s">
        <v>103</v>
      </c>
      <c r="C39" s="577"/>
      <c r="D39" s="577"/>
      <c r="E39" s="577"/>
      <c r="F39" s="577"/>
      <c r="G39" s="577"/>
      <c r="H39" s="577"/>
      <c r="I39" s="577"/>
      <c r="J39" s="577"/>
      <c r="K39" s="577"/>
      <c r="L39" s="263"/>
      <c r="M39" s="264"/>
      <c r="N39" s="264"/>
      <c r="O39" s="264"/>
      <c r="P39" s="627">
        <f>P36+P37+P38</f>
        <v>68185.572</v>
      </c>
      <c r="Q39" s="627"/>
      <c r="R39" s="627"/>
      <c r="S39" s="627"/>
      <c r="T39" s="627"/>
      <c r="U39" s="627"/>
      <c r="V39" s="627"/>
      <c r="W39" s="627"/>
      <c r="X39" s="627"/>
      <c r="Y39" s="627"/>
      <c r="Z39" s="628"/>
    </row>
    <row r="40" spans="2:26" ht="15" customHeight="1">
      <c r="B40" s="468" t="s">
        <v>104</v>
      </c>
      <c r="C40" s="468"/>
      <c r="D40" s="468"/>
      <c r="E40" s="468"/>
      <c r="F40" s="468"/>
      <c r="G40" s="468"/>
      <c r="H40" s="468"/>
      <c r="I40" s="468"/>
      <c r="J40" s="468"/>
      <c r="K40" s="468"/>
      <c r="L40" s="629">
        <v>0.21</v>
      </c>
      <c r="M40" s="613"/>
      <c r="N40" s="613"/>
      <c r="O40" s="614"/>
      <c r="P40" s="546">
        <f>P39*L40</f>
        <v>14318.97012</v>
      </c>
      <c r="Q40" s="547"/>
      <c r="R40" s="547"/>
      <c r="S40" s="547"/>
      <c r="T40" s="547"/>
      <c r="U40" s="547"/>
      <c r="V40" s="547"/>
      <c r="W40" s="547"/>
      <c r="X40" s="547"/>
      <c r="Y40" s="547"/>
      <c r="Z40" s="548"/>
    </row>
    <row r="41" spans="2:26" ht="15" customHeight="1">
      <c r="B41" s="569" t="s">
        <v>105</v>
      </c>
      <c r="C41" s="569"/>
      <c r="D41" s="569"/>
      <c r="E41" s="569"/>
      <c r="F41" s="569"/>
      <c r="G41" s="569"/>
      <c r="H41" s="569"/>
      <c r="I41" s="569"/>
      <c r="J41" s="569"/>
      <c r="K41" s="569"/>
      <c r="L41" s="282"/>
      <c r="M41" s="282"/>
      <c r="N41" s="282"/>
      <c r="O41" s="282"/>
      <c r="P41" s="570">
        <f>P39+P40</f>
        <v>82504.542119999998</v>
      </c>
      <c r="Q41" s="570"/>
      <c r="R41" s="570"/>
      <c r="S41" s="570"/>
      <c r="T41" s="570"/>
      <c r="U41" s="570"/>
      <c r="V41" s="570"/>
      <c r="W41" s="570"/>
      <c r="X41" s="570"/>
      <c r="Y41" s="570"/>
      <c r="Z41" s="630"/>
    </row>
    <row r="42" spans="2:26" s="49" customFormat="1" ht="15" customHeight="1">
      <c r="B42" s="15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2:26" s="49" customFormat="1" ht="15" customHeight="1">
      <c r="B43" s="157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s="49" customFormat="1" ht="15" customHeight="1">
      <c r="B44" s="15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2:26" s="49" customFormat="1" ht="15" customHeight="1">
      <c r="B45" s="157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2:26" s="49" customFormat="1" ht="15" customHeight="1">
      <c r="B46" s="15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2:26" s="49" customFormat="1" ht="15" customHeight="1">
      <c r="B47" s="157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2:26" s="49" customFormat="1" ht="15" customHeight="1">
      <c r="B48" s="157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2:26" s="49" customFormat="1" ht="15" customHeight="1">
      <c r="B49" s="157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2:26" s="49" customFormat="1" ht="15" customHeight="1">
      <c r="B50" s="157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2:26" s="49" customFormat="1" ht="15" customHeight="1">
      <c r="B51" s="157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2:26" s="49" customFormat="1" ht="15" customHeight="1">
      <c r="B52" s="157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2:26" s="49" customFormat="1" ht="15" customHeight="1">
      <c r="B53" s="157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2:26" s="49" customFormat="1" ht="15" customHeight="1">
      <c r="B54" s="157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2:26" s="49" customFormat="1" ht="15" customHeight="1">
      <c r="B55" s="157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2:26" s="49" customFormat="1" ht="15" customHeight="1">
      <c r="B56" s="157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2:26" s="49" customFormat="1" ht="15" customHeight="1">
      <c r="B57" s="157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2:26" s="49" customFormat="1" ht="15" customHeight="1">
      <c r="B58" s="157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2:26" s="49" customFormat="1" ht="15" customHeight="1">
      <c r="B59" s="157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2:26" s="49" customFormat="1" ht="15" customHeight="1">
      <c r="B60" s="157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2:26" s="49" customFormat="1" ht="15" customHeight="1">
      <c r="B61" s="157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2:26" s="49" customFormat="1" ht="15" customHeight="1">
      <c r="B62" s="157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2:26" s="49" customFormat="1" ht="15" customHeight="1">
      <c r="B63" s="157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2:26" s="49" customFormat="1" ht="15" customHeight="1">
      <c r="B64" s="157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2:26" s="49" customFormat="1" ht="15" customHeight="1">
      <c r="B65" s="157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2:26" s="49" customFormat="1" ht="15" customHeight="1">
      <c r="B66" s="157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2:26" s="49" customFormat="1" ht="15" customHeight="1">
      <c r="B67" s="157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2:26" s="49" customFormat="1" ht="15" customHeight="1">
      <c r="B68" s="157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2:26" s="49" customFormat="1" ht="15" customHeight="1">
      <c r="B69" s="157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2:26" s="49" customFormat="1" ht="15" customHeight="1">
      <c r="B70" s="157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2:26" s="49" customFormat="1" ht="15" customHeight="1">
      <c r="B71" s="157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2:26" s="49" customFormat="1" ht="15" customHeight="1">
      <c r="B72" s="157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2:26" s="49" customFormat="1" ht="15" customHeight="1">
      <c r="B73" s="157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2:26" s="49" customFormat="1" ht="15" customHeight="1">
      <c r="B74" s="157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2:26" s="49" customFormat="1" ht="15" customHeight="1">
      <c r="B75" s="157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2:26" s="49" customFormat="1" ht="15" customHeight="1">
      <c r="B76" s="157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2:26" s="49" customFormat="1" ht="15" customHeight="1">
      <c r="B77" s="157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2:26" s="49" customFormat="1" ht="15" customHeight="1">
      <c r="B78" s="157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2:26" s="49" customFormat="1" ht="15" customHeight="1">
      <c r="B79" s="157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2:26" s="49" customFormat="1" ht="15" customHeight="1">
      <c r="B80" s="157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2:26" s="49" customFormat="1" ht="15" customHeight="1">
      <c r="B81" s="157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2:26" s="49" customFormat="1" ht="15" customHeight="1">
      <c r="B82" s="157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s="49" customFormat="1" ht="15" customHeight="1">
      <c r="B83" s="157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2:26" s="49" customFormat="1" ht="15" customHeight="1">
      <c r="B84" s="157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2:26" s="49" customFormat="1" ht="15" customHeight="1">
      <c r="B85" s="157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2:26" s="49" customFormat="1" ht="15" customHeight="1">
      <c r="B86" s="157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2:26" s="49" customFormat="1" ht="15" customHeight="1">
      <c r="B87" s="157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2:26" s="49" customFormat="1" ht="15" customHeight="1">
      <c r="B88" s="157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2:26" s="49" customFormat="1" ht="15" customHeight="1">
      <c r="B89" s="157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2:26" s="49" customFormat="1" ht="15" customHeight="1">
      <c r="B90" s="157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2:26" s="49" customFormat="1" ht="15" customHeight="1">
      <c r="B91" s="157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2:26" s="49" customFormat="1" ht="15" customHeight="1">
      <c r="B92" s="157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2:26" s="49" customFormat="1" ht="15" customHeight="1">
      <c r="B93" s="157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2:26" s="49" customFormat="1" ht="15" customHeight="1">
      <c r="B94" s="157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2:26" s="49" customFormat="1" ht="15" customHeight="1">
      <c r="B95" s="157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2:26" s="49" customFormat="1" ht="15" customHeight="1">
      <c r="B96" s="157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2:26" s="49" customFormat="1" ht="15" customHeight="1">
      <c r="B97" s="157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2:26" s="49" customFormat="1" ht="15" customHeight="1">
      <c r="B98" s="157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2:26" s="49" customFormat="1" ht="15" customHeight="1">
      <c r="B99" s="157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2:26" s="49" customFormat="1" ht="15" customHeight="1">
      <c r="B100" s="157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2:26" s="49" customFormat="1" ht="15" customHeight="1">
      <c r="B101" s="157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2:26" s="49" customFormat="1" ht="15" customHeight="1">
      <c r="B102" s="157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2:26" s="49" customFormat="1" ht="15" customHeight="1">
      <c r="B103" s="157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2:26" s="49" customFormat="1" ht="15" customHeight="1">
      <c r="B104" s="157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2:26" s="49" customFormat="1" ht="15" customHeight="1">
      <c r="B105" s="157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2:26" s="49" customFormat="1" ht="15" customHeight="1">
      <c r="B106" s="157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2:26" s="49" customFormat="1" ht="15" customHeight="1">
      <c r="B107" s="157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2:26" s="49" customFormat="1" ht="15" customHeight="1">
      <c r="B108" s="157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2:26" s="49" customFormat="1" ht="15" customHeight="1">
      <c r="B109" s="157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2:26" s="49" customFormat="1" ht="15" customHeight="1">
      <c r="B110" s="157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2:26" s="49" customFormat="1" ht="15" customHeight="1">
      <c r="B111" s="157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2:26" s="49" customFormat="1" ht="15" customHeight="1">
      <c r="B112" s="157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2:26" s="49" customFormat="1" ht="15" customHeight="1">
      <c r="B113" s="157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2:26" s="49" customFormat="1" ht="15" customHeight="1">
      <c r="B114" s="157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2:26" s="49" customFormat="1" ht="15" customHeight="1">
      <c r="B115" s="157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2:26" s="49" customFormat="1" ht="15" customHeight="1">
      <c r="B116" s="157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2:26" s="49" customFormat="1" ht="15" customHeight="1">
      <c r="B117" s="157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2:26" s="49" customFormat="1" ht="15" customHeight="1">
      <c r="B118" s="157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2:26" s="49" customFormat="1" ht="15" customHeight="1">
      <c r="B119" s="157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2:26" s="49" customFormat="1" ht="15" customHeight="1">
      <c r="B120" s="157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2:26" s="49" customFormat="1" ht="15" customHeight="1">
      <c r="B121" s="157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2:26" s="49" customFormat="1" ht="15" customHeight="1">
      <c r="B122" s="157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2:26" s="49" customFormat="1" ht="15" customHeight="1">
      <c r="B123" s="157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2:26" s="49" customFormat="1" ht="15" customHeight="1">
      <c r="B124" s="157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2:26" s="49" customFormat="1" ht="15" customHeight="1">
      <c r="B125" s="157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2:26" s="49" customFormat="1" ht="15" customHeight="1">
      <c r="B126" s="157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2:26" s="49" customFormat="1" ht="15" customHeight="1">
      <c r="B127" s="157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2:26" s="49" customFormat="1" ht="15" customHeight="1">
      <c r="B128" s="157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2:26" s="49" customFormat="1" ht="15" customHeight="1">
      <c r="B129" s="157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2:26" s="49" customFormat="1" ht="15" customHeight="1">
      <c r="B130" s="157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2:26" s="49" customFormat="1" ht="15" customHeight="1">
      <c r="B131" s="157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2:26" s="49" customFormat="1" ht="15" customHeight="1">
      <c r="B132" s="157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2:26" s="49" customFormat="1" ht="15" customHeight="1">
      <c r="B133" s="157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2:26" s="49" customFormat="1" ht="15" customHeight="1">
      <c r="B134" s="157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2:26" s="49" customFormat="1" ht="15" customHeight="1">
      <c r="B135" s="157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2:26" s="49" customFormat="1" ht="15" customHeight="1">
      <c r="B136" s="157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2:26" s="49" customFormat="1" ht="15" customHeight="1">
      <c r="B137" s="157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2:26" s="49" customFormat="1" ht="15" customHeight="1">
      <c r="B138" s="157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2:26" s="49" customFormat="1" ht="15" customHeight="1">
      <c r="B139" s="157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2:26" s="49" customFormat="1" ht="15" customHeight="1">
      <c r="B140" s="157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2:26" s="49" customFormat="1" ht="15" customHeight="1">
      <c r="B141" s="157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2:26" s="49" customFormat="1" ht="15" customHeight="1">
      <c r="B142" s="157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2:26" s="49" customFormat="1" ht="15" customHeight="1">
      <c r="B143" s="157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2:26" s="49" customFormat="1" ht="15" customHeight="1">
      <c r="B144" s="157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2:26" s="49" customFormat="1" ht="15" customHeight="1">
      <c r="B145" s="157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2:26" s="49" customFormat="1" ht="15" customHeight="1">
      <c r="B146" s="157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2:26" s="49" customFormat="1" ht="15" customHeight="1">
      <c r="B147" s="157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2:26" s="49" customFormat="1" ht="15" customHeight="1">
      <c r="B148" s="157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2:26" s="49" customFormat="1" ht="15" customHeight="1">
      <c r="B149" s="157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2:26" s="49" customFormat="1" ht="15" customHeight="1">
      <c r="B150" s="157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2:26" s="49" customFormat="1" ht="15" customHeight="1">
      <c r="B151" s="157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2:26" s="49" customFormat="1" ht="15" customHeight="1">
      <c r="B152" s="157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2:26" s="49" customFormat="1" ht="15" customHeight="1">
      <c r="B153" s="157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2:26" s="49" customFormat="1" ht="15" customHeight="1">
      <c r="B154" s="157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2:26" s="49" customFormat="1" ht="15" customHeight="1">
      <c r="B155" s="157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2:26" s="49" customFormat="1" ht="15" customHeight="1">
      <c r="B156" s="157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2:26" s="49" customFormat="1" ht="15" customHeight="1">
      <c r="B157" s="157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2:26" s="49" customFormat="1" ht="15" customHeight="1">
      <c r="B158" s="157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2:26" s="49" customFormat="1" ht="15" customHeight="1">
      <c r="B159" s="157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2:26" s="49" customFormat="1" ht="15" customHeight="1">
      <c r="B160" s="157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2:26" s="49" customFormat="1" ht="15" customHeight="1">
      <c r="B161" s="157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2:26" s="49" customFormat="1" ht="15" customHeight="1">
      <c r="B162" s="157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2:26" s="49" customFormat="1" ht="15" customHeight="1">
      <c r="B163" s="157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2:26" s="49" customFormat="1" ht="15" customHeight="1">
      <c r="B164" s="157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2:26" s="49" customFormat="1" ht="15" customHeight="1">
      <c r="B165" s="157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2:26" s="49" customFormat="1" ht="15" customHeight="1">
      <c r="B166" s="157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2:26" s="49" customFormat="1" ht="15" customHeight="1">
      <c r="B167" s="157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2:26" s="49" customFormat="1" ht="15" customHeight="1">
      <c r="B168" s="157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2:26" s="49" customFormat="1" ht="15" customHeight="1">
      <c r="B169" s="157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2:26" s="49" customFormat="1" ht="15" customHeight="1">
      <c r="B170" s="157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2:26" s="49" customFormat="1" ht="15" customHeight="1">
      <c r="B171" s="157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2:26" s="49" customFormat="1" ht="15" customHeight="1">
      <c r="B172" s="157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2:26" s="49" customFormat="1" ht="15" customHeight="1">
      <c r="B173" s="157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2:26" s="49" customFormat="1" ht="15" customHeight="1">
      <c r="B174" s="157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2:26" s="49" customFormat="1" ht="15" customHeight="1">
      <c r="B175" s="157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2:26" s="49" customFormat="1" ht="15" customHeight="1">
      <c r="B176" s="157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2:26" s="49" customFormat="1" ht="15" customHeight="1">
      <c r="B177" s="157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2:26" s="49" customFormat="1" ht="15" customHeight="1">
      <c r="B178" s="157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2:26" s="49" customFormat="1" ht="15" customHeight="1">
      <c r="B179" s="157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2:26" s="49" customFormat="1" ht="15" customHeight="1">
      <c r="B180" s="157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2:26" s="49" customFormat="1" ht="15" customHeight="1">
      <c r="B181" s="157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2:26" s="49" customFormat="1" ht="15" customHeight="1">
      <c r="B182" s="157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2:26" s="49" customFormat="1" ht="15" customHeight="1">
      <c r="B183" s="157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2:26" s="49" customFormat="1" ht="15" customHeight="1">
      <c r="B184" s="157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2:26" s="49" customFormat="1" ht="15" customHeight="1">
      <c r="B185" s="157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2:26" s="49" customFormat="1" ht="15" customHeight="1">
      <c r="B186" s="157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2:26" s="49" customFormat="1" ht="15" customHeight="1">
      <c r="B187" s="157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2:26" s="49" customFormat="1" ht="15" customHeight="1">
      <c r="B188" s="157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2:26" s="49" customFormat="1" ht="15" customHeight="1">
      <c r="B189" s="157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2:26" s="49" customFormat="1" ht="15" customHeight="1">
      <c r="B190" s="157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2:26" s="49" customFormat="1" ht="15" customHeight="1">
      <c r="B191" s="157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2:26" s="49" customFormat="1" ht="15" customHeight="1">
      <c r="B192" s="157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2:26" s="49" customFormat="1" ht="15" customHeight="1">
      <c r="B193" s="157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2:26" s="49" customFormat="1" ht="15" customHeight="1">
      <c r="B194" s="157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2:26" s="49" customFormat="1" ht="15" customHeight="1">
      <c r="B195" s="157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2:26" s="49" customFormat="1" ht="15" customHeight="1">
      <c r="B196" s="157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2:26" s="49" customFormat="1" ht="15" customHeight="1">
      <c r="B197" s="157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2:26" s="49" customFormat="1" ht="15" customHeight="1">
      <c r="B198" s="157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2:26" s="49" customFormat="1" ht="15" customHeight="1">
      <c r="B199" s="157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2:26" s="49" customFormat="1" ht="15" customHeight="1">
      <c r="B200" s="157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2:26" s="49" customFormat="1" ht="15" customHeight="1">
      <c r="B201" s="157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2:26" s="49" customFormat="1" ht="15" customHeight="1">
      <c r="B202" s="157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2:26" s="49" customFormat="1" ht="15" customHeight="1">
      <c r="B203" s="157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2:26" s="49" customFormat="1" ht="15" customHeight="1">
      <c r="B204" s="157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2:26" s="49" customFormat="1" ht="15" customHeight="1">
      <c r="B205" s="157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2:26" s="49" customFormat="1" ht="15" customHeight="1">
      <c r="B206" s="157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2:26" s="49" customFormat="1" ht="15" customHeight="1">
      <c r="B207" s="157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2:26" s="49" customFormat="1" ht="15" customHeight="1">
      <c r="B208" s="157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2:26" s="49" customFormat="1" ht="15" customHeight="1">
      <c r="B209" s="157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2:26" s="49" customFormat="1" ht="15" customHeight="1">
      <c r="B210" s="157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2:26" s="49" customFormat="1" ht="15" customHeight="1">
      <c r="B211" s="157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2:26" s="49" customFormat="1" ht="15" customHeight="1">
      <c r="B212" s="157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2:26" s="49" customFormat="1" ht="15" customHeight="1">
      <c r="B213" s="157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2:26" s="49" customFormat="1" ht="15" customHeight="1">
      <c r="B214" s="157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2:26" s="49" customFormat="1" ht="15" customHeight="1">
      <c r="B215" s="157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2:26" s="49" customFormat="1" ht="15" customHeight="1">
      <c r="B216" s="157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2:26" s="49" customFormat="1" ht="15" customHeight="1">
      <c r="B217" s="157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2:26" s="49" customFormat="1" ht="15" customHeight="1">
      <c r="B218" s="157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2:26" s="49" customFormat="1" ht="15" customHeight="1">
      <c r="B219" s="157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2:26" s="49" customFormat="1" ht="15" customHeight="1">
      <c r="B220" s="157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2:26" s="49" customFormat="1" ht="15" customHeight="1">
      <c r="B221" s="157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2:26" s="49" customFormat="1" ht="15" customHeight="1">
      <c r="B222" s="157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2:26" s="49" customFormat="1" ht="15" customHeight="1">
      <c r="B223" s="157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2:26" s="49" customFormat="1" ht="15" customHeight="1">
      <c r="B224" s="157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2:26" s="49" customFormat="1" ht="15" customHeight="1">
      <c r="B225" s="157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2:26" s="49" customFormat="1" ht="15" customHeight="1">
      <c r="B226" s="157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2:26" s="49" customFormat="1" ht="15" customHeight="1">
      <c r="B227" s="157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2:26" s="49" customFormat="1" ht="15" customHeight="1">
      <c r="B228" s="157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2:26" s="49" customFormat="1" ht="15" customHeight="1">
      <c r="B229" s="157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2:26" s="49" customFormat="1" ht="15" customHeight="1">
      <c r="B230" s="157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2:26" s="49" customFormat="1" ht="15" customHeight="1">
      <c r="B231" s="157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2:26" s="49" customFormat="1" ht="15" customHeight="1">
      <c r="B232" s="157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2:26" s="49" customFormat="1" ht="15" customHeight="1">
      <c r="B233" s="157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2:26" s="49" customFormat="1" ht="15" customHeight="1">
      <c r="B234" s="157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2:26" s="49" customFormat="1" ht="15" customHeight="1">
      <c r="B235" s="157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2:26" s="49" customFormat="1" ht="15" customHeight="1">
      <c r="B236" s="157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2:26" s="49" customFormat="1" ht="15" customHeight="1">
      <c r="B237" s="157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2:26" s="49" customFormat="1" ht="15" customHeight="1">
      <c r="B238" s="157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2:26" s="49" customFormat="1" ht="15" customHeight="1">
      <c r="B239" s="157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2:26" s="49" customFormat="1" ht="15" customHeight="1">
      <c r="B240" s="157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2:26" s="49" customFormat="1" ht="15" customHeight="1">
      <c r="B241" s="157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2:26" s="49" customFormat="1" ht="15" customHeight="1">
      <c r="B242" s="157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2:26" s="49" customFormat="1" ht="15" customHeight="1">
      <c r="B243" s="157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2:26" s="49" customFormat="1" ht="15" customHeight="1">
      <c r="B244" s="157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2:26" s="49" customFormat="1" ht="15" customHeight="1">
      <c r="B245" s="157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2:26" s="49" customFormat="1" ht="15" customHeight="1">
      <c r="B246" s="157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2:26" s="49" customFormat="1" ht="15" customHeight="1">
      <c r="B247" s="157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2:26" s="49" customFormat="1" ht="15" customHeight="1">
      <c r="B248" s="157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2:26" s="49" customFormat="1" ht="15" customHeight="1">
      <c r="B249" s="157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2:26" s="49" customFormat="1" ht="15" customHeight="1">
      <c r="B250" s="157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2:26" s="49" customFormat="1" ht="15" customHeight="1">
      <c r="B251" s="157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2:26" s="49" customFormat="1" ht="15" customHeight="1">
      <c r="B252" s="157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2:26" s="49" customFormat="1" ht="15" customHeight="1">
      <c r="B253" s="157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2:26" s="49" customFormat="1" ht="15" customHeight="1">
      <c r="B254" s="157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2:26" s="49" customFormat="1" ht="15" customHeight="1">
      <c r="B255" s="157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2:26" s="49" customFormat="1" ht="15" customHeight="1">
      <c r="B256" s="157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2:26" s="49" customFormat="1" ht="15" customHeight="1">
      <c r="B257" s="157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2:26" s="49" customFormat="1" ht="15" customHeight="1">
      <c r="B258" s="157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2:26" s="49" customFormat="1" ht="15" customHeight="1">
      <c r="B259" s="157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2:26" s="49" customFormat="1" ht="15" customHeight="1">
      <c r="B260" s="157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2:26" s="49" customFormat="1" ht="15" customHeight="1">
      <c r="B261" s="157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2:26" s="49" customFormat="1" ht="15" customHeight="1">
      <c r="B262" s="157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2:26" s="49" customFormat="1" ht="15" customHeight="1">
      <c r="B263" s="157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2:26" s="49" customFormat="1" ht="15" customHeight="1">
      <c r="B264" s="157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2:26" s="49" customFormat="1" ht="15" customHeight="1">
      <c r="B265" s="157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2:26" s="49" customFormat="1" ht="15" customHeight="1">
      <c r="B266" s="157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2:26" s="49" customFormat="1" ht="15" customHeight="1">
      <c r="B267" s="157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2:26" s="49" customFormat="1" ht="15" customHeight="1">
      <c r="B268" s="157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2:26" s="49" customFormat="1" ht="15" customHeight="1">
      <c r="B269" s="157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2:26" s="49" customFormat="1" ht="15" customHeight="1">
      <c r="B270" s="157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2:26" s="49" customFormat="1" ht="15" customHeight="1">
      <c r="B271" s="157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2:26" s="49" customFormat="1" ht="15" customHeight="1">
      <c r="B272" s="157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2:26" s="49" customFormat="1" ht="15" customHeight="1">
      <c r="B273" s="157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2:26" s="49" customFormat="1" ht="15" customHeight="1">
      <c r="B274" s="157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2:26" s="49" customFormat="1" ht="15" customHeight="1">
      <c r="B275" s="157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2:26" s="49" customFormat="1" ht="15" customHeight="1">
      <c r="B276" s="157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2:26" s="49" customFormat="1" ht="15" customHeight="1">
      <c r="B277" s="157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2:26" s="49" customFormat="1" ht="15" customHeight="1">
      <c r="B278" s="157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2:26" s="49" customFormat="1" ht="15" customHeight="1">
      <c r="B279" s="157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2:26" s="49" customFormat="1" ht="15" customHeight="1">
      <c r="B280" s="157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2:26" s="49" customFormat="1" ht="15" customHeight="1">
      <c r="B281" s="157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2:26" s="49" customFormat="1" ht="15" customHeight="1">
      <c r="B282" s="157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2:26" s="49" customFormat="1" ht="15" customHeight="1">
      <c r="B283" s="157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2:26" s="49" customFormat="1" ht="15" customHeight="1">
      <c r="B284" s="157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2:26" s="49" customFormat="1" ht="15" customHeight="1">
      <c r="B285" s="157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2:26" s="49" customFormat="1" ht="15" customHeight="1">
      <c r="B286" s="157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2:26" s="49" customFormat="1" ht="15" customHeight="1">
      <c r="B287" s="157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2:26" s="49" customFormat="1" ht="15" customHeight="1">
      <c r="B288" s="157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2:26" s="49" customFormat="1" ht="15" customHeight="1">
      <c r="B289" s="157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2:26" s="49" customFormat="1" ht="15" customHeight="1">
      <c r="B290" s="157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2:26" s="49" customFormat="1" ht="15" customHeight="1">
      <c r="B291" s="157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2:26" s="49" customFormat="1" ht="15" customHeight="1">
      <c r="B292" s="157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2:26" s="49" customFormat="1" ht="15" customHeight="1">
      <c r="B293" s="157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2:26" s="49" customFormat="1" ht="15" customHeight="1">
      <c r="B294" s="157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2:26" s="49" customFormat="1" ht="15" customHeight="1">
      <c r="B295" s="157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2:26" s="49" customFormat="1" ht="15" customHeight="1">
      <c r="B296" s="157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2:26" s="49" customFormat="1" ht="15" customHeight="1">
      <c r="B297" s="157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2:26" s="49" customFormat="1" ht="15" customHeight="1">
      <c r="B298" s="157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2:26" s="49" customFormat="1" ht="15" customHeight="1">
      <c r="B299" s="157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2:26" s="49" customFormat="1" ht="15" customHeight="1">
      <c r="B300" s="157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2:26" s="49" customFormat="1" ht="15" customHeight="1">
      <c r="B301" s="157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2:26" s="49" customFormat="1" ht="15" customHeight="1">
      <c r="B302" s="157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2:26" s="49" customFormat="1" ht="15" customHeight="1">
      <c r="B303" s="157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2:26" s="49" customFormat="1" ht="15" customHeight="1">
      <c r="B304" s="157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2:26" s="49" customFormat="1" ht="15" customHeight="1">
      <c r="B305" s="157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2:26" s="49" customFormat="1" ht="15" customHeight="1">
      <c r="B306" s="157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2:26" s="49" customFormat="1" ht="15" customHeight="1">
      <c r="B307" s="157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2:26" s="49" customFormat="1" ht="15" customHeight="1">
      <c r="B308" s="157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2:26" s="49" customFormat="1" ht="15" customHeight="1">
      <c r="B309" s="157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2:26" s="49" customFormat="1" ht="15" customHeight="1">
      <c r="B310" s="157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2:26" s="49" customFormat="1" ht="15" customHeight="1">
      <c r="B311" s="157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2:26" s="49" customFormat="1" ht="15" customHeight="1">
      <c r="B312" s="157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2:26" s="49" customFormat="1" ht="15" customHeight="1">
      <c r="B313" s="157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2:26" s="49" customFormat="1" ht="15" customHeight="1">
      <c r="B314" s="157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2:26" s="49" customFormat="1" ht="15" customHeight="1">
      <c r="B315" s="157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2:26" s="49" customFormat="1" ht="15" customHeight="1">
      <c r="B316" s="157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2:26" s="49" customFormat="1" ht="15" customHeight="1">
      <c r="B317" s="157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2:26" s="49" customFormat="1" ht="15" customHeight="1">
      <c r="B318" s="157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2:26" s="49" customFormat="1" ht="15" customHeight="1">
      <c r="B319" s="157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2:26" s="49" customFormat="1" ht="15" customHeight="1">
      <c r="B320" s="157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2:26" s="49" customFormat="1" ht="15" customHeight="1">
      <c r="B321" s="157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2:26" s="49" customFormat="1" ht="15" customHeight="1">
      <c r="B322" s="157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2:26" s="49" customFormat="1" ht="15" customHeight="1">
      <c r="B323" s="157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2:26" s="49" customFormat="1" ht="15" customHeight="1">
      <c r="B324" s="157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2:26" s="49" customFormat="1" ht="15" customHeight="1">
      <c r="B325" s="157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2:26" s="49" customFormat="1" ht="15" customHeight="1">
      <c r="B326" s="157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2:26" s="49" customFormat="1" ht="15" customHeight="1">
      <c r="B327" s="157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2:26" s="49" customFormat="1" ht="15" customHeight="1">
      <c r="B328" s="157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2:26" s="49" customFormat="1" ht="15" customHeight="1">
      <c r="B329" s="157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2:26" s="49" customFormat="1" ht="15" customHeight="1">
      <c r="B330" s="157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2:26" s="49" customFormat="1" ht="15" customHeight="1">
      <c r="B331" s="157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2:26" s="49" customFormat="1" ht="15" customHeight="1">
      <c r="B332" s="157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2:26" s="49" customFormat="1" ht="15" customHeight="1">
      <c r="B333" s="157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2:26" s="49" customFormat="1" ht="15" customHeight="1">
      <c r="B334" s="157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2:26" s="49" customFormat="1" ht="15" customHeight="1">
      <c r="B335" s="157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2:26" s="49" customFormat="1" ht="15" customHeight="1">
      <c r="B336" s="157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2:26" s="49" customFormat="1" ht="15" customHeight="1">
      <c r="B337" s="157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2:26" s="49" customFormat="1" ht="15" customHeight="1">
      <c r="B338" s="157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2:26" s="49" customFormat="1" ht="15" customHeight="1">
      <c r="B339" s="157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2:26" s="49" customFormat="1" ht="15" customHeight="1">
      <c r="B340" s="157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2:26" s="49" customFormat="1" ht="15" customHeight="1">
      <c r="B341" s="157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2:26" s="49" customFormat="1" ht="15" customHeight="1">
      <c r="B342" s="157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2:26" s="49" customFormat="1" ht="15" customHeight="1">
      <c r="B343" s="157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2:26" s="49" customFormat="1" ht="15" customHeight="1">
      <c r="B344" s="157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2:26" s="49" customFormat="1" ht="15" customHeight="1">
      <c r="B345" s="157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2:26" s="49" customFormat="1" ht="15" customHeight="1">
      <c r="B346" s="157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2:26" s="49" customFormat="1" ht="15" customHeight="1">
      <c r="B347" s="157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2:26" s="49" customFormat="1" ht="15" customHeight="1">
      <c r="B348" s="157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2:26" s="49" customFormat="1" ht="15" customHeight="1">
      <c r="B349" s="157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2:26" s="49" customFormat="1" ht="15" customHeight="1">
      <c r="B350" s="157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2:26" s="49" customFormat="1" ht="15" customHeight="1">
      <c r="B351" s="157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2:26" s="49" customFormat="1" ht="15" customHeight="1">
      <c r="B352" s="157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2:26" s="49" customFormat="1" ht="15" customHeight="1">
      <c r="B353" s="157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2:26" s="49" customFormat="1" ht="15" customHeight="1">
      <c r="B354" s="157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2:26" s="49" customFormat="1" ht="15" customHeight="1">
      <c r="B355" s="157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2:26" s="49" customFormat="1" ht="15" customHeight="1">
      <c r="B356" s="157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2:26" s="49" customFormat="1" ht="15" customHeight="1">
      <c r="B357" s="157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2:26" s="49" customFormat="1" ht="15" customHeight="1">
      <c r="B358" s="157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2:26" s="49" customFormat="1" ht="15" customHeight="1">
      <c r="B359" s="157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2:26" s="49" customFormat="1" ht="15" customHeight="1">
      <c r="B360" s="157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2:26" s="49" customFormat="1" ht="15" customHeight="1">
      <c r="B361" s="157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2:26" s="49" customFormat="1" ht="15" customHeight="1">
      <c r="B362" s="157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2:26" s="49" customFormat="1" ht="15" customHeight="1">
      <c r="B363" s="157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2:26" s="49" customFormat="1" ht="15" customHeight="1">
      <c r="B364" s="157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2:26" s="49" customFormat="1" ht="15" customHeight="1">
      <c r="B365" s="157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2:26" s="49" customFormat="1" ht="15" customHeight="1">
      <c r="B366" s="157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2:26" s="49" customFormat="1" ht="15" customHeight="1">
      <c r="B367" s="157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2:26" s="49" customFormat="1" ht="15" customHeight="1">
      <c r="B368" s="157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2:26" s="49" customFormat="1" ht="15" customHeight="1">
      <c r="B369" s="157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2:26" s="49" customFormat="1" ht="15" customHeight="1">
      <c r="B370" s="157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2:26" s="49" customFormat="1" ht="15" customHeight="1">
      <c r="B371" s="157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2:26" s="49" customFormat="1" ht="15" customHeight="1">
      <c r="B372" s="157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2:26" s="49" customFormat="1" ht="15" customHeight="1">
      <c r="B373" s="157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2:26" s="49" customFormat="1" ht="15" customHeight="1">
      <c r="B374" s="157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2:26" s="49" customFormat="1" ht="15" customHeight="1">
      <c r="B375" s="157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2:26" s="49" customFormat="1" ht="15" customHeight="1">
      <c r="B376" s="157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2:26" s="49" customFormat="1" ht="15" customHeight="1">
      <c r="B377" s="157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2:26" s="49" customFormat="1" ht="15" customHeight="1">
      <c r="B378" s="157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2:26" s="49" customFormat="1" ht="15" customHeight="1">
      <c r="B379" s="157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2:26" s="49" customFormat="1" ht="15" customHeight="1">
      <c r="B380" s="157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2:26" s="49" customFormat="1" ht="15" customHeight="1">
      <c r="B381" s="157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2:26" s="49" customFormat="1" ht="15" customHeight="1">
      <c r="B382" s="157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2:26" s="49" customFormat="1" ht="15" customHeight="1">
      <c r="B383" s="157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2:26" s="49" customFormat="1" ht="15" customHeight="1">
      <c r="B384" s="157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2:26" s="49" customFormat="1" ht="15" customHeight="1">
      <c r="B385" s="157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2:26" s="49" customFormat="1" ht="15" customHeight="1">
      <c r="B386" s="157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2:26" s="49" customFormat="1" ht="15" customHeight="1">
      <c r="B387" s="157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2:26" s="49" customFormat="1" ht="15" customHeight="1">
      <c r="B388" s="157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2:26" s="49" customFormat="1" ht="15" customHeight="1">
      <c r="B389" s="157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2:26" s="49" customFormat="1" ht="15" customHeight="1">
      <c r="B390" s="157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2:26" s="49" customFormat="1" ht="15" customHeight="1">
      <c r="B391" s="157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2:26" s="49" customFormat="1" ht="15" customHeight="1">
      <c r="B392" s="157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2:26" s="49" customFormat="1" ht="15" customHeight="1">
      <c r="B393" s="157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2:26" s="49" customFormat="1" ht="15" customHeight="1">
      <c r="B394" s="157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2:26" s="49" customFormat="1" ht="15" customHeight="1">
      <c r="B395" s="157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2:26" s="49" customFormat="1" ht="15" customHeight="1">
      <c r="B396" s="157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2:26" s="49" customFormat="1" ht="15" customHeight="1">
      <c r="B397" s="157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2:26" s="49" customFormat="1" ht="15" customHeight="1">
      <c r="B398" s="157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2:26" s="49" customFormat="1" ht="15" customHeight="1">
      <c r="B399" s="157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2:26" s="49" customFormat="1" ht="15" customHeight="1">
      <c r="B400" s="157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2:26" s="49" customFormat="1" ht="15" customHeight="1">
      <c r="B401" s="157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2:26" s="49" customFormat="1" ht="15" customHeight="1">
      <c r="B402" s="157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2:26" s="49" customFormat="1" ht="15" customHeight="1">
      <c r="B403" s="157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2:26" s="49" customFormat="1" ht="15" customHeight="1">
      <c r="B404" s="157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2:26" s="49" customFormat="1" ht="15" customHeight="1">
      <c r="B405" s="157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2:26" s="49" customFormat="1" ht="15" customHeight="1">
      <c r="B406" s="157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2:26" s="49" customFormat="1" ht="15" customHeight="1">
      <c r="B407" s="157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2:26" s="49" customFormat="1" ht="15" customHeight="1">
      <c r="B408" s="157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2:26" s="49" customFormat="1" ht="15" customHeight="1">
      <c r="B409" s="157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2:26" s="49" customFormat="1" ht="15" customHeight="1">
      <c r="B410" s="157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2:26" s="49" customFormat="1" ht="15" customHeight="1">
      <c r="B411" s="157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2:26" s="49" customFormat="1" ht="15" customHeight="1">
      <c r="B412" s="157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2:26" s="49" customFormat="1" ht="15" customHeight="1">
      <c r="B413" s="157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2:26" s="49" customFormat="1" ht="15" customHeight="1">
      <c r="B414" s="157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2:26" s="49" customFormat="1" ht="15" customHeight="1">
      <c r="B415" s="157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2:26" s="49" customFormat="1" ht="15" customHeight="1">
      <c r="B416" s="157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2:26" s="49" customFormat="1" ht="15" customHeight="1">
      <c r="B417" s="157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2:26" s="49" customFormat="1" ht="15" customHeight="1">
      <c r="B418" s="157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2:26" s="49" customFormat="1" ht="15" customHeight="1">
      <c r="B419" s="157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2:26" s="49" customFormat="1" ht="15" customHeight="1">
      <c r="B420" s="157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2:26" s="49" customFormat="1" ht="15" customHeight="1">
      <c r="B421" s="157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2:26" s="49" customFormat="1" ht="15" customHeight="1">
      <c r="B422" s="157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2:26" s="49" customFormat="1" ht="15" customHeight="1">
      <c r="B423" s="157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2:26" s="49" customFormat="1" ht="15" customHeight="1">
      <c r="B424" s="157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2:26" s="49" customFormat="1" ht="15" customHeight="1">
      <c r="B425" s="157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2:26" s="49" customFormat="1" ht="15" customHeight="1">
      <c r="B426" s="157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2:26" s="49" customFormat="1" ht="15" customHeight="1">
      <c r="B427" s="157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2:26" s="49" customFormat="1" ht="15" customHeight="1">
      <c r="B428" s="157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2:26" s="49" customFormat="1" ht="15" customHeight="1">
      <c r="B429" s="157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2:26" s="49" customFormat="1" ht="15" customHeight="1">
      <c r="B430" s="157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2:26" s="49" customFormat="1" ht="15" customHeight="1">
      <c r="B431" s="157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2:26" s="49" customFormat="1" ht="15" customHeight="1">
      <c r="B432" s="157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2:26" s="49" customFormat="1" ht="15" customHeight="1">
      <c r="B433" s="157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2:26" s="49" customFormat="1" ht="15" customHeight="1">
      <c r="B434" s="157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2:26" s="49" customFormat="1" ht="15" customHeight="1">
      <c r="B435" s="157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2:26" s="49" customFormat="1" ht="15" customHeight="1">
      <c r="B436" s="157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2:26" s="49" customFormat="1" ht="15" customHeight="1">
      <c r="B437" s="157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2:26" s="49" customFormat="1" ht="15" customHeight="1">
      <c r="B438" s="157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2:26" s="49" customFormat="1" ht="15" customHeight="1">
      <c r="B439" s="157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2:26" s="49" customFormat="1" ht="15" customHeight="1">
      <c r="B440" s="157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2:26" s="49" customFormat="1" ht="15" customHeight="1">
      <c r="B441" s="157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2:26" s="49" customFormat="1" ht="15" customHeight="1">
      <c r="B442" s="157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2:26" s="49" customFormat="1" ht="15" customHeight="1">
      <c r="B443" s="157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2:26" s="49" customFormat="1" ht="15" customHeight="1">
      <c r="B444" s="157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2:26" s="49" customFormat="1" ht="15" customHeight="1">
      <c r="B445" s="157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2:26" s="49" customFormat="1" ht="15" customHeight="1">
      <c r="B446" s="157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2:26" s="49" customFormat="1" ht="15" customHeight="1">
      <c r="B447" s="157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2:26" s="49" customFormat="1" ht="15" customHeight="1">
      <c r="B448" s="157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2:26" s="49" customFormat="1" ht="15" customHeight="1">
      <c r="B449" s="157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2:26" s="49" customFormat="1" ht="15" customHeight="1">
      <c r="B450" s="157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2:26" s="49" customFormat="1" ht="15" customHeight="1">
      <c r="B451" s="157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2:26" s="49" customFormat="1" ht="15" customHeight="1">
      <c r="B452" s="157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2:26" s="49" customFormat="1" ht="15" customHeight="1">
      <c r="B453" s="157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2:26" s="49" customFormat="1" ht="15" customHeight="1">
      <c r="B454" s="157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2:26" s="49" customFormat="1" ht="15" customHeight="1">
      <c r="B455" s="157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2:26" s="49" customFormat="1" ht="15" customHeight="1">
      <c r="B456" s="157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2:26" s="49" customFormat="1" ht="15" customHeight="1">
      <c r="B457" s="157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2:26" s="49" customFormat="1" ht="15" customHeight="1">
      <c r="B458" s="157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2:26" s="49" customFormat="1" ht="15" customHeight="1">
      <c r="B459" s="157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2:26" s="49" customFormat="1" ht="15" customHeight="1">
      <c r="B460" s="157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2:26" s="49" customFormat="1" ht="15" customHeight="1">
      <c r="B461" s="157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2:26" s="49" customFormat="1" ht="15" customHeight="1">
      <c r="B462" s="157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2:26" s="49" customFormat="1" ht="15" customHeight="1">
      <c r="B463" s="157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2:26" s="49" customFormat="1" ht="15" customHeight="1">
      <c r="B464" s="157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2:26" s="49" customFormat="1" ht="15" customHeight="1">
      <c r="B465" s="157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2:26" s="49" customFormat="1" ht="15" customHeight="1">
      <c r="B466" s="157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2:26" s="49" customFormat="1" ht="15" customHeight="1">
      <c r="B467" s="157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2:26" s="49" customFormat="1" ht="15" customHeight="1">
      <c r="B468" s="157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2:26" s="49" customFormat="1" ht="15" customHeight="1">
      <c r="B469" s="157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2:26" s="49" customFormat="1" ht="15" customHeight="1">
      <c r="B470" s="157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2:26" s="49" customFormat="1" ht="15" customHeight="1">
      <c r="B471" s="157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2:26" s="49" customFormat="1" ht="15" customHeight="1">
      <c r="B472" s="157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2:26" s="49" customFormat="1" ht="15" customHeight="1">
      <c r="B473" s="157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2:26" s="49" customFormat="1" ht="15" customHeight="1">
      <c r="B474" s="157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2:26" s="49" customFormat="1" ht="15" customHeight="1">
      <c r="B475" s="157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2:26" s="49" customFormat="1" ht="15" customHeight="1">
      <c r="B476" s="157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2:26" s="49" customFormat="1" ht="15" customHeight="1">
      <c r="B477" s="157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2:26" s="49" customFormat="1" ht="15" customHeight="1">
      <c r="B478" s="157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2:26" s="49" customFormat="1" ht="15" customHeight="1">
      <c r="B479" s="157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2:26" s="49" customFormat="1" ht="15" customHeight="1">
      <c r="B480" s="157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2:26" s="49" customFormat="1" ht="15" customHeight="1">
      <c r="B481" s="157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2:26" s="49" customFormat="1" ht="15" customHeight="1">
      <c r="B482" s="157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2:26" s="49" customFormat="1" ht="15" customHeight="1">
      <c r="B483" s="157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2:26" s="49" customFormat="1" ht="15" customHeight="1">
      <c r="B484" s="157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2:26" s="49" customFormat="1" ht="15" customHeight="1">
      <c r="B485" s="157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2:26" s="49" customFormat="1" ht="15" customHeight="1">
      <c r="B486" s="157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2:26" s="49" customFormat="1" ht="15" customHeight="1">
      <c r="B487" s="157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2:26" s="49" customFormat="1" ht="15" customHeight="1">
      <c r="B488" s="157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2:26" s="49" customFormat="1" ht="15" customHeight="1">
      <c r="B489" s="157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2:26" s="49" customFormat="1" ht="15" customHeight="1">
      <c r="B490" s="157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2:26" s="49" customFormat="1" ht="15" customHeight="1">
      <c r="B491" s="157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2:26" s="49" customFormat="1" ht="15" customHeight="1">
      <c r="B492" s="157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2:26" s="49" customFormat="1" ht="15" customHeight="1">
      <c r="B493" s="157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2:26" s="49" customFormat="1" ht="15" customHeight="1">
      <c r="B494" s="157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2:26" s="49" customFormat="1" ht="15" customHeight="1">
      <c r="B495" s="157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2:26" s="49" customFormat="1" ht="15" customHeight="1">
      <c r="B496" s="157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2:26" s="49" customFormat="1" ht="15" customHeight="1">
      <c r="B497" s="157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2:26" s="49" customFormat="1" ht="15" customHeight="1">
      <c r="B498" s="157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2:26" s="49" customFormat="1" ht="15" customHeight="1">
      <c r="B499" s="157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2:26" s="49" customFormat="1" ht="15" customHeight="1">
      <c r="B500" s="157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2:26" s="49" customFormat="1" ht="15" customHeight="1">
      <c r="B501" s="157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2:26" s="49" customFormat="1" ht="15" customHeight="1">
      <c r="B502" s="157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2:26" s="49" customFormat="1" ht="15" customHeight="1">
      <c r="B503" s="157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2:26" s="49" customFormat="1" ht="15" customHeight="1">
      <c r="B504" s="157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2:26" s="49" customFormat="1" ht="15" customHeight="1">
      <c r="B505" s="157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2:26" s="49" customFormat="1" ht="15" customHeight="1">
      <c r="B506" s="157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2:26" s="49" customFormat="1" ht="15" customHeight="1">
      <c r="B507" s="157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2:26" s="49" customFormat="1" ht="15" customHeight="1">
      <c r="B508" s="157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2:26" s="49" customFormat="1" ht="15" customHeight="1">
      <c r="B509" s="157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2:26" s="49" customFormat="1" ht="15" customHeight="1">
      <c r="B510" s="157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2:26" s="49" customFormat="1" ht="15" customHeight="1">
      <c r="B511" s="157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2:26" s="49" customFormat="1" ht="15" customHeight="1">
      <c r="B512" s="157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2:26" s="49" customFormat="1" ht="15" customHeight="1">
      <c r="B513" s="157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2:26" s="49" customFormat="1" ht="15" customHeight="1">
      <c r="B514" s="157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2:26" s="49" customFormat="1" ht="15" customHeight="1">
      <c r="B515" s="157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2:26" s="49" customFormat="1" ht="15" customHeight="1">
      <c r="B516" s="157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2:26" s="49" customFormat="1" ht="15" customHeight="1">
      <c r="B517" s="157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2:26" s="49" customFormat="1" ht="15" customHeight="1">
      <c r="B518" s="157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2:26" s="49" customFormat="1" ht="15" customHeight="1">
      <c r="B519" s="157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2:26" s="49" customFormat="1" ht="15" customHeight="1">
      <c r="B520" s="157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2:26" s="49" customFormat="1" ht="15" customHeight="1">
      <c r="B521" s="157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2:26" s="49" customFormat="1" ht="15" customHeight="1">
      <c r="B522" s="157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2:26" s="49" customFormat="1" ht="15" customHeight="1">
      <c r="B523" s="157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2:26" s="49" customFormat="1" ht="15" customHeight="1">
      <c r="B524" s="157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2:26" s="49" customFormat="1" ht="15" customHeight="1">
      <c r="B525" s="157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2:26" s="49" customFormat="1" ht="15" customHeight="1">
      <c r="B526" s="157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2:26" s="49" customFormat="1" ht="15" customHeight="1">
      <c r="B527" s="157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2:26" s="49" customFormat="1" ht="15" customHeight="1">
      <c r="B528" s="157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2:26" s="49" customFormat="1" ht="15" customHeight="1">
      <c r="B529" s="157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2:26" s="49" customFormat="1" ht="15" customHeight="1">
      <c r="B530" s="157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2:26" s="49" customFormat="1" ht="15" customHeight="1">
      <c r="B531" s="157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2:26" s="49" customFormat="1" ht="15" customHeight="1">
      <c r="B532" s="157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2:26" s="49" customFormat="1" ht="15" customHeight="1">
      <c r="B533" s="157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2:26" s="49" customFormat="1" ht="15" customHeight="1">
      <c r="B534" s="157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2:26" s="49" customFormat="1" ht="15" customHeight="1">
      <c r="B535" s="157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2:26" s="49" customFormat="1" ht="15" customHeight="1">
      <c r="B536" s="157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2:26" s="49" customFormat="1" ht="15" customHeight="1">
      <c r="B537" s="157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2:26" s="49" customFormat="1" ht="15" customHeight="1">
      <c r="B538" s="157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2:26" s="49" customFormat="1" ht="15" customHeight="1">
      <c r="B539" s="157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2:26" s="49" customFormat="1" ht="15" customHeight="1">
      <c r="B540" s="157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2:26" s="49" customFormat="1" ht="15" customHeight="1">
      <c r="B541" s="157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2:26" s="49" customFormat="1" ht="15" customHeight="1">
      <c r="B542" s="157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2:26" s="49" customFormat="1" ht="15" customHeight="1">
      <c r="B543" s="157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2:26" s="49" customFormat="1" ht="15" customHeight="1">
      <c r="B544" s="157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2:26" s="49" customFormat="1" ht="15" customHeight="1">
      <c r="B545" s="157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2:26" s="49" customFormat="1" ht="15" customHeight="1">
      <c r="B546" s="157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2:26" s="49" customFormat="1" ht="15" customHeight="1">
      <c r="B547" s="157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2:26" s="49" customFormat="1" ht="15" customHeight="1">
      <c r="B548" s="157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2:26" s="49" customFormat="1" ht="15" customHeight="1">
      <c r="B549" s="157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2:26" s="49" customFormat="1" ht="15" customHeight="1">
      <c r="B550" s="157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2:26" s="49" customFormat="1" ht="15" customHeight="1">
      <c r="B551" s="157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2:26" s="49" customFormat="1" ht="15" customHeight="1">
      <c r="B552" s="157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2:26" s="49" customFormat="1" ht="15" customHeight="1">
      <c r="B553" s="157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2:26" s="49" customFormat="1" ht="15" customHeight="1">
      <c r="B554" s="157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2:26" s="49" customFormat="1" ht="15" customHeight="1">
      <c r="B555" s="157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2:26" s="49" customFormat="1" ht="15" customHeight="1">
      <c r="B556" s="157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2:26" s="49" customFormat="1" ht="15" customHeight="1">
      <c r="B557" s="157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2:26" s="49" customFormat="1" ht="15" customHeight="1">
      <c r="B558" s="157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2:26" s="49" customFormat="1" ht="15" customHeight="1">
      <c r="B559" s="157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2:26" s="49" customFormat="1" ht="15" customHeight="1">
      <c r="B560" s="157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2:26" s="49" customFormat="1" ht="15" customHeight="1">
      <c r="B561" s="157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2:26" s="49" customFormat="1" ht="15" customHeight="1">
      <c r="B562" s="157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</sheetData>
  <mergeCells count="144">
    <mergeCell ref="B38:K38"/>
    <mergeCell ref="L38:O38"/>
    <mergeCell ref="P38:Z38"/>
    <mergeCell ref="B39:K39"/>
    <mergeCell ref="P39:Z39"/>
    <mergeCell ref="B40:K40"/>
    <mergeCell ref="L40:O40"/>
    <mergeCell ref="P40:Z40"/>
    <mergeCell ref="B41:K41"/>
    <mergeCell ref="P41:Z41"/>
    <mergeCell ref="C35:K35"/>
    <mergeCell ref="L35:O35"/>
    <mergeCell ref="P35:T35"/>
    <mergeCell ref="U35:Z35"/>
    <mergeCell ref="B36:K36"/>
    <mergeCell ref="P36:Z36"/>
    <mergeCell ref="B37:K37"/>
    <mergeCell ref="L37:O37"/>
    <mergeCell ref="P37:Z37"/>
    <mergeCell ref="B32:K32"/>
    <mergeCell ref="L32:O32"/>
    <mergeCell ref="P32:T32"/>
    <mergeCell ref="U32:Z32"/>
    <mergeCell ref="C33:K33"/>
    <mergeCell ref="L33:O33"/>
    <mergeCell ref="P33:T33"/>
    <mergeCell ref="U33:Z33"/>
    <mergeCell ref="C34:K34"/>
    <mergeCell ref="L34:O34"/>
    <mergeCell ref="P34:T34"/>
    <mergeCell ref="U34:Z34"/>
    <mergeCell ref="C29:K29"/>
    <mergeCell ref="L29:O29"/>
    <mergeCell ref="P29:T29"/>
    <mergeCell ref="U29:Z29"/>
    <mergeCell ref="C30:K30"/>
    <mergeCell ref="L30:O30"/>
    <mergeCell ref="P30:T30"/>
    <mergeCell ref="U30:Z30"/>
    <mergeCell ref="C31:K31"/>
    <mergeCell ref="L31:O31"/>
    <mergeCell ref="P31:T31"/>
    <mergeCell ref="U31:Z31"/>
    <mergeCell ref="C26:K26"/>
    <mergeCell ref="L26:O26"/>
    <mergeCell ref="P26:T26"/>
    <mergeCell ref="U26:Z26"/>
    <mergeCell ref="C27:K27"/>
    <mergeCell ref="L27:O27"/>
    <mergeCell ref="P27:T27"/>
    <mergeCell ref="U27:Z27"/>
    <mergeCell ref="B28:K28"/>
    <mergeCell ref="L28:O28"/>
    <mergeCell ref="P28:T28"/>
    <mergeCell ref="U28:Z28"/>
    <mergeCell ref="C23:K23"/>
    <mergeCell ref="L23:O23"/>
    <mergeCell ref="P23:T23"/>
    <mergeCell ref="U23:Z23"/>
    <mergeCell ref="C24:K24"/>
    <mergeCell ref="L24:O24"/>
    <mergeCell ref="P24:T24"/>
    <mergeCell ref="U24:Z24"/>
    <mergeCell ref="C25:K25"/>
    <mergeCell ref="L25:O25"/>
    <mergeCell ref="P25:T25"/>
    <mergeCell ref="U25:Z25"/>
    <mergeCell ref="C20:K20"/>
    <mergeCell ref="L20:O20"/>
    <mergeCell ref="P20:T20"/>
    <mergeCell ref="U20:Z20"/>
    <mergeCell ref="C21:K21"/>
    <mergeCell ref="L21:O21"/>
    <mergeCell ref="P21:T21"/>
    <mergeCell ref="U21:Z21"/>
    <mergeCell ref="P22:T22"/>
    <mergeCell ref="U22:Z22"/>
    <mergeCell ref="P17:T17"/>
    <mergeCell ref="U17:Z17"/>
    <mergeCell ref="C18:K18"/>
    <mergeCell ref="L18:O18"/>
    <mergeCell ref="P18:T18"/>
    <mergeCell ref="U18:Z18"/>
    <mergeCell ref="C19:K19"/>
    <mergeCell ref="L19:O19"/>
    <mergeCell ref="P19:T19"/>
    <mergeCell ref="U19:Z19"/>
    <mergeCell ref="C14:K14"/>
    <mergeCell ref="L14:O14"/>
    <mergeCell ref="P14:T14"/>
    <mergeCell ref="U14:Z14"/>
    <mergeCell ref="C15:K15"/>
    <mergeCell ref="L15:O15"/>
    <mergeCell ref="P15:T15"/>
    <mergeCell ref="U15:Z15"/>
    <mergeCell ref="C16:K16"/>
    <mergeCell ref="L16:O16"/>
    <mergeCell ref="P16:T16"/>
    <mergeCell ref="U16:Z16"/>
    <mergeCell ref="C11:K11"/>
    <mergeCell ref="L11:O11"/>
    <mergeCell ref="P11:T11"/>
    <mergeCell ref="U11:Z11"/>
    <mergeCell ref="B12:K12"/>
    <mergeCell ref="L12:O12"/>
    <mergeCell ref="P12:T12"/>
    <mergeCell ref="U12:Z12"/>
    <mergeCell ref="C13:K13"/>
    <mergeCell ref="L13:O13"/>
    <mergeCell ref="P13:T13"/>
    <mergeCell ref="U13:Z13"/>
    <mergeCell ref="B8:K8"/>
    <mergeCell ref="L8:O8"/>
    <mergeCell ref="P8:T8"/>
    <mergeCell ref="U8:Z8"/>
    <mergeCell ref="C9:K9"/>
    <mergeCell ref="L9:O9"/>
    <mergeCell ref="P9:T9"/>
    <mergeCell ref="U9:Z9"/>
    <mergeCell ref="C10:K10"/>
    <mergeCell ref="L10:O10"/>
    <mergeCell ref="P10:T10"/>
    <mergeCell ref="U10:Z10"/>
    <mergeCell ref="C5:K5"/>
    <mergeCell ref="L5:O5"/>
    <mergeCell ref="P5:T5"/>
    <mergeCell ref="U5:Z5"/>
    <mergeCell ref="C6:K6"/>
    <mergeCell ref="L6:O6"/>
    <mergeCell ref="P6:T6"/>
    <mergeCell ref="U6:Z6"/>
    <mergeCell ref="C7:K7"/>
    <mergeCell ref="L7:O7"/>
    <mergeCell ref="P7:T7"/>
    <mergeCell ref="U7:Z7"/>
    <mergeCell ref="B1:Z1"/>
    <mergeCell ref="B3:K3"/>
    <mergeCell ref="L3:O3"/>
    <mergeCell ref="P3:T3"/>
    <mergeCell ref="U3:Z3"/>
    <mergeCell ref="B4:K4"/>
    <mergeCell ref="L4:O4"/>
    <mergeCell ref="P4:T4"/>
    <mergeCell ref="U4:Z4"/>
  </mergeCells>
  <pageMargins left="0.511811023622047" right="0.511811023622047" top="0.55118110236220497" bottom="0.55118110236220497" header="0.31496062992126" footer="0.31496062992126"/>
  <pageSetup paperSize="9" scale="87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  <pageSetUpPr fitToPage="1"/>
  </sheetPr>
  <dimension ref="A1:Q528"/>
  <sheetViews>
    <sheetView showGridLines="0" workbookViewId="0">
      <selection activeCell="D25" sqref="D25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5.33203125" style="51" customWidth="1"/>
    <col min="4" max="6" width="5.6640625" style="51" customWidth="1"/>
    <col min="7" max="7" width="7.33203125" style="51" customWidth="1"/>
    <col min="8" max="9" width="5.6640625" style="51" customWidth="1"/>
    <col min="10" max="10" width="6.44140625" style="51" customWidth="1"/>
    <col min="11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454" t="s">
        <v>106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31" t="s">
        <v>107</v>
      </c>
      <c r="C3" s="632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587" t="s">
        <v>108</v>
      </c>
      <c r="O3" s="587"/>
      <c r="P3" s="587"/>
      <c r="Q3" s="588"/>
    </row>
    <row r="4" spans="2:17" ht="15" customHeight="1">
      <c r="B4" s="54" t="s">
        <v>109</v>
      </c>
      <c r="C4" s="468" t="s">
        <v>110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633">
        <f>'A.1_Tabla Costes Subrogación'!AA96</f>
        <v>2408908.1789471805</v>
      </c>
      <c r="O4" s="633"/>
      <c r="P4" s="633"/>
      <c r="Q4" s="633"/>
    </row>
    <row r="5" spans="2:17" ht="15" customHeight="1">
      <c r="B5" s="54" t="s">
        <v>111</v>
      </c>
      <c r="C5" s="468" t="s">
        <v>112</v>
      </c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633">
        <f>'A.2_Tabla Costes Nueva Contr'!Z29</f>
        <v>138691.9663509721</v>
      </c>
      <c r="O5" s="633"/>
      <c r="P5" s="633"/>
      <c r="Q5" s="633"/>
    </row>
    <row r="6" spans="2:17" ht="15" customHeight="1">
      <c r="B6" s="54" t="s">
        <v>113</v>
      </c>
      <c r="C6" s="94" t="s">
        <v>114</v>
      </c>
      <c r="D6" s="634">
        <v>8.3000000000000004E-2</v>
      </c>
      <c r="E6" s="635"/>
      <c r="F6" s="635"/>
      <c r="G6" s="635"/>
      <c r="H6" s="635"/>
      <c r="I6" s="635"/>
      <c r="J6" s="635"/>
      <c r="K6" s="635"/>
      <c r="L6" s="635"/>
      <c r="M6" s="636"/>
      <c r="N6" s="633">
        <f>D6*(N4+N5)</f>
        <v>211450.81205974668</v>
      </c>
      <c r="O6" s="633"/>
      <c r="P6" s="633"/>
      <c r="Q6" s="633"/>
    </row>
    <row r="7" spans="2:17" ht="15" customHeight="1">
      <c r="B7" s="54" t="s">
        <v>115</v>
      </c>
      <c r="C7" s="94" t="s">
        <v>116</v>
      </c>
      <c r="D7" s="634">
        <v>0.02</v>
      </c>
      <c r="E7" s="635"/>
      <c r="F7" s="635"/>
      <c r="G7" s="635"/>
      <c r="H7" s="635"/>
      <c r="I7" s="635"/>
      <c r="J7" s="635"/>
      <c r="K7" s="635"/>
      <c r="L7" s="635"/>
      <c r="M7" s="636"/>
      <c r="N7" s="633">
        <f>D7*(N5+N4)</f>
        <v>50952.002905963054</v>
      </c>
      <c r="O7" s="633"/>
      <c r="P7" s="633"/>
      <c r="Q7" s="633"/>
    </row>
    <row r="8" spans="2:17" ht="15" customHeight="1">
      <c r="B8" s="54" t="s">
        <v>117</v>
      </c>
      <c r="C8" s="94" t="s">
        <v>118</v>
      </c>
      <c r="D8" s="634">
        <v>0.08</v>
      </c>
      <c r="E8" s="635"/>
      <c r="F8" s="635"/>
      <c r="G8" s="635"/>
      <c r="H8" s="635"/>
      <c r="I8" s="635"/>
      <c r="J8" s="635"/>
      <c r="K8" s="635"/>
      <c r="L8" s="635"/>
      <c r="M8" s="636"/>
      <c r="N8" s="633">
        <f>D8*(N5+N4)</f>
        <v>203808.01162385222</v>
      </c>
      <c r="O8" s="633"/>
      <c r="P8" s="633"/>
      <c r="Q8" s="633"/>
    </row>
    <row r="9" spans="2:17" ht="32.25" customHeight="1">
      <c r="B9" s="245" t="s">
        <v>119</v>
      </c>
      <c r="C9" s="246" t="s">
        <v>120</v>
      </c>
      <c r="D9" s="637" t="s">
        <v>121</v>
      </c>
      <c r="E9" s="638"/>
      <c r="F9" s="637" t="s">
        <v>122</v>
      </c>
      <c r="G9" s="638"/>
      <c r="H9" s="637" t="s">
        <v>123</v>
      </c>
      <c r="I9" s="638"/>
      <c r="J9" s="637" t="s">
        <v>124</v>
      </c>
      <c r="K9" s="638"/>
      <c r="L9" s="637" t="s">
        <v>125</v>
      </c>
      <c r="M9" s="638"/>
      <c r="N9" s="637" t="s">
        <v>126</v>
      </c>
      <c r="O9" s="639"/>
      <c r="P9" s="639"/>
      <c r="Q9" s="638"/>
    </row>
    <row r="10" spans="2:17" ht="15" customHeight="1">
      <c r="B10" s="247"/>
      <c r="C10" s="248" t="s">
        <v>127</v>
      </c>
      <c r="D10" s="645">
        <f>J21</f>
        <v>58</v>
      </c>
      <c r="E10" s="645"/>
      <c r="F10" s="645">
        <v>8</v>
      </c>
      <c r="G10" s="645"/>
      <c r="H10" s="646">
        <v>5.5</v>
      </c>
      <c r="I10" s="646"/>
      <c r="J10" s="647">
        <f>H10*F10*D10</f>
        <v>2552</v>
      </c>
      <c r="K10" s="647"/>
      <c r="L10" s="648">
        <v>13.59</v>
      </c>
      <c r="M10" s="648"/>
      <c r="N10" s="640">
        <f t="shared" ref="N10" si="0">L10*J10</f>
        <v>34681.68</v>
      </c>
      <c r="O10" s="640"/>
      <c r="P10" s="640"/>
      <c r="Q10" s="640"/>
    </row>
    <row r="11" spans="2:17" ht="15" customHeight="1">
      <c r="B11" s="247"/>
      <c r="C11" s="249" t="s">
        <v>128</v>
      </c>
      <c r="D11" s="641">
        <f>2</f>
        <v>2</v>
      </c>
      <c r="E11" s="641"/>
      <c r="F11" s="641">
        <v>5</v>
      </c>
      <c r="G11" s="641"/>
      <c r="H11" s="642">
        <v>12</v>
      </c>
      <c r="I11" s="642"/>
      <c r="J11" s="643">
        <f>H11*F11*D11</f>
        <v>120</v>
      </c>
      <c r="K11" s="643"/>
      <c r="L11" s="644">
        <v>13.59</v>
      </c>
      <c r="M11" s="644"/>
      <c r="N11" s="633">
        <f t="shared" ref="N11:N15" si="1">L11*J11</f>
        <v>1630.8</v>
      </c>
      <c r="O11" s="633"/>
      <c r="P11" s="633"/>
      <c r="Q11" s="633"/>
    </row>
    <row r="12" spans="2:17" ht="15" customHeight="1">
      <c r="B12" s="247"/>
      <c r="C12" s="248" t="s">
        <v>129</v>
      </c>
      <c r="D12" s="645">
        <v>3</v>
      </c>
      <c r="E12" s="645"/>
      <c r="F12" s="645">
        <v>22</v>
      </c>
      <c r="G12" s="645"/>
      <c r="H12" s="646">
        <v>12</v>
      </c>
      <c r="I12" s="646"/>
      <c r="J12" s="647">
        <f>H12*F12*D12</f>
        <v>792</v>
      </c>
      <c r="K12" s="647"/>
      <c r="L12" s="648">
        <v>13.59</v>
      </c>
      <c r="M12" s="648"/>
      <c r="N12" s="640">
        <f t="shared" si="1"/>
        <v>10763.28</v>
      </c>
      <c r="O12" s="640"/>
      <c r="P12" s="640"/>
      <c r="Q12" s="640"/>
    </row>
    <row r="13" spans="2:17" ht="15" customHeight="1">
      <c r="B13" s="247"/>
      <c r="C13" s="249" t="s">
        <v>130</v>
      </c>
      <c r="D13" s="641">
        <v>3</v>
      </c>
      <c r="E13" s="641"/>
      <c r="F13" s="641">
        <v>22</v>
      </c>
      <c r="G13" s="641"/>
      <c r="H13" s="642">
        <v>12</v>
      </c>
      <c r="I13" s="642"/>
      <c r="J13" s="643">
        <f>H13*F13*D13</f>
        <v>792</v>
      </c>
      <c r="K13" s="643"/>
      <c r="L13" s="644">
        <f>('A.0_Tablas salariales SC'!V12/22)*0.25</f>
        <v>14.325053017727271</v>
      </c>
      <c r="M13" s="644"/>
      <c r="N13" s="649">
        <f t="shared" si="1"/>
        <v>11345.441990039999</v>
      </c>
      <c r="O13" s="649"/>
      <c r="P13" s="649"/>
      <c r="Q13" s="649"/>
    </row>
    <row r="14" spans="2:17" ht="15" customHeight="1">
      <c r="B14" s="247"/>
      <c r="C14" s="248" t="s">
        <v>131</v>
      </c>
      <c r="D14" s="645">
        <v>8</v>
      </c>
      <c r="E14" s="645"/>
      <c r="F14" s="645">
        <v>22</v>
      </c>
      <c r="G14" s="645"/>
      <c r="H14" s="646">
        <v>4</v>
      </c>
      <c r="I14" s="646"/>
      <c r="J14" s="647">
        <f>H14*F14*D14</f>
        <v>704</v>
      </c>
      <c r="K14" s="647"/>
      <c r="L14" s="648">
        <f>('A.0_Tablas salariales SC'!V13/22)*0.25</f>
        <v>14.401374362541667</v>
      </c>
      <c r="M14" s="648"/>
      <c r="N14" s="640">
        <f t="shared" si="1"/>
        <v>10138.567551229333</v>
      </c>
      <c r="O14" s="640"/>
      <c r="P14" s="640"/>
      <c r="Q14" s="640"/>
    </row>
    <row r="15" spans="2:17" ht="15" customHeight="1">
      <c r="B15" s="247"/>
      <c r="C15" s="249" t="s">
        <v>132</v>
      </c>
      <c r="D15" s="650"/>
      <c r="E15" s="650"/>
      <c r="F15" s="650"/>
      <c r="G15" s="650"/>
      <c r="H15" s="651"/>
      <c r="I15" s="651"/>
      <c r="J15" s="643"/>
      <c r="K15" s="643"/>
      <c r="L15" s="644"/>
      <c r="M15" s="644"/>
      <c r="N15" s="633">
        <f t="shared" si="1"/>
        <v>0</v>
      </c>
      <c r="O15" s="633"/>
      <c r="P15" s="633"/>
      <c r="Q15" s="633"/>
    </row>
    <row r="16" spans="2:17" ht="15" customHeight="1">
      <c r="B16" s="247"/>
      <c r="C16" s="250"/>
      <c r="D16" s="251"/>
      <c r="E16" s="252"/>
      <c r="F16" s="252"/>
      <c r="G16" s="252"/>
      <c r="H16" s="253"/>
      <c r="I16" s="253"/>
      <c r="J16" s="253"/>
      <c r="K16" s="253"/>
      <c r="L16" s="253"/>
      <c r="M16" s="253"/>
      <c r="N16" s="598">
        <f>SUM(N10:Q15)</f>
        <v>68559.769541269343</v>
      </c>
      <c r="O16" s="598"/>
      <c r="P16" s="598"/>
      <c r="Q16" s="599"/>
    </row>
    <row r="17" spans="2:17" ht="15" customHeight="1">
      <c r="B17" s="577" t="s">
        <v>133</v>
      </c>
      <c r="C17" s="577"/>
      <c r="D17" s="56"/>
      <c r="E17" s="57"/>
      <c r="F17" s="57"/>
      <c r="G17" s="57"/>
      <c r="H17" s="58"/>
      <c r="I17" s="58"/>
      <c r="J17" s="58"/>
      <c r="K17" s="58"/>
      <c r="L17" s="58"/>
      <c r="M17" s="58"/>
      <c r="N17" s="627">
        <f>N4+N5+N6+N7+N8+N16</f>
        <v>3082370.7414289839</v>
      </c>
      <c r="O17" s="627"/>
      <c r="P17" s="627"/>
      <c r="Q17" s="627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75" t="s">
        <v>134</v>
      </c>
      <c r="D19" s="254">
        <v>2023</v>
      </c>
      <c r="E19" s="51"/>
      <c r="F19" s="75" t="s">
        <v>135</v>
      </c>
      <c r="G19" s="75"/>
      <c r="H19" s="75"/>
      <c r="I19" s="75"/>
      <c r="J19" s="75" t="s">
        <v>56</v>
      </c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75" t="s">
        <v>136</v>
      </c>
      <c r="D20" s="254">
        <v>2027</v>
      </c>
      <c r="E20" s="51"/>
      <c r="F20" s="75"/>
      <c r="G20" s="75" t="s">
        <v>137</v>
      </c>
      <c r="H20" s="75"/>
      <c r="I20" s="75"/>
      <c r="J20" s="75">
        <f>SUM('A.1_Tabla Costes Subrogación'!A5:A7)+SUM('A.2_Tabla Costes Nueva Contr'!A5:A6)</f>
        <v>5</v>
      </c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75"/>
      <c r="G21" s="75" t="s">
        <v>138</v>
      </c>
      <c r="H21" s="75"/>
      <c r="I21" s="75"/>
      <c r="J21" s="75">
        <f>SUM('A.1_Tabla Costes Subrogación'!A9:A64)+SUM('A.2_Tabla Costes Nueva Contr'!A8:A11)</f>
        <v>58</v>
      </c>
      <c r="K21" s="51"/>
      <c r="L21" s="51"/>
      <c r="M21" s="51"/>
      <c r="N21" s="51"/>
      <c r="O21" s="185"/>
      <c r="P21" s="51"/>
      <c r="Q21" s="51"/>
    </row>
    <row r="22" spans="2:17" s="49" customFormat="1" ht="15" customHeight="1">
      <c r="B22" s="50"/>
      <c r="C22" s="51"/>
      <c r="D22" s="51"/>
      <c r="E22" s="51"/>
      <c r="F22" s="75"/>
      <c r="G22" s="75" t="s">
        <v>139</v>
      </c>
      <c r="H22" s="75"/>
      <c r="I22" s="75"/>
      <c r="J22" s="75">
        <f>SUM('A.1_Tabla Costes Subrogación'!A66:A69)+SUM('A.2_Tabla Costes Nueva Contr'!A13:A14)</f>
        <v>3</v>
      </c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75"/>
      <c r="G23" s="75" t="s">
        <v>140</v>
      </c>
      <c r="H23" s="75"/>
      <c r="I23" s="75"/>
      <c r="J23" s="75">
        <f>SUM('A.1_Tabla Costes Subrogación'!A71:A84)+SUM('A.2_Tabla Costes Nueva Contr'!A16:A20)</f>
        <v>12</v>
      </c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75"/>
      <c r="G24" s="75" t="s">
        <v>141</v>
      </c>
      <c r="H24" s="75"/>
      <c r="I24" s="75"/>
      <c r="J24" s="75">
        <f>SUM('A.1_Tabla Costes Subrogación'!A86:A87)+'A.2_Tabla Costes Nueva Contr'!A22</f>
        <v>2</v>
      </c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75"/>
      <c r="G25" s="75" t="s">
        <v>142</v>
      </c>
      <c r="H25" s="75"/>
      <c r="I25" s="75"/>
      <c r="J25" s="75">
        <f>SUM('A.1_Tabla Costes Subrogación'!A89:A91)+SUM('A.2_Tabla Costes Nueva Contr'!A24)</f>
        <v>2</v>
      </c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75"/>
      <c r="G26" s="75" t="s">
        <v>143</v>
      </c>
      <c r="H26" s="75"/>
      <c r="I26" s="75"/>
      <c r="J26" s="75">
        <f>SUM('A.1_Tabla Costes Subrogación'!A93)+'A.2_Tabla Costes Nueva Contr'!A26</f>
        <v>1</v>
      </c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75" t="s">
        <v>56</v>
      </c>
      <c r="G27" s="75"/>
      <c r="H27" s="75"/>
      <c r="I27" s="75"/>
      <c r="J27" s="75">
        <f>SUM(J20:J26)</f>
        <v>83</v>
      </c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  <row r="512" spans="2:17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</row>
    <row r="513" spans="2:17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</row>
    <row r="514" spans="2:17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2:17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</row>
    <row r="516" spans="2:17" s="49" customFormat="1" ht="15" customHeight="1">
      <c r="B516" s="50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</row>
    <row r="517" spans="2:17" s="49" customFormat="1" ht="15" customHeight="1">
      <c r="B517" s="50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</row>
    <row r="518" spans="2:17" s="49" customFormat="1" ht="15" customHeight="1">
      <c r="B518" s="50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</row>
    <row r="519" spans="2:17" s="49" customFormat="1" ht="15" customHeight="1">
      <c r="B519" s="50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</row>
    <row r="520" spans="2:17" s="49" customFormat="1" ht="15" customHeight="1">
      <c r="B520" s="50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</row>
    <row r="521" spans="2:17" s="49" customFormat="1" ht="15" customHeight="1">
      <c r="B521" s="50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</row>
    <row r="522" spans="2:17" s="49" customFormat="1" ht="15" customHeight="1">
      <c r="B522" s="50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</row>
    <row r="523" spans="2:17" s="49" customFormat="1" ht="15" customHeight="1">
      <c r="B523" s="50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</row>
    <row r="524" spans="2:17" s="49" customFormat="1" ht="15" customHeight="1">
      <c r="B524" s="50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</row>
    <row r="525" spans="2:17" s="49" customFormat="1" ht="15" customHeight="1">
      <c r="B525" s="50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</row>
    <row r="526" spans="2:17" s="49" customFormat="1" ht="15" customHeight="1">
      <c r="B526" s="50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</row>
    <row r="527" spans="2:17" s="49" customFormat="1" ht="15" customHeight="1">
      <c r="B527" s="50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</row>
    <row r="528" spans="2:17" s="49" customFormat="1" ht="15" customHeight="1">
      <c r="B528" s="50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</row>
  </sheetData>
  <mergeCells count="58">
    <mergeCell ref="N16:Q16"/>
    <mergeCell ref="B17:C17"/>
    <mergeCell ref="N17:Q17"/>
    <mergeCell ref="N14:Q14"/>
    <mergeCell ref="D15:E15"/>
    <mergeCell ref="F15:G15"/>
    <mergeCell ref="H15:I15"/>
    <mergeCell ref="J15:K15"/>
    <mergeCell ref="L15:M15"/>
    <mergeCell ref="N15:Q15"/>
    <mergeCell ref="D14:E14"/>
    <mergeCell ref="F14:G14"/>
    <mergeCell ref="H14:I14"/>
    <mergeCell ref="J14:K14"/>
    <mergeCell ref="L14:M14"/>
    <mergeCell ref="N12:Q12"/>
    <mergeCell ref="D13:E13"/>
    <mergeCell ref="F13:G13"/>
    <mergeCell ref="H13:I13"/>
    <mergeCell ref="J13:K13"/>
    <mergeCell ref="L13:M13"/>
    <mergeCell ref="N13:Q13"/>
    <mergeCell ref="D12:E12"/>
    <mergeCell ref="F12:G12"/>
    <mergeCell ref="H12:I12"/>
    <mergeCell ref="J12:K12"/>
    <mergeCell ref="L12:M12"/>
    <mergeCell ref="N10:Q10"/>
    <mergeCell ref="D11:E11"/>
    <mergeCell ref="F11:G11"/>
    <mergeCell ref="H11:I11"/>
    <mergeCell ref="J11:K11"/>
    <mergeCell ref="L11:M11"/>
    <mergeCell ref="N11:Q11"/>
    <mergeCell ref="D10:E10"/>
    <mergeCell ref="F10:G10"/>
    <mergeCell ref="H10:I10"/>
    <mergeCell ref="J10:K10"/>
    <mergeCell ref="L10:M10"/>
    <mergeCell ref="D8:M8"/>
    <mergeCell ref="N8:Q8"/>
    <mergeCell ref="D9:E9"/>
    <mergeCell ref="F9:G9"/>
    <mergeCell ref="H9:I9"/>
    <mergeCell ref="J9:K9"/>
    <mergeCell ref="L9:M9"/>
    <mergeCell ref="N9:Q9"/>
    <mergeCell ref="C5:M5"/>
    <mergeCell ref="N5:Q5"/>
    <mergeCell ref="D6:M6"/>
    <mergeCell ref="N6:Q6"/>
    <mergeCell ref="D7:M7"/>
    <mergeCell ref="N7:Q7"/>
    <mergeCell ref="B1:Q1"/>
    <mergeCell ref="B3:C3"/>
    <mergeCell ref="N3:Q3"/>
    <mergeCell ref="C4:M4"/>
    <mergeCell ref="N4:Q4"/>
  </mergeCells>
  <pageMargins left="0.511811023622047" right="0.511811023622047" top="0.55118110236220497" bottom="0.55118110236220497" header="0.31496062992126" footer="0.31496062992126"/>
  <pageSetup paperSize="9" scale="71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B1:AC190"/>
  <sheetViews>
    <sheetView zoomScale="70" zoomScaleNormal="70" workbookViewId="0">
      <selection activeCell="J145" sqref="J145"/>
    </sheetView>
  </sheetViews>
  <sheetFormatPr baseColWidth="10" defaultColWidth="11.44140625" defaultRowHeight="14.4" outlineLevelRow="1" outlineLevelCol="1"/>
  <cols>
    <col min="1" max="1" width="3.6640625" style="13" customWidth="1"/>
    <col min="2" max="2" width="6.33203125" style="13" customWidth="1"/>
    <col min="3" max="3" width="40.44140625" style="13" customWidth="1"/>
    <col min="4" max="4" width="15.44140625" style="13" customWidth="1"/>
    <col min="5" max="5" width="14.33203125" style="13" customWidth="1"/>
    <col min="6" max="6" width="16.5546875" style="13" customWidth="1"/>
    <col min="7" max="7" width="13.6640625" style="13" customWidth="1"/>
    <col min="8" max="8" width="4.109375" style="13" customWidth="1"/>
    <col min="9" max="9" width="13.44140625" style="15" customWidth="1"/>
    <col min="10" max="10" width="14.109375" style="15" customWidth="1"/>
    <col min="11" max="12" width="11.5546875" style="15" customWidth="1"/>
    <col min="13" max="13" width="11.5546875" style="13" customWidth="1"/>
    <col min="14" max="15" width="11.5546875" style="15" customWidth="1"/>
    <col min="16" max="16" width="11.44140625" style="15" customWidth="1" outlineLevel="1"/>
    <col min="17" max="17" width="11.44140625" style="15"/>
    <col min="18" max="16384" width="11.44140625" style="13"/>
  </cols>
  <sheetData>
    <row r="1" spans="2:29">
      <c r="I1" s="224"/>
    </row>
    <row r="2" spans="2:29" s="83" customFormat="1">
      <c r="B2" s="652" t="s">
        <v>144</v>
      </c>
      <c r="C2" s="652"/>
      <c r="D2" s="652"/>
      <c r="E2" s="652"/>
      <c r="F2" s="652"/>
      <c r="G2" s="652"/>
      <c r="H2" s="203"/>
      <c r="I2" s="653" t="s">
        <v>145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653"/>
    </row>
    <row r="3" spans="2:29" ht="5.25" customHeight="1">
      <c r="I3" s="225"/>
    </row>
    <row r="4" spans="2:29" ht="15" customHeight="1">
      <c r="B4" s="654" t="s">
        <v>146</v>
      </c>
      <c r="C4" s="654"/>
      <c r="D4" s="654"/>
      <c r="E4" s="654"/>
      <c r="F4" s="654"/>
      <c r="G4" s="654"/>
      <c r="H4" s="204"/>
      <c r="I4" s="655" t="s">
        <v>147</v>
      </c>
      <c r="J4" s="655"/>
      <c r="K4" s="655"/>
      <c r="L4" s="655"/>
      <c r="M4" s="655"/>
      <c r="N4" s="655"/>
      <c r="O4" s="655"/>
      <c r="P4" s="655"/>
      <c r="Q4" s="655"/>
      <c r="R4" s="655"/>
      <c r="T4" s="655" t="s">
        <v>148</v>
      </c>
      <c r="U4" s="655"/>
      <c r="V4" s="655"/>
      <c r="W4" s="655"/>
      <c r="X4" s="655"/>
      <c r="Y4" s="655"/>
      <c r="Z4" s="655"/>
      <c r="AA4" s="655"/>
      <c r="AB4" s="655"/>
      <c r="AC4" s="655"/>
    </row>
    <row r="5" spans="2:29" ht="13.5" customHeight="1">
      <c r="B5" s="205" t="s">
        <v>149</v>
      </c>
      <c r="C5" s="205"/>
      <c r="D5" s="205">
        <v>2021</v>
      </c>
      <c r="E5" s="205">
        <v>2022</v>
      </c>
      <c r="F5" s="205">
        <v>2023</v>
      </c>
      <c r="G5" s="205">
        <v>2024</v>
      </c>
      <c r="I5" s="226"/>
      <c r="J5" s="226"/>
      <c r="M5" s="227"/>
      <c r="N5" s="228"/>
      <c r="O5" s="228"/>
      <c r="P5" s="228"/>
      <c r="Q5" s="228"/>
      <c r="T5" s="226"/>
      <c r="U5" s="226"/>
      <c r="V5" s="15"/>
      <c r="W5" s="15"/>
      <c r="X5" s="227"/>
      <c r="Y5" s="228"/>
      <c r="Z5" s="228"/>
      <c r="AA5" s="228"/>
      <c r="AB5" s="228"/>
    </row>
    <row r="6" spans="2:29" ht="13.5" customHeight="1">
      <c r="B6" s="662" t="s">
        <v>150</v>
      </c>
      <c r="C6" s="206" t="s">
        <v>151</v>
      </c>
      <c r="D6" s="207">
        <v>933.34</v>
      </c>
      <c r="E6" s="207">
        <v>933.34</v>
      </c>
      <c r="F6" s="207">
        <v>933.34</v>
      </c>
      <c r="G6" s="208">
        <v>933.34</v>
      </c>
      <c r="H6" s="209"/>
      <c r="I6" s="226"/>
      <c r="J6" s="226"/>
      <c r="N6" s="229">
        <v>2</v>
      </c>
      <c r="O6" s="230"/>
      <c r="P6" s="228"/>
      <c r="Q6" s="230"/>
      <c r="T6" s="226"/>
      <c r="U6" s="226"/>
      <c r="V6" s="15"/>
      <c r="W6" s="15"/>
      <c r="Y6" s="229">
        <v>2</v>
      </c>
      <c r="Z6" s="230"/>
      <c r="AA6" s="228"/>
      <c r="AB6" s="230"/>
    </row>
    <row r="7" spans="2:29" ht="13.5" customHeight="1">
      <c r="B7" s="663"/>
      <c r="C7" s="83" t="s">
        <v>137</v>
      </c>
      <c r="D7" s="210">
        <v>1040.8900000000001</v>
      </c>
      <c r="E7" s="210">
        <v>1069.23</v>
      </c>
      <c r="F7" s="210">
        <v>1097.56</v>
      </c>
      <c r="G7" s="211">
        <v>1125.8900000000001</v>
      </c>
      <c r="H7" s="209"/>
      <c r="I7" s="656" t="s">
        <v>152</v>
      </c>
      <c r="J7" s="656"/>
      <c r="K7" s="286" t="s">
        <v>153</v>
      </c>
      <c r="L7" s="287" t="s">
        <v>154</v>
      </c>
      <c r="M7" s="287" t="s">
        <v>155</v>
      </c>
      <c r="N7" s="287" t="s">
        <v>156</v>
      </c>
      <c r="O7" s="287" t="s">
        <v>157</v>
      </c>
      <c r="P7" s="287" t="s">
        <v>158</v>
      </c>
      <c r="Q7" s="230"/>
      <c r="T7" s="656" t="s">
        <v>152</v>
      </c>
      <c r="U7" s="656"/>
      <c r="V7" s="286" t="s">
        <v>153</v>
      </c>
      <c r="W7" s="287" t="s">
        <v>154</v>
      </c>
      <c r="X7" s="287" t="s">
        <v>155</v>
      </c>
      <c r="Y7" s="287" t="s">
        <v>156</v>
      </c>
      <c r="Z7" s="287" t="s">
        <v>157</v>
      </c>
      <c r="AA7" s="287" t="s">
        <v>158</v>
      </c>
      <c r="AB7" s="230"/>
    </row>
    <row r="8" spans="2:29" ht="13.5" customHeight="1">
      <c r="B8" s="663"/>
      <c r="C8" s="212" t="s">
        <v>138</v>
      </c>
      <c r="D8" s="213">
        <v>1105.32</v>
      </c>
      <c r="E8" s="213">
        <v>1133.6600000000001</v>
      </c>
      <c r="F8" s="213">
        <v>1161.99</v>
      </c>
      <c r="G8" s="214">
        <v>1190.32</v>
      </c>
      <c r="H8" s="209"/>
      <c r="I8" s="657" t="s">
        <v>151</v>
      </c>
      <c r="J8" s="658"/>
      <c r="K8" s="207">
        <v>933.34</v>
      </c>
      <c r="L8" s="31">
        <v>34.71</v>
      </c>
      <c r="M8" s="31">
        <v>115.69</v>
      </c>
      <c r="N8" s="231">
        <f t="shared" ref="N8:N28" si="0">K8*$N$6</f>
        <v>1866.68</v>
      </c>
      <c r="O8" s="231">
        <f>K8</f>
        <v>933.34</v>
      </c>
      <c r="P8" s="231">
        <v>450</v>
      </c>
      <c r="Q8" s="230"/>
      <c r="T8" s="657" t="s">
        <v>151</v>
      </c>
      <c r="U8" s="658"/>
      <c r="V8" s="207">
        <f>(K8+K36+K64+K92+K120+K148)/6</f>
        <v>957.03377546226659</v>
      </c>
      <c r="W8" s="240">
        <f t="shared" ref="W8:AA8" si="1">(L8+L36+L64+L92+L120+L148)/6</f>
        <v>35.593333333333334</v>
      </c>
      <c r="X8" s="31">
        <f t="shared" si="1"/>
        <v>118.63</v>
      </c>
      <c r="Y8" s="231">
        <f t="shared" si="1"/>
        <v>1914.0675509245332</v>
      </c>
      <c r="Z8" s="231">
        <f t="shared" si="1"/>
        <v>957.03377546226659</v>
      </c>
      <c r="AA8" s="231">
        <f t="shared" si="1"/>
        <v>461.42333333333335</v>
      </c>
      <c r="AB8" s="230"/>
    </row>
    <row r="9" spans="2:29" ht="14.25" customHeight="1">
      <c r="B9" s="663"/>
      <c r="C9" s="83" t="s">
        <v>159</v>
      </c>
      <c r="D9" s="210">
        <v>1105.3399999999999</v>
      </c>
      <c r="E9" s="210">
        <v>1133.68</v>
      </c>
      <c r="F9" s="210">
        <v>1162.01</v>
      </c>
      <c r="G9" s="211">
        <v>1190.3399999999999</v>
      </c>
      <c r="H9" s="209"/>
      <c r="I9" s="659" t="s">
        <v>137</v>
      </c>
      <c r="J9" s="660"/>
      <c r="K9" s="210">
        <v>1097.56</v>
      </c>
      <c r="L9" s="9">
        <v>34.71</v>
      </c>
      <c r="M9" s="9">
        <v>115.69</v>
      </c>
      <c r="N9" s="232">
        <f t="shared" si="0"/>
        <v>2195.12</v>
      </c>
      <c r="O9" s="232">
        <f t="shared" ref="O9:O28" si="2">K9</f>
        <v>1097.56</v>
      </c>
      <c r="P9" s="232">
        <v>450</v>
      </c>
      <c r="Q9" s="230"/>
      <c r="T9" s="659" t="s">
        <v>137</v>
      </c>
      <c r="U9" s="660"/>
      <c r="V9" s="210">
        <f t="shared" ref="V9:V28" si="3">(K9+K37+K65+K93+K121+K149)/6</f>
        <v>1149.7501843792668</v>
      </c>
      <c r="W9" s="241">
        <f t="shared" ref="W9:W28" si="4">(L9+L37+L65+L93+L121+L149)/6</f>
        <v>35.593333333333334</v>
      </c>
      <c r="X9" s="9">
        <f t="shared" ref="X9:X28" si="5">(M9+M37+M65+M93+M121+M149)/6</f>
        <v>118.63</v>
      </c>
      <c r="Y9" s="232">
        <f t="shared" ref="Y9:Y28" si="6">(N9+N37+N65+N93+N121+N149)/6</f>
        <v>2299.5003687585336</v>
      </c>
      <c r="Z9" s="232">
        <f t="shared" ref="Z9:Z28" si="7">(O9+O37+O65+O93+O121+O149)/6</f>
        <v>1149.7501843792668</v>
      </c>
      <c r="AA9" s="232">
        <f t="shared" ref="AA9:AA28" si="8">(P9+P37+P65+P93+P121+P149)/6</f>
        <v>461.42333333333335</v>
      </c>
      <c r="AB9" s="230"/>
    </row>
    <row r="10" spans="2:29">
      <c r="B10" s="663"/>
      <c r="C10" s="212" t="s">
        <v>160</v>
      </c>
      <c r="D10" s="213">
        <v>1149</v>
      </c>
      <c r="E10" s="213">
        <v>1177.3699999999999</v>
      </c>
      <c r="F10" s="213">
        <v>1205.67</v>
      </c>
      <c r="G10" s="214">
        <v>1234</v>
      </c>
      <c r="H10" s="209"/>
      <c r="I10" s="657" t="s">
        <v>138</v>
      </c>
      <c r="J10" s="658"/>
      <c r="K10" s="213">
        <v>1161.99</v>
      </c>
      <c r="L10" s="31">
        <v>34.71</v>
      </c>
      <c r="M10" s="31">
        <v>115.69</v>
      </c>
      <c r="N10" s="231">
        <f t="shared" si="0"/>
        <v>2323.98</v>
      </c>
      <c r="O10" s="231">
        <f t="shared" si="2"/>
        <v>1161.99</v>
      </c>
      <c r="P10" s="231">
        <v>450</v>
      </c>
      <c r="Q10" s="230"/>
      <c r="T10" s="657" t="s">
        <v>138</v>
      </c>
      <c r="U10" s="658"/>
      <c r="V10" s="213">
        <f t="shared" si="3"/>
        <v>1215.8158047887998</v>
      </c>
      <c r="W10" s="240">
        <f t="shared" si="4"/>
        <v>35.593333333333334</v>
      </c>
      <c r="X10" s="31">
        <f t="shared" si="5"/>
        <v>118.63</v>
      </c>
      <c r="Y10" s="231">
        <f t="shared" si="6"/>
        <v>2431.6316095775996</v>
      </c>
      <c r="Z10" s="231">
        <f t="shared" si="7"/>
        <v>1215.8158047887998</v>
      </c>
      <c r="AA10" s="231">
        <f t="shared" si="8"/>
        <v>461.42333333333335</v>
      </c>
      <c r="AB10" s="230"/>
    </row>
    <row r="11" spans="2:29">
      <c r="B11" s="663"/>
      <c r="C11" s="83" t="s">
        <v>139</v>
      </c>
      <c r="D11" s="210">
        <v>1155.55</v>
      </c>
      <c r="E11" s="210">
        <v>1183.8900000000001</v>
      </c>
      <c r="F11" s="210">
        <v>1212.22</v>
      </c>
      <c r="G11" s="211">
        <v>1240.55</v>
      </c>
      <c r="H11" s="209"/>
      <c r="I11" s="659" t="s">
        <v>159</v>
      </c>
      <c r="J11" s="660"/>
      <c r="K11" s="210">
        <v>1162.01</v>
      </c>
      <c r="L11" s="9">
        <v>34.71</v>
      </c>
      <c r="M11" s="9">
        <v>115.69</v>
      </c>
      <c r="N11" s="232">
        <f t="shared" si="0"/>
        <v>2324.02</v>
      </c>
      <c r="O11" s="232">
        <f t="shared" si="2"/>
        <v>1162.01</v>
      </c>
      <c r="P11" s="232">
        <v>450</v>
      </c>
      <c r="Q11" s="230"/>
      <c r="T11" s="659" t="s">
        <v>159</v>
      </c>
      <c r="U11" s="660"/>
      <c r="V11" s="210">
        <f t="shared" si="3"/>
        <v>1215.8363125089334</v>
      </c>
      <c r="W11" s="241">
        <f t="shared" si="4"/>
        <v>35.593333333333334</v>
      </c>
      <c r="X11" s="9">
        <f t="shared" si="5"/>
        <v>118.63</v>
      </c>
      <c r="Y11" s="232">
        <f t="shared" si="6"/>
        <v>2431.6726250178667</v>
      </c>
      <c r="Z11" s="232">
        <f t="shared" si="7"/>
        <v>1215.8363125089334</v>
      </c>
      <c r="AA11" s="232">
        <f t="shared" si="8"/>
        <v>461.42333333333335</v>
      </c>
      <c r="AB11" s="230"/>
    </row>
    <row r="12" spans="2:29">
      <c r="B12" s="663"/>
      <c r="C12" s="212" t="s">
        <v>161</v>
      </c>
      <c r="D12" s="213">
        <v>1219.98</v>
      </c>
      <c r="E12" s="213">
        <v>1248.32</v>
      </c>
      <c r="F12" s="213">
        <v>1276.6500000000001</v>
      </c>
      <c r="G12" s="214">
        <v>1304.98</v>
      </c>
      <c r="H12" s="209"/>
      <c r="I12" s="657" t="s">
        <v>160</v>
      </c>
      <c r="J12" s="658"/>
      <c r="K12" s="213">
        <v>1205.67</v>
      </c>
      <c r="L12" s="31">
        <v>34.71</v>
      </c>
      <c r="M12" s="31">
        <v>115.69</v>
      </c>
      <c r="N12" s="231">
        <f t="shared" si="0"/>
        <v>2411.34</v>
      </c>
      <c r="O12" s="231">
        <f t="shared" si="2"/>
        <v>1205.67</v>
      </c>
      <c r="P12" s="231">
        <v>450</v>
      </c>
      <c r="Q12" s="230"/>
      <c r="T12" s="657" t="s">
        <v>160</v>
      </c>
      <c r="U12" s="658"/>
      <c r="V12" s="213">
        <f t="shared" si="3"/>
        <v>1260.6046655599998</v>
      </c>
      <c r="W12" s="240">
        <f t="shared" si="4"/>
        <v>35.593333333333334</v>
      </c>
      <c r="X12" s="31">
        <f t="shared" si="5"/>
        <v>118.63</v>
      </c>
      <c r="Y12" s="231">
        <f t="shared" si="6"/>
        <v>2521.2093311199997</v>
      </c>
      <c r="Z12" s="231">
        <f t="shared" si="7"/>
        <v>1260.6046655599998</v>
      </c>
      <c r="AA12" s="231">
        <f t="shared" si="8"/>
        <v>461.42333333333335</v>
      </c>
      <c r="AB12" s="230"/>
    </row>
    <row r="13" spans="2:29">
      <c r="B13" s="663"/>
      <c r="C13" s="83" t="s">
        <v>162</v>
      </c>
      <c r="D13" s="210">
        <v>1219.98</v>
      </c>
      <c r="E13" s="210">
        <v>1248.32</v>
      </c>
      <c r="F13" s="210">
        <v>1276.6500000000001</v>
      </c>
      <c r="G13" s="211">
        <v>1304.98</v>
      </c>
      <c r="H13" s="209"/>
      <c r="I13" s="659" t="s">
        <v>139</v>
      </c>
      <c r="J13" s="660"/>
      <c r="K13" s="210">
        <v>1212.22</v>
      </c>
      <c r="L13" s="9">
        <v>34.71</v>
      </c>
      <c r="M13" s="9">
        <v>115.69</v>
      </c>
      <c r="N13" s="232">
        <f t="shared" si="0"/>
        <v>2424.44</v>
      </c>
      <c r="O13" s="232">
        <f t="shared" si="2"/>
        <v>1212.22</v>
      </c>
      <c r="P13" s="232">
        <v>450</v>
      </c>
      <c r="Q13" s="230"/>
      <c r="T13" s="659" t="s">
        <v>139</v>
      </c>
      <c r="U13" s="660"/>
      <c r="V13" s="210">
        <f t="shared" si="3"/>
        <v>1267.3209439036666</v>
      </c>
      <c r="W13" s="241">
        <f t="shared" si="4"/>
        <v>35.593333333333334</v>
      </c>
      <c r="X13" s="9">
        <f t="shared" si="5"/>
        <v>118.63</v>
      </c>
      <c r="Y13" s="232">
        <f t="shared" si="6"/>
        <v>2534.6418878073332</v>
      </c>
      <c r="Z13" s="232">
        <f t="shared" si="7"/>
        <v>1267.3209439036666</v>
      </c>
      <c r="AA13" s="232">
        <f t="shared" si="8"/>
        <v>461.42333333333335</v>
      </c>
      <c r="AB13" s="230"/>
    </row>
    <row r="14" spans="2:29">
      <c r="B14" s="663"/>
      <c r="C14" s="212" t="s">
        <v>163</v>
      </c>
      <c r="D14" s="213">
        <v>1278.97</v>
      </c>
      <c r="E14" s="213">
        <v>1307.31</v>
      </c>
      <c r="F14" s="213">
        <v>1335.64</v>
      </c>
      <c r="G14" s="214">
        <v>1363.97</v>
      </c>
      <c r="H14" s="209"/>
      <c r="I14" s="657" t="s">
        <v>161</v>
      </c>
      <c r="J14" s="658"/>
      <c r="K14" s="213">
        <v>1276.6500000000001</v>
      </c>
      <c r="L14" s="31">
        <v>34.71</v>
      </c>
      <c r="M14" s="31">
        <v>115.69</v>
      </c>
      <c r="N14" s="231">
        <f t="shared" si="0"/>
        <v>2553.3000000000002</v>
      </c>
      <c r="O14" s="231">
        <f t="shared" si="2"/>
        <v>1276.6500000000001</v>
      </c>
      <c r="P14" s="231">
        <v>450</v>
      </c>
      <c r="Q14" s="230"/>
      <c r="T14" s="657" t="s">
        <v>161</v>
      </c>
      <c r="U14" s="658"/>
      <c r="V14" s="213">
        <f t="shared" si="3"/>
        <v>1333.3865643132001</v>
      </c>
      <c r="W14" s="240">
        <f t="shared" si="4"/>
        <v>35.593333333333334</v>
      </c>
      <c r="X14" s="31">
        <f t="shared" si="5"/>
        <v>118.63</v>
      </c>
      <c r="Y14" s="231">
        <f t="shared" si="6"/>
        <v>2666.7731286264002</v>
      </c>
      <c r="Z14" s="231">
        <f t="shared" si="7"/>
        <v>1333.3865643132001</v>
      </c>
      <c r="AA14" s="231">
        <f t="shared" si="8"/>
        <v>461.42333333333335</v>
      </c>
      <c r="AB14" s="230"/>
    </row>
    <row r="15" spans="2:29">
      <c r="B15" s="664"/>
      <c r="C15" s="215" t="s">
        <v>164</v>
      </c>
      <c r="D15" s="216">
        <v>1278.97</v>
      </c>
      <c r="E15" s="216">
        <v>1307.31</v>
      </c>
      <c r="F15" s="216">
        <v>1335.64</v>
      </c>
      <c r="G15" s="217">
        <v>1363.97</v>
      </c>
      <c r="H15" s="209"/>
      <c r="I15" s="659" t="s">
        <v>162</v>
      </c>
      <c r="J15" s="660"/>
      <c r="K15" s="210">
        <v>1276.6500000000001</v>
      </c>
      <c r="L15" s="9">
        <v>34.71</v>
      </c>
      <c r="M15" s="9">
        <v>115.69</v>
      </c>
      <c r="N15" s="232">
        <f t="shared" si="0"/>
        <v>2553.3000000000002</v>
      </c>
      <c r="O15" s="232">
        <f t="shared" si="2"/>
        <v>1276.6500000000001</v>
      </c>
      <c r="P15" s="232">
        <v>450</v>
      </c>
      <c r="Q15" s="230"/>
      <c r="T15" s="659" t="s">
        <v>162</v>
      </c>
      <c r="U15" s="660"/>
      <c r="V15" s="210">
        <f t="shared" si="3"/>
        <v>1333.3865643132001</v>
      </c>
      <c r="W15" s="241">
        <f t="shared" si="4"/>
        <v>35.593333333333334</v>
      </c>
      <c r="X15" s="9">
        <f t="shared" si="5"/>
        <v>118.63</v>
      </c>
      <c r="Y15" s="232">
        <f t="shared" si="6"/>
        <v>2666.7731286264002</v>
      </c>
      <c r="Z15" s="232">
        <f t="shared" si="7"/>
        <v>1333.3865643132001</v>
      </c>
      <c r="AA15" s="232">
        <f t="shared" si="8"/>
        <v>461.42333333333335</v>
      </c>
      <c r="AB15" s="230"/>
    </row>
    <row r="16" spans="2:29">
      <c r="B16" s="665" t="s">
        <v>165</v>
      </c>
      <c r="C16" s="206" t="s">
        <v>166</v>
      </c>
      <c r="D16" s="213">
        <v>933.34</v>
      </c>
      <c r="E16" s="207">
        <v>933.34</v>
      </c>
      <c r="F16" s="207">
        <v>933.34</v>
      </c>
      <c r="G16" s="208">
        <v>933.34</v>
      </c>
      <c r="H16" s="209"/>
      <c r="I16" s="657" t="s">
        <v>163</v>
      </c>
      <c r="J16" s="658"/>
      <c r="K16" s="213">
        <v>1335.64</v>
      </c>
      <c r="L16" s="31">
        <v>34.71</v>
      </c>
      <c r="M16" s="31">
        <v>115.69</v>
      </c>
      <c r="N16" s="231">
        <f t="shared" si="0"/>
        <v>2671.28</v>
      </c>
      <c r="O16" s="231">
        <f t="shared" si="2"/>
        <v>1335.64</v>
      </c>
      <c r="P16" s="231">
        <v>450</v>
      </c>
      <c r="Q16" s="230"/>
      <c r="T16" s="657" t="s">
        <v>163</v>
      </c>
      <c r="U16" s="658"/>
      <c r="V16" s="213">
        <f t="shared" si="3"/>
        <v>1393.8740848464668</v>
      </c>
      <c r="W16" s="240">
        <f t="shared" si="4"/>
        <v>35.593333333333334</v>
      </c>
      <c r="X16" s="31">
        <f t="shared" si="5"/>
        <v>118.63</v>
      </c>
      <c r="Y16" s="231">
        <f t="shared" si="6"/>
        <v>2787.7481696929335</v>
      </c>
      <c r="Z16" s="231">
        <f t="shared" si="7"/>
        <v>1393.8740848464668</v>
      </c>
      <c r="AA16" s="231">
        <f t="shared" si="8"/>
        <v>461.42333333333335</v>
      </c>
      <c r="AB16" s="230"/>
    </row>
    <row r="17" spans="2:28">
      <c r="B17" s="666"/>
      <c r="C17" s="83" t="s">
        <v>167</v>
      </c>
      <c r="D17" s="210">
        <v>933.34</v>
      </c>
      <c r="E17" s="210">
        <v>933.34</v>
      </c>
      <c r="F17" s="210">
        <v>933.34</v>
      </c>
      <c r="G17" s="211">
        <v>933.34</v>
      </c>
      <c r="H17" s="209"/>
      <c r="I17" s="659" t="s">
        <v>164</v>
      </c>
      <c r="J17" s="660"/>
      <c r="K17" s="216">
        <v>1335.64</v>
      </c>
      <c r="L17" s="9">
        <v>34.71</v>
      </c>
      <c r="M17" s="9">
        <v>115.69</v>
      </c>
      <c r="N17" s="232">
        <f t="shared" si="0"/>
        <v>2671.28</v>
      </c>
      <c r="O17" s="232">
        <f t="shared" si="2"/>
        <v>1335.64</v>
      </c>
      <c r="P17" s="232">
        <v>450</v>
      </c>
      <c r="Q17" s="230"/>
      <c r="T17" s="659" t="s">
        <v>164</v>
      </c>
      <c r="U17" s="660"/>
      <c r="V17" s="216">
        <f t="shared" si="3"/>
        <v>1393.8740848464668</v>
      </c>
      <c r="W17" s="241">
        <f t="shared" si="4"/>
        <v>35.593333333333334</v>
      </c>
      <c r="X17" s="9">
        <f t="shared" si="5"/>
        <v>118.63</v>
      </c>
      <c r="Y17" s="232">
        <f t="shared" si="6"/>
        <v>2787.7481696929335</v>
      </c>
      <c r="Z17" s="232">
        <f t="shared" si="7"/>
        <v>1393.8740848464668</v>
      </c>
      <c r="AA17" s="232">
        <f t="shared" si="8"/>
        <v>461.42333333333335</v>
      </c>
      <c r="AB17" s="230"/>
    </row>
    <row r="18" spans="2:28">
      <c r="B18" s="666"/>
      <c r="C18" s="212" t="s">
        <v>168</v>
      </c>
      <c r="D18" s="213">
        <v>1159.93</v>
      </c>
      <c r="E18" s="213">
        <v>1188.27</v>
      </c>
      <c r="F18" s="213">
        <v>1216.5999999999999</v>
      </c>
      <c r="G18" s="214">
        <v>1244.93</v>
      </c>
      <c r="H18" s="209"/>
      <c r="I18" s="657" t="s">
        <v>166</v>
      </c>
      <c r="J18" s="658"/>
      <c r="K18" s="207">
        <v>933.34</v>
      </c>
      <c r="L18" s="31">
        <v>34.71</v>
      </c>
      <c r="M18" s="31">
        <v>115.69</v>
      </c>
      <c r="N18" s="231">
        <f t="shared" si="0"/>
        <v>1866.68</v>
      </c>
      <c r="O18" s="231">
        <f t="shared" si="2"/>
        <v>933.34</v>
      </c>
      <c r="P18" s="231">
        <v>450</v>
      </c>
      <c r="Q18" s="230"/>
      <c r="T18" s="657" t="s">
        <v>166</v>
      </c>
      <c r="U18" s="658"/>
      <c r="V18" s="207">
        <f t="shared" si="3"/>
        <v>957.03377546226659</v>
      </c>
      <c r="W18" s="240">
        <f t="shared" si="4"/>
        <v>35.593333333333334</v>
      </c>
      <c r="X18" s="31">
        <f t="shared" si="5"/>
        <v>118.63</v>
      </c>
      <c r="Y18" s="231">
        <f t="shared" si="6"/>
        <v>1914.0675509245332</v>
      </c>
      <c r="Z18" s="231">
        <f t="shared" si="7"/>
        <v>957.03377546226659</v>
      </c>
      <c r="AA18" s="231">
        <f t="shared" si="8"/>
        <v>461.42333333333335</v>
      </c>
      <c r="AB18" s="230"/>
    </row>
    <row r="19" spans="2:28">
      <c r="B19" s="666"/>
      <c r="C19" s="83" t="s">
        <v>143</v>
      </c>
      <c r="D19" s="210">
        <v>1214.8499999999999</v>
      </c>
      <c r="E19" s="210">
        <v>1243.19</v>
      </c>
      <c r="F19" s="210">
        <v>1271.52</v>
      </c>
      <c r="G19" s="211">
        <v>1299.8499999999999</v>
      </c>
      <c r="H19" s="209"/>
      <c r="I19" s="659" t="s">
        <v>167</v>
      </c>
      <c r="J19" s="660"/>
      <c r="K19" s="210">
        <v>933.34</v>
      </c>
      <c r="L19" s="9">
        <v>34.71</v>
      </c>
      <c r="M19" s="9">
        <v>115.69</v>
      </c>
      <c r="N19" s="232">
        <f t="shared" si="0"/>
        <v>1866.68</v>
      </c>
      <c r="O19" s="232">
        <f t="shared" si="2"/>
        <v>933.34</v>
      </c>
      <c r="P19" s="232">
        <v>450</v>
      </c>
      <c r="Q19" s="230"/>
      <c r="T19" s="659" t="s">
        <v>167</v>
      </c>
      <c r="U19" s="660"/>
      <c r="V19" s="210">
        <f t="shared" si="3"/>
        <v>957.03377546226659</v>
      </c>
      <c r="W19" s="241">
        <f t="shared" si="4"/>
        <v>35.593333333333334</v>
      </c>
      <c r="X19" s="9">
        <f t="shared" si="5"/>
        <v>118.63</v>
      </c>
      <c r="Y19" s="232">
        <f t="shared" si="6"/>
        <v>1914.0675509245332</v>
      </c>
      <c r="Z19" s="232">
        <f t="shared" si="7"/>
        <v>957.03377546226659</v>
      </c>
      <c r="AA19" s="232">
        <f t="shared" si="8"/>
        <v>461.42333333333335</v>
      </c>
      <c r="AB19" s="230"/>
    </row>
    <row r="20" spans="2:28">
      <c r="B20" s="666"/>
      <c r="C20" s="212" t="s">
        <v>169</v>
      </c>
      <c r="D20" s="213">
        <v>1313.9</v>
      </c>
      <c r="E20" s="213">
        <v>1342.24</v>
      </c>
      <c r="F20" s="213">
        <v>1370.57</v>
      </c>
      <c r="G20" s="214">
        <v>1398.9</v>
      </c>
      <c r="H20" s="209"/>
      <c r="I20" s="657" t="s">
        <v>168</v>
      </c>
      <c r="J20" s="658"/>
      <c r="K20" s="213">
        <v>1216.5999999999999</v>
      </c>
      <c r="L20" s="31">
        <v>34.71</v>
      </c>
      <c r="M20" s="31">
        <v>115.69</v>
      </c>
      <c r="N20" s="231">
        <f t="shared" si="0"/>
        <v>2433.1999999999998</v>
      </c>
      <c r="O20" s="231">
        <f t="shared" si="2"/>
        <v>1216.5999999999999</v>
      </c>
      <c r="P20" s="231">
        <v>450</v>
      </c>
      <c r="Q20" s="230"/>
      <c r="T20" s="657" t="s">
        <v>168</v>
      </c>
      <c r="U20" s="658"/>
      <c r="V20" s="213">
        <f t="shared" si="3"/>
        <v>1271.8121346128667</v>
      </c>
      <c r="W20" s="240">
        <f t="shared" si="4"/>
        <v>35.593333333333334</v>
      </c>
      <c r="X20" s="31">
        <f t="shared" si="5"/>
        <v>118.63</v>
      </c>
      <c r="Y20" s="231">
        <f t="shared" si="6"/>
        <v>2543.6242692257333</v>
      </c>
      <c r="Z20" s="231">
        <f t="shared" si="7"/>
        <v>1271.8121346128667</v>
      </c>
      <c r="AA20" s="231">
        <f t="shared" si="8"/>
        <v>461.42333333333335</v>
      </c>
      <c r="AB20" s="230"/>
    </row>
    <row r="21" spans="2:28">
      <c r="B21" s="666"/>
      <c r="C21" s="83" t="s">
        <v>170</v>
      </c>
      <c r="D21" s="210">
        <v>1402.35</v>
      </c>
      <c r="E21" s="210">
        <v>1430.69</v>
      </c>
      <c r="F21" s="210">
        <v>1459.02</v>
      </c>
      <c r="G21" s="211">
        <v>1487.35</v>
      </c>
      <c r="H21" s="209"/>
      <c r="I21" s="659" t="s">
        <v>143</v>
      </c>
      <c r="J21" s="660"/>
      <c r="K21" s="210">
        <v>1271.52</v>
      </c>
      <c r="L21" s="9">
        <v>34.71</v>
      </c>
      <c r="M21" s="9">
        <v>115.69</v>
      </c>
      <c r="N21" s="232">
        <f t="shared" si="0"/>
        <v>2543.04</v>
      </c>
      <c r="O21" s="232">
        <f t="shared" si="2"/>
        <v>1271.52</v>
      </c>
      <c r="P21" s="232">
        <v>450</v>
      </c>
      <c r="Q21" s="230"/>
      <c r="T21" s="659" t="s">
        <v>143</v>
      </c>
      <c r="U21" s="660"/>
      <c r="V21" s="210">
        <f t="shared" si="3"/>
        <v>1328.1263340989999</v>
      </c>
      <c r="W21" s="241">
        <f t="shared" si="4"/>
        <v>35.593333333333334</v>
      </c>
      <c r="X21" s="9">
        <f t="shared" si="5"/>
        <v>118.63</v>
      </c>
      <c r="Y21" s="232">
        <f t="shared" si="6"/>
        <v>2656.2526681979998</v>
      </c>
      <c r="Z21" s="232">
        <f t="shared" si="7"/>
        <v>1328.1263340989999</v>
      </c>
      <c r="AA21" s="232">
        <f t="shared" si="8"/>
        <v>461.42333333333335</v>
      </c>
      <c r="AB21" s="230"/>
    </row>
    <row r="22" spans="2:28">
      <c r="B22" s="667" t="s">
        <v>171</v>
      </c>
      <c r="C22" s="206" t="s">
        <v>172</v>
      </c>
      <c r="D22" s="207">
        <v>1585.45</v>
      </c>
      <c r="E22" s="207">
        <v>1613.79</v>
      </c>
      <c r="F22" s="207">
        <v>1642.12</v>
      </c>
      <c r="G22" s="208">
        <v>1670.45</v>
      </c>
      <c r="H22" s="209"/>
      <c r="I22" s="657" t="s">
        <v>169</v>
      </c>
      <c r="J22" s="658"/>
      <c r="K22" s="213">
        <v>1370.57</v>
      </c>
      <c r="L22" s="31">
        <v>34.71</v>
      </c>
      <c r="M22" s="31">
        <v>115.69</v>
      </c>
      <c r="N22" s="231">
        <f t="shared" si="0"/>
        <v>2741.14</v>
      </c>
      <c r="O22" s="231">
        <f t="shared" si="2"/>
        <v>1370.57</v>
      </c>
      <c r="P22" s="231">
        <v>450</v>
      </c>
      <c r="Q22" s="230"/>
      <c r="T22" s="657" t="s">
        <v>169</v>
      </c>
      <c r="U22" s="658"/>
      <c r="V22" s="213">
        <f t="shared" si="3"/>
        <v>1429.6908180593334</v>
      </c>
      <c r="W22" s="240">
        <f t="shared" si="4"/>
        <v>35.593333333333334</v>
      </c>
      <c r="X22" s="31">
        <f t="shared" si="5"/>
        <v>118.63</v>
      </c>
      <c r="Y22" s="231">
        <f t="shared" si="6"/>
        <v>2859.3816361186668</v>
      </c>
      <c r="Z22" s="231">
        <f t="shared" si="7"/>
        <v>1429.6908180593334</v>
      </c>
      <c r="AA22" s="231">
        <f t="shared" si="8"/>
        <v>461.42333333333335</v>
      </c>
      <c r="AB22" s="230"/>
    </row>
    <row r="23" spans="2:28">
      <c r="B23" s="668"/>
      <c r="C23" s="83" t="s">
        <v>173</v>
      </c>
      <c r="D23" s="210">
        <v>1411.13</v>
      </c>
      <c r="E23" s="210">
        <v>1439.47</v>
      </c>
      <c r="F23" s="210">
        <v>1467</v>
      </c>
      <c r="G23" s="211">
        <v>1496.13</v>
      </c>
      <c r="H23" s="209"/>
      <c r="I23" s="659" t="s">
        <v>170</v>
      </c>
      <c r="J23" s="660"/>
      <c r="K23" s="210">
        <v>1459.02</v>
      </c>
      <c r="L23" s="9">
        <v>34.71</v>
      </c>
      <c r="M23" s="9">
        <v>115.69</v>
      </c>
      <c r="N23" s="232">
        <f t="shared" si="0"/>
        <v>2918.04</v>
      </c>
      <c r="O23" s="232">
        <f t="shared" si="2"/>
        <v>1459.02</v>
      </c>
      <c r="P23" s="232">
        <v>450</v>
      </c>
      <c r="Q23" s="230"/>
      <c r="T23" s="659" t="s">
        <v>170</v>
      </c>
      <c r="U23" s="660"/>
      <c r="V23" s="210">
        <f t="shared" si="3"/>
        <v>1520.3862103490001</v>
      </c>
      <c r="W23" s="241">
        <f t="shared" si="4"/>
        <v>35.593333333333334</v>
      </c>
      <c r="X23" s="9">
        <f t="shared" si="5"/>
        <v>118.63</v>
      </c>
      <c r="Y23" s="232">
        <f t="shared" si="6"/>
        <v>3040.7724206980001</v>
      </c>
      <c r="Z23" s="232">
        <f t="shared" si="7"/>
        <v>1520.3862103490001</v>
      </c>
      <c r="AA23" s="232">
        <f t="shared" si="8"/>
        <v>461.42333333333335</v>
      </c>
      <c r="AB23" s="230"/>
    </row>
    <row r="24" spans="2:28">
      <c r="B24" s="668"/>
      <c r="C24" s="212" t="s">
        <v>174</v>
      </c>
      <c r="D24" s="213">
        <v>1542.51</v>
      </c>
      <c r="E24" s="213">
        <v>1570.85</v>
      </c>
      <c r="F24" s="213">
        <v>1599.18</v>
      </c>
      <c r="G24" s="214">
        <v>1627.51</v>
      </c>
      <c r="H24" s="209"/>
      <c r="I24" s="657" t="s">
        <v>172</v>
      </c>
      <c r="J24" s="658"/>
      <c r="K24" s="207">
        <v>1642.12</v>
      </c>
      <c r="L24" s="31">
        <v>34.71</v>
      </c>
      <c r="M24" s="31">
        <v>115.69</v>
      </c>
      <c r="N24" s="231">
        <f t="shared" si="0"/>
        <v>3284.24</v>
      </c>
      <c r="O24" s="231">
        <f t="shared" si="2"/>
        <v>1642.12</v>
      </c>
      <c r="P24" s="231">
        <v>450</v>
      </c>
      <c r="Q24" s="230"/>
      <c r="T24" s="657" t="s">
        <v>172</v>
      </c>
      <c r="U24" s="658"/>
      <c r="V24" s="207">
        <f t="shared" si="3"/>
        <v>1708.1343881696669</v>
      </c>
      <c r="W24" s="240">
        <f t="shared" si="4"/>
        <v>35.593333333333334</v>
      </c>
      <c r="X24" s="31">
        <f t="shared" si="5"/>
        <v>118.63</v>
      </c>
      <c r="Y24" s="231">
        <f t="shared" si="6"/>
        <v>3416.2687763393337</v>
      </c>
      <c r="Z24" s="231">
        <f t="shared" si="7"/>
        <v>1708.1343881696669</v>
      </c>
      <c r="AA24" s="231">
        <f t="shared" si="8"/>
        <v>461.42333333333335</v>
      </c>
      <c r="AB24" s="230"/>
    </row>
    <row r="25" spans="2:28">
      <c r="B25" s="668"/>
      <c r="C25" s="83" t="s">
        <v>175</v>
      </c>
      <c r="D25" s="210">
        <v>1662.25</v>
      </c>
      <c r="E25" s="210">
        <v>1690.59</v>
      </c>
      <c r="F25" s="210">
        <v>1718.92</v>
      </c>
      <c r="G25" s="211">
        <v>1747.25</v>
      </c>
      <c r="I25" s="659" t="s">
        <v>173</v>
      </c>
      <c r="J25" s="660"/>
      <c r="K25" s="210">
        <v>1467</v>
      </c>
      <c r="L25" s="9">
        <v>34.71</v>
      </c>
      <c r="M25" s="9">
        <v>115.69</v>
      </c>
      <c r="N25" s="232">
        <f t="shared" si="0"/>
        <v>2934</v>
      </c>
      <c r="O25" s="232">
        <f t="shared" si="2"/>
        <v>1467</v>
      </c>
      <c r="P25" s="232">
        <v>450</v>
      </c>
      <c r="Q25" s="230"/>
      <c r="T25" s="659" t="s">
        <v>173</v>
      </c>
      <c r="U25" s="660"/>
      <c r="V25" s="210">
        <f t="shared" si="3"/>
        <v>1529.2557661541998</v>
      </c>
      <c r="W25" s="241">
        <f t="shared" si="4"/>
        <v>35.593333333333334</v>
      </c>
      <c r="X25" s="9">
        <f t="shared" si="5"/>
        <v>118.63</v>
      </c>
      <c r="Y25" s="232">
        <f t="shared" si="6"/>
        <v>3058.5115323083996</v>
      </c>
      <c r="Z25" s="232">
        <f t="shared" si="7"/>
        <v>1529.2557661541998</v>
      </c>
      <c r="AA25" s="232">
        <f t="shared" si="8"/>
        <v>461.42333333333335</v>
      </c>
      <c r="AB25" s="230"/>
    </row>
    <row r="26" spans="2:28">
      <c r="B26" s="669"/>
      <c r="C26" s="218" t="s">
        <v>176</v>
      </c>
      <c r="D26" s="219">
        <v>1913.41</v>
      </c>
      <c r="E26" s="219">
        <v>1941.75</v>
      </c>
      <c r="F26" s="219">
        <v>1970.08</v>
      </c>
      <c r="G26" s="220">
        <v>1998.41</v>
      </c>
      <c r="I26" s="657" t="s">
        <v>174</v>
      </c>
      <c r="J26" s="658"/>
      <c r="K26" s="213">
        <v>1599.18</v>
      </c>
      <c r="L26" s="31">
        <v>34.71</v>
      </c>
      <c r="M26" s="31">
        <v>115.69</v>
      </c>
      <c r="N26" s="231">
        <f t="shared" si="0"/>
        <v>3198.36</v>
      </c>
      <c r="O26" s="231">
        <f t="shared" si="2"/>
        <v>1599.18</v>
      </c>
      <c r="P26" s="231">
        <v>450</v>
      </c>
      <c r="Q26" s="230"/>
      <c r="T26" s="657" t="s">
        <v>174</v>
      </c>
      <c r="U26" s="658"/>
      <c r="V26" s="213">
        <f t="shared" si="3"/>
        <v>1664.1043130434</v>
      </c>
      <c r="W26" s="240">
        <f t="shared" si="4"/>
        <v>35.593333333333334</v>
      </c>
      <c r="X26" s="31">
        <f t="shared" si="5"/>
        <v>118.63</v>
      </c>
      <c r="Y26" s="231">
        <f t="shared" si="6"/>
        <v>3328.2086260868</v>
      </c>
      <c r="Z26" s="231">
        <f t="shared" si="7"/>
        <v>1664.1043130434</v>
      </c>
      <c r="AA26" s="231">
        <f t="shared" si="8"/>
        <v>461.42333333333335</v>
      </c>
      <c r="AB26" s="230"/>
    </row>
    <row r="27" spans="2:28">
      <c r="I27" s="659" t="s">
        <v>175</v>
      </c>
      <c r="J27" s="660"/>
      <c r="K27" s="210">
        <v>1718.92</v>
      </c>
      <c r="L27" s="9">
        <v>34.71</v>
      </c>
      <c r="M27" s="9">
        <v>115.69</v>
      </c>
      <c r="N27" s="232">
        <f t="shared" si="0"/>
        <v>3437.84</v>
      </c>
      <c r="O27" s="232">
        <f t="shared" si="2"/>
        <v>1718.92</v>
      </c>
      <c r="P27" s="232">
        <v>450</v>
      </c>
      <c r="Q27" s="230"/>
      <c r="T27" s="659" t="s">
        <v>175</v>
      </c>
      <c r="U27" s="660"/>
      <c r="V27" s="210">
        <f t="shared" si="3"/>
        <v>1786.8840334816668</v>
      </c>
      <c r="W27" s="241">
        <f t="shared" si="4"/>
        <v>35.593333333333334</v>
      </c>
      <c r="X27" s="9">
        <f t="shared" si="5"/>
        <v>118.63</v>
      </c>
      <c r="Y27" s="232">
        <f t="shared" si="6"/>
        <v>3573.7680669633337</v>
      </c>
      <c r="Z27" s="232">
        <f t="shared" si="7"/>
        <v>1786.8840334816668</v>
      </c>
      <c r="AA27" s="232">
        <f t="shared" si="8"/>
        <v>461.42333333333335</v>
      </c>
      <c r="AB27" s="230"/>
    </row>
    <row r="28" spans="2:28">
      <c r="I28" s="657" t="s">
        <v>176</v>
      </c>
      <c r="J28" s="658"/>
      <c r="K28" s="219">
        <v>1970.08</v>
      </c>
      <c r="L28" s="31">
        <v>34.71</v>
      </c>
      <c r="M28" s="31">
        <v>115.69</v>
      </c>
      <c r="N28" s="231">
        <f t="shared" si="0"/>
        <v>3940.16</v>
      </c>
      <c r="O28" s="231">
        <f t="shared" si="2"/>
        <v>1970.08</v>
      </c>
      <c r="P28" s="231">
        <v>450</v>
      </c>
      <c r="Q28" s="230"/>
      <c r="T28" s="657" t="s">
        <v>176</v>
      </c>
      <c r="U28" s="658"/>
      <c r="V28" s="219">
        <f t="shared" si="3"/>
        <v>2044.4199829160668</v>
      </c>
      <c r="W28" s="240">
        <f t="shared" si="4"/>
        <v>35.593333333333334</v>
      </c>
      <c r="X28" s="31">
        <f t="shared" si="5"/>
        <v>118.63</v>
      </c>
      <c r="Y28" s="231">
        <f t="shared" si="6"/>
        <v>4088.8399658321337</v>
      </c>
      <c r="Z28" s="231">
        <f t="shared" si="7"/>
        <v>2044.4199829160668</v>
      </c>
      <c r="AA28" s="231">
        <f t="shared" si="8"/>
        <v>461.42333333333335</v>
      </c>
      <c r="AB28" s="230"/>
    </row>
    <row r="29" spans="2:28">
      <c r="B29" s="654" t="s">
        <v>177</v>
      </c>
      <c r="C29" s="654"/>
      <c r="D29" s="654"/>
      <c r="E29" s="654"/>
      <c r="F29" s="654"/>
      <c r="I29" s="10"/>
      <c r="J29" s="10"/>
      <c r="K29" s="233"/>
      <c r="L29" s="9"/>
      <c r="M29" s="9"/>
      <c r="N29" s="232"/>
      <c r="O29" s="232"/>
      <c r="P29" s="232"/>
      <c r="Q29" s="230"/>
      <c r="AB29" s="230"/>
    </row>
    <row r="30" spans="2:28">
      <c r="B30" s="661">
        <v>2022</v>
      </c>
      <c r="C30" s="661"/>
      <c r="D30" s="661"/>
      <c r="E30" s="661"/>
      <c r="F30" s="661"/>
      <c r="J30" s="13"/>
      <c r="AB30" s="230"/>
    </row>
    <row r="31" spans="2:28" ht="12" customHeight="1" outlineLevel="1">
      <c r="B31" s="221" t="s">
        <v>178</v>
      </c>
      <c r="C31" s="221"/>
      <c r="D31" s="221" t="s">
        <v>179</v>
      </c>
      <c r="E31" s="221" t="s">
        <v>180</v>
      </c>
      <c r="F31" s="221" t="s">
        <v>181</v>
      </c>
      <c r="I31" s="226"/>
      <c r="J31" s="226"/>
      <c r="N31" s="228"/>
      <c r="O31" s="228"/>
      <c r="P31" s="228"/>
      <c r="Q31" s="228"/>
    </row>
    <row r="32" spans="2:28" ht="13.5" customHeight="1">
      <c r="B32" s="212" t="s">
        <v>182</v>
      </c>
      <c r="C32" s="212"/>
      <c r="D32" s="222">
        <v>25.32</v>
      </c>
      <c r="E32" s="222">
        <v>27.42</v>
      </c>
      <c r="F32" s="222">
        <v>34.950000000000003</v>
      </c>
      <c r="I32" s="655" t="s">
        <v>183</v>
      </c>
      <c r="J32" s="655"/>
      <c r="K32" s="655"/>
      <c r="L32" s="655"/>
      <c r="M32" s="655"/>
      <c r="N32" s="655"/>
      <c r="O32" s="655"/>
      <c r="P32" s="655"/>
      <c r="Q32" s="655"/>
      <c r="R32" s="242"/>
    </row>
    <row r="33" spans="2:20" ht="13.5" customHeight="1">
      <c r="B33" s="13" t="s">
        <v>184</v>
      </c>
      <c r="D33" s="223">
        <v>70.180000000000007</v>
      </c>
      <c r="E33" s="223">
        <v>75.790000000000006</v>
      </c>
      <c r="F33" s="223">
        <v>96.14</v>
      </c>
      <c r="I33" s="226"/>
      <c r="J33" s="226"/>
      <c r="M33" s="227"/>
      <c r="N33" s="228"/>
      <c r="O33" s="228"/>
      <c r="P33" s="228"/>
    </row>
    <row r="34" spans="2:20" ht="13.5" customHeight="1">
      <c r="B34" s="212" t="s">
        <v>185</v>
      </c>
      <c r="C34" s="212"/>
      <c r="D34" s="222">
        <v>122.83</v>
      </c>
      <c r="E34" s="222">
        <v>132.56</v>
      </c>
      <c r="F34" s="222">
        <v>168.24</v>
      </c>
      <c r="I34" s="226"/>
      <c r="J34" s="226"/>
      <c r="N34" s="229">
        <v>2</v>
      </c>
      <c r="O34" s="230"/>
      <c r="P34" s="228"/>
      <c r="Q34" s="230"/>
    </row>
    <row r="35" spans="2:20" ht="13.5" customHeight="1">
      <c r="B35" s="13" t="s">
        <v>186</v>
      </c>
      <c r="D35" s="223">
        <v>175.53</v>
      </c>
      <c r="E35" s="223">
        <v>189.36</v>
      </c>
      <c r="F35" s="223">
        <v>240.33</v>
      </c>
      <c r="I35" s="656" t="s">
        <v>152</v>
      </c>
      <c r="J35" s="656"/>
      <c r="K35" s="286" t="s">
        <v>153</v>
      </c>
      <c r="L35" s="287" t="s">
        <v>154</v>
      </c>
      <c r="M35" s="287" t="s">
        <v>155</v>
      </c>
      <c r="N35" s="287" t="s">
        <v>156</v>
      </c>
      <c r="O35" s="287" t="s">
        <v>157</v>
      </c>
      <c r="P35" s="287" t="s">
        <v>158</v>
      </c>
      <c r="Q35" s="230"/>
      <c r="T35" s="243"/>
    </row>
    <row r="36" spans="2:20" ht="13.5" customHeight="1">
      <c r="B36" s="212" t="s">
        <v>187</v>
      </c>
      <c r="C36" s="212"/>
      <c r="D36" s="222">
        <v>219.94</v>
      </c>
      <c r="E36" s="222">
        <v>238.04</v>
      </c>
      <c r="F36" s="222">
        <v>302.73</v>
      </c>
      <c r="I36" s="657" t="s">
        <v>151</v>
      </c>
      <c r="J36" s="658"/>
      <c r="K36" s="207">
        <v>933.34</v>
      </c>
      <c r="L36" s="31">
        <v>34.71</v>
      </c>
      <c r="M36" s="31">
        <v>115.69</v>
      </c>
      <c r="N36" s="231">
        <f t="shared" ref="N36:N56" si="9">K36*$N$6</f>
        <v>1866.68</v>
      </c>
      <c r="O36" s="231">
        <f t="shared" ref="O36:O56" si="10">K36</f>
        <v>933.34</v>
      </c>
      <c r="P36" s="231">
        <v>450</v>
      </c>
      <c r="Q36" s="230"/>
    </row>
    <row r="37" spans="2:20" ht="14.25" customHeight="1">
      <c r="B37" s="13" t="s">
        <v>188</v>
      </c>
      <c r="D37" s="223">
        <v>264.41000000000003</v>
      </c>
      <c r="E37" s="223">
        <v>294.08999999999997</v>
      </c>
      <c r="F37" s="223">
        <v>364.3</v>
      </c>
      <c r="I37" s="659" t="s">
        <v>137</v>
      </c>
      <c r="J37" s="660"/>
      <c r="K37" s="210">
        <v>1125.8900000000001</v>
      </c>
      <c r="L37" s="9">
        <v>34.71</v>
      </c>
      <c r="M37" s="9">
        <v>115.69</v>
      </c>
      <c r="N37" s="232">
        <f t="shared" si="9"/>
        <v>2251.7800000000002</v>
      </c>
      <c r="O37" s="232">
        <f t="shared" si="10"/>
        <v>1125.8900000000001</v>
      </c>
      <c r="P37" s="232">
        <v>450</v>
      </c>
      <c r="Q37" s="230"/>
    </row>
    <row r="38" spans="2:20">
      <c r="B38" s="212" t="s">
        <v>189</v>
      </c>
      <c r="C38" s="212"/>
      <c r="D38" s="222">
        <v>280.79000000000002</v>
      </c>
      <c r="E38" s="222">
        <v>302.98</v>
      </c>
      <c r="F38" s="222">
        <v>384.49</v>
      </c>
      <c r="I38" s="657" t="s">
        <v>138</v>
      </c>
      <c r="J38" s="658"/>
      <c r="K38" s="213">
        <v>1190.32</v>
      </c>
      <c r="L38" s="31">
        <v>34.71</v>
      </c>
      <c r="M38" s="31">
        <v>115.69</v>
      </c>
      <c r="N38" s="231">
        <f t="shared" si="9"/>
        <v>2380.64</v>
      </c>
      <c r="O38" s="231">
        <f t="shared" si="10"/>
        <v>1190.32</v>
      </c>
      <c r="P38" s="231">
        <v>450</v>
      </c>
      <c r="Q38" s="230"/>
    </row>
    <row r="39" spans="2:20">
      <c r="B39" s="13" t="s">
        <v>190</v>
      </c>
      <c r="D39" s="223">
        <v>343.31</v>
      </c>
      <c r="E39" s="223">
        <v>370.24</v>
      </c>
      <c r="F39" s="223">
        <v>442.03</v>
      </c>
      <c r="I39" s="659" t="s">
        <v>159</v>
      </c>
      <c r="J39" s="660"/>
      <c r="K39" s="210">
        <v>1190.3399999999999</v>
      </c>
      <c r="L39" s="9">
        <v>34.71</v>
      </c>
      <c r="M39" s="9">
        <v>115.69</v>
      </c>
      <c r="N39" s="232">
        <f t="shared" si="9"/>
        <v>2380.6799999999998</v>
      </c>
      <c r="O39" s="232">
        <f t="shared" si="10"/>
        <v>1190.3399999999999</v>
      </c>
      <c r="P39" s="232">
        <v>450</v>
      </c>
      <c r="Q39" s="230"/>
    </row>
    <row r="40" spans="2:20">
      <c r="B40" s="212" t="s">
        <v>191</v>
      </c>
      <c r="C40" s="212"/>
      <c r="D40" s="222">
        <v>385.86</v>
      </c>
      <c r="E40" s="222">
        <v>416.19</v>
      </c>
      <c r="F40" s="222">
        <v>532.79999999999995</v>
      </c>
      <c r="I40" s="657" t="s">
        <v>160</v>
      </c>
      <c r="J40" s="658"/>
      <c r="K40" s="213">
        <v>1234</v>
      </c>
      <c r="L40" s="31">
        <v>34.71</v>
      </c>
      <c r="M40" s="31">
        <v>115.69</v>
      </c>
      <c r="N40" s="231">
        <f t="shared" si="9"/>
        <v>2468</v>
      </c>
      <c r="O40" s="231">
        <f t="shared" si="10"/>
        <v>1234</v>
      </c>
      <c r="P40" s="231">
        <v>450</v>
      </c>
      <c r="Q40" s="230"/>
    </row>
    <row r="41" spans="2:20">
      <c r="B41" s="13" t="s">
        <v>192</v>
      </c>
      <c r="D41" s="223">
        <v>421.15</v>
      </c>
      <c r="E41" s="223">
        <v>454.5</v>
      </c>
      <c r="F41" s="223">
        <v>576.83000000000004</v>
      </c>
      <c r="I41" s="659" t="s">
        <v>139</v>
      </c>
      <c r="J41" s="660"/>
      <c r="K41" s="210">
        <v>1240.55</v>
      </c>
      <c r="L41" s="9">
        <v>34.71</v>
      </c>
      <c r="M41" s="9">
        <v>115.69</v>
      </c>
      <c r="N41" s="232">
        <f t="shared" si="9"/>
        <v>2481.1</v>
      </c>
      <c r="O41" s="232">
        <f t="shared" si="10"/>
        <v>1240.55</v>
      </c>
      <c r="P41" s="232">
        <v>450</v>
      </c>
      <c r="Q41" s="230"/>
    </row>
    <row r="42" spans="2:20">
      <c r="I42" s="657" t="s">
        <v>161</v>
      </c>
      <c r="J42" s="658"/>
      <c r="K42" s="213">
        <v>1304.98</v>
      </c>
      <c r="L42" s="31">
        <v>34.71</v>
      </c>
      <c r="M42" s="31">
        <v>115.69</v>
      </c>
      <c r="N42" s="231">
        <f t="shared" si="9"/>
        <v>2609.96</v>
      </c>
      <c r="O42" s="231">
        <f t="shared" si="10"/>
        <v>1304.98</v>
      </c>
      <c r="P42" s="231">
        <v>450</v>
      </c>
      <c r="Q42" s="230"/>
    </row>
    <row r="43" spans="2:20">
      <c r="I43" s="659" t="s">
        <v>162</v>
      </c>
      <c r="J43" s="660"/>
      <c r="K43" s="210">
        <v>1304.98</v>
      </c>
      <c r="L43" s="9">
        <v>34.71</v>
      </c>
      <c r="M43" s="9">
        <v>115.69</v>
      </c>
      <c r="N43" s="232">
        <f t="shared" si="9"/>
        <v>2609.96</v>
      </c>
      <c r="O43" s="232">
        <f t="shared" si="10"/>
        <v>1304.98</v>
      </c>
      <c r="P43" s="232">
        <v>450</v>
      </c>
      <c r="Q43" s="230"/>
    </row>
    <row r="44" spans="2:20">
      <c r="B44" s="661">
        <v>2023</v>
      </c>
      <c r="C44" s="661"/>
      <c r="D44" s="661"/>
      <c r="E44" s="661"/>
      <c r="F44" s="661"/>
      <c r="I44" s="657" t="s">
        <v>163</v>
      </c>
      <c r="J44" s="658"/>
      <c r="K44" s="213">
        <v>1363.97</v>
      </c>
      <c r="L44" s="31">
        <v>34.71</v>
      </c>
      <c r="M44" s="31">
        <v>115.69</v>
      </c>
      <c r="N44" s="231">
        <f t="shared" si="9"/>
        <v>2727.94</v>
      </c>
      <c r="O44" s="231">
        <f t="shared" si="10"/>
        <v>1363.97</v>
      </c>
      <c r="P44" s="231">
        <v>450</v>
      </c>
      <c r="Q44" s="230"/>
    </row>
    <row r="45" spans="2:20">
      <c r="B45" s="221" t="s">
        <v>178</v>
      </c>
      <c r="C45" s="221"/>
      <c r="D45" s="221" t="s">
        <v>179</v>
      </c>
      <c r="E45" s="221" t="s">
        <v>180</v>
      </c>
      <c r="F45" s="221" t="s">
        <v>181</v>
      </c>
      <c r="I45" s="659" t="s">
        <v>164</v>
      </c>
      <c r="J45" s="660"/>
      <c r="K45" s="216">
        <v>1363.97</v>
      </c>
      <c r="L45" s="9">
        <v>34.71</v>
      </c>
      <c r="M45" s="9">
        <v>115.69</v>
      </c>
      <c r="N45" s="232">
        <f t="shared" si="9"/>
        <v>2727.94</v>
      </c>
      <c r="O45" s="232">
        <f t="shared" si="10"/>
        <v>1363.97</v>
      </c>
      <c r="P45" s="232">
        <v>450</v>
      </c>
      <c r="Q45" s="230"/>
    </row>
    <row r="46" spans="2:20">
      <c r="B46" s="212" t="s">
        <v>182</v>
      </c>
      <c r="C46" s="212"/>
      <c r="D46" s="222">
        <v>25.32</v>
      </c>
      <c r="E46" s="222">
        <v>27.42</v>
      </c>
      <c r="F46" s="222">
        <v>34.950000000000003</v>
      </c>
      <c r="I46" s="657" t="s">
        <v>166</v>
      </c>
      <c r="J46" s="658"/>
      <c r="K46" s="207">
        <v>933.34</v>
      </c>
      <c r="L46" s="31">
        <v>34.71</v>
      </c>
      <c r="M46" s="31">
        <v>115.69</v>
      </c>
      <c r="N46" s="231">
        <f t="shared" si="9"/>
        <v>1866.68</v>
      </c>
      <c r="O46" s="231">
        <f t="shared" si="10"/>
        <v>933.34</v>
      </c>
      <c r="P46" s="231">
        <v>450</v>
      </c>
      <c r="Q46" s="230"/>
    </row>
    <row r="47" spans="2:20">
      <c r="B47" s="13" t="s">
        <v>184</v>
      </c>
      <c r="D47" s="223">
        <v>70.180000000000007</v>
      </c>
      <c r="E47" s="223">
        <v>75.790000000000006</v>
      </c>
      <c r="F47" s="223">
        <v>96.14</v>
      </c>
      <c r="I47" s="659" t="s">
        <v>167</v>
      </c>
      <c r="J47" s="660"/>
      <c r="K47" s="210">
        <v>933.34</v>
      </c>
      <c r="L47" s="9">
        <v>34.71</v>
      </c>
      <c r="M47" s="9">
        <v>115.69</v>
      </c>
      <c r="N47" s="232">
        <f t="shared" si="9"/>
        <v>1866.68</v>
      </c>
      <c r="O47" s="232">
        <f t="shared" si="10"/>
        <v>933.34</v>
      </c>
      <c r="P47" s="232">
        <v>450</v>
      </c>
      <c r="Q47" s="230"/>
    </row>
    <row r="48" spans="2:20">
      <c r="B48" s="212" t="s">
        <v>185</v>
      </c>
      <c r="C48" s="212"/>
      <c r="D48" s="222">
        <v>122.83</v>
      </c>
      <c r="E48" s="222">
        <v>132.56</v>
      </c>
      <c r="F48" s="222">
        <v>168.24</v>
      </c>
      <c r="I48" s="657" t="s">
        <v>168</v>
      </c>
      <c r="J48" s="658"/>
      <c r="K48" s="213">
        <v>1244.93</v>
      </c>
      <c r="L48" s="31">
        <v>34.71</v>
      </c>
      <c r="M48" s="31">
        <v>115.69</v>
      </c>
      <c r="N48" s="231">
        <f t="shared" si="9"/>
        <v>2489.86</v>
      </c>
      <c r="O48" s="231">
        <f t="shared" si="10"/>
        <v>1244.93</v>
      </c>
      <c r="P48" s="231">
        <v>450</v>
      </c>
      <c r="Q48" s="230"/>
    </row>
    <row r="49" spans="2:18">
      <c r="B49" s="13" t="s">
        <v>186</v>
      </c>
      <c r="D49" s="223">
        <v>175.53</v>
      </c>
      <c r="E49" s="223">
        <v>189.36</v>
      </c>
      <c r="F49" s="223">
        <v>240.33</v>
      </c>
      <c r="I49" s="659" t="s">
        <v>143</v>
      </c>
      <c r="J49" s="660"/>
      <c r="K49" s="210">
        <v>1299.8499999999999</v>
      </c>
      <c r="L49" s="9">
        <v>34.71</v>
      </c>
      <c r="M49" s="9">
        <v>115.69</v>
      </c>
      <c r="N49" s="232">
        <f t="shared" si="9"/>
        <v>2599.6999999999998</v>
      </c>
      <c r="O49" s="232">
        <f t="shared" si="10"/>
        <v>1299.8499999999999</v>
      </c>
      <c r="P49" s="232">
        <v>450</v>
      </c>
      <c r="Q49" s="230"/>
    </row>
    <row r="50" spans="2:18">
      <c r="B50" s="212" t="s">
        <v>187</v>
      </c>
      <c r="C50" s="212"/>
      <c r="D50" s="222">
        <v>219.94</v>
      </c>
      <c r="E50" s="222">
        <v>238.04</v>
      </c>
      <c r="F50" s="222">
        <v>302.73</v>
      </c>
      <c r="I50" s="657" t="s">
        <v>169</v>
      </c>
      <c r="J50" s="658"/>
      <c r="K50" s="213">
        <v>1398.9</v>
      </c>
      <c r="L50" s="31">
        <v>34.71</v>
      </c>
      <c r="M50" s="31">
        <v>115.69</v>
      </c>
      <c r="N50" s="231">
        <f t="shared" si="9"/>
        <v>2797.8</v>
      </c>
      <c r="O50" s="231">
        <f t="shared" si="10"/>
        <v>1398.9</v>
      </c>
      <c r="P50" s="231">
        <v>450</v>
      </c>
      <c r="Q50" s="230"/>
    </row>
    <row r="51" spans="2:18">
      <c r="B51" s="13" t="s">
        <v>188</v>
      </c>
      <c r="D51" s="223">
        <v>264.41000000000003</v>
      </c>
      <c r="E51" s="223">
        <v>294.08999999999997</v>
      </c>
      <c r="F51" s="223">
        <v>364.3</v>
      </c>
      <c r="I51" s="659" t="s">
        <v>170</v>
      </c>
      <c r="J51" s="660"/>
      <c r="K51" s="210">
        <v>1487.35</v>
      </c>
      <c r="L51" s="9">
        <v>34.71</v>
      </c>
      <c r="M51" s="9">
        <v>115.69</v>
      </c>
      <c r="N51" s="232">
        <f t="shared" si="9"/>
        <v>2974.7</v>
      </c>
      <c r="O51" s="232">
        <f t="shared" si="10"/>
        <v>1487.35</v>
      </c>
      <c r="P51" s="232">
        <v>450</v>
      </c>
      <c r="Q51" s="230"/>
    </row>
    <row r="52" spans="2:18">
      <c r="B52" s="212" t="s">
        <v>189</v>
      </c>
      <c r="C52" s="212"/>
      <c r="D52" s="222">
        <v>280.79000000000002</v>
      </c>
      <c r="E52" s="222">
        <v>302.98</v>
      </c>
      <c r="F52" s="222">
        <v>384.49</v>
      </c>
      <c r="I52" s="657" t="s">
        <v>172</v>
      </c>
      <c r="J52" s="658"/>
      <c r="K52" s="207">
        <v>1670.45</v>
      </c>
      <c r="L52" s="31">
        <v>34.71</v>
      </c>
      <c r="M52" s="31">
        <v>115.69</v>
      </c>
      <c r="N52" s="231">
        <f t="shared" si="9"/>
        <v>3340.9</v>
      </c>
      <c r="O52" s="231">
        <f t="shared" si="10"/>
        <v>1670.45</v>
      </c>
      <c r="P52" s="231">
        <v>450</v>
      </c>
      <c r="Q52" s="230"/>
    </row>
    <row r="53" spans="2:18">
      <c r="B53" s="13" t="s">
        <v>190</v>
      </c>
      <c r="D53" s="223">
        <v>343.31</v>
      </c>
      <c r="E53" s="223">
        <v>370.24</v>
      </c>
      <c r="F53" s="223">
        <v>442.03</v>
      </c>
      <c r="I53" s="659" t="s">
        <v>173</v>
      </c>
      <c r="J53" s="660"/>
      <c r="K53" s="210">
        <v>1496.13</v>
      </c>
      <c r="L53" s="9">
        <v>34.71</v>
      </c>
      <c r="M53" s="9">
        <v>115.69</v>
      </c>
      <c r="N53" s="232">
        <f t="shared" si="9"/>
        <v>2992.26</v>
      </c>
      <c r="O53" s="232">
        <f t="shared" si="10"/>
        <v>1496.13</v>
      </c>
      <c r="P53" s="232">
        <v>450</v>
      </c>
      <c r="Q53" s="230"/>
    </row>
    <row r="54" spans="2:18">
      <c r="B54" s="212" t="s">
        <v>191</v>
      </c>
      <c r="C54" s="212"/>
      <c r="D54" s="222">
        <v>385.86</v>
      </c>
      <c r="E54" s="222">
        <v>416.19</v>
      </c>
      <c r="F54" s="222">
        <v>532.79999999999995</v>
      </c>
      <c r="I54" s="657" t="s">
        <v>174</v>
      </c>
      <c r="J54" s="658"/>
      <c r="K54" s="213">
        <v>1627.51</v>
      </c>
      <c r="L54" s="31">
        <v>34.71</v>
      </c>
      <c r="M54" s="31">
        <v>115.69</v>
      </c>
      <c r="N54" s="231">
        <f t="shared" si="9"/>
        <v>3255.02</v>
      </c>
      <c r="O54" s="231">
        <f t="shared" si="10"/>
        <v>1627.51</v>
      </c>
      <c r="P54" s="231">
        <v>450</v>
      </c>
      <c r="Q54" s="230"/>
    </row>
    <row r="55" spans="2:18">
      <c r="B55" s="13" t="s">
        <v>192</v>
      </c>
      <c r="D55" s="223">
        <v>421.15</v>
      </c>
      <c r="E55" s="223">
        <v>454.5</v>
      </c>
      <c r="F55" s="223">
        <v>576.83000000000004</v>
      </c>
      <c r="I55" s="659" t="s">
        <v>175</v>
      </c>
      <c r="J55" s="660"/>
      <c r="K55" s="210">
        <v>1747.25</v>
      </c>
      <c r="L55" s="9">
        <v>34.71</v>
      </c>
      <c r="M55" s="9">
        <v>115.69</v>
      </c>
      <c r="N55" s="232">
        <f t="shared" si="9"/>
        <v>3494.5</v>
      </c>
      <c r="O55" s="232">
        <f t="shared" si="10"/>
        <v>1747.25</v>
      </c>
      <c r="P55" s="232">
        <v>450</v>
      </c>
      <c r="Q55" s="230"/>
    </row>
    <row r="56" spans="2:18">
      <c r="I56" s="657" t="s">
        <v>176</v>
      </c>
      <c r="J56" s="658"/>
      <c r="K56" s="219">
        <v>1998.41</v>
      </c>
      <c r="L56" s="31">
        <v>34.71</v>
      </c>
      <c r="M56" s="31">
        <v>115.69</v>
      </c>
      <c r="N56" s="231">
        <f t="shared" si="9"/>
        <v>3996.82</v>
      </c>
      <c r="O56" s="231">
        <f t="shared" si="10"/>
        <v>1998.41</v>
      </c>
      <c r="P56" s="231">
        <v>450</v>
      </c>
      <c r="Q56" s="230"/>
    </row>
    <row r="57" spans="2:18">
      <c r="N57" s="228"/>
      <c r="P57" s="234"/>
      <c r="Q57" s="230"/>
    </row>
    <row r="58" spans="2:18">
      <c r="B58" s="661">
        <v>2024</v>
      </c>
      <c r="C58" s="661"/>
      <c r="D58" s="661"/>
      <c r="E58" s="661"/>
      <c r="F58" s="661"/>
    </row>
    <row r="59" spans="2:18">
      <c r="B59" s="221" t="s">
        <v>178</v>
      </c>
      <c r="C59" s="221"/>
      <c r="D59" s="221" t="s">
        <v>179</v>
      </c>
      <c r="E59" s="221" t="s">
        <v>180</v>
      </c>
      <c r="F59" s="221" t="s">
        <v>181</v>
      </c>
      <c r="I59" s="655" t="s">
        <v>193</v>
      </c>
      <c r="J59" s="655"/>
      <c r="K59" s="655"/>
      <c r="L59" s="655"/>
      <c r="M59" s="655"/>
      <c r="N59" s="655"/>
      <c r="O59" s="655"/>
      <c r="P59" s="655"/>
      <c r="Q59" s="655"/>
      <c r="R59" s="242"/>
    </row>
    <row r="60" spans="2:18" ht="12.75" customHeight="1">
      <c r="B60" s="212" t="s">
        <v>182</v>
      </c>
      <c r="C60" s="212"/>
      <c r="D60" s="222">
        <v>25.32</v>
      </c>
      <c r="E60" s="222">
        <v>27.42</v>
      </c>
      <c r="F60" s="222">
        <v>34.950000000000003</v>
      </c>
      <c r="I60" s="226"/>
      <c r="J60" s="226"/>
      <c r="M60" s="227"/>
      <c r="N60" s="228"/>
      <c r="O60" s="228"/>
    </row>
    <row r="61" spans="2:18">
      <c r="B61" s="13" t="s">
        <v>184</v>
      </c>
      <c r="D61" s="223">
        <v>70.180000000000007</v>
      </c>
      <c r="E61" s="223">
        <v>75.790000000000006</v>
      </c>
      <c r="F61" s="223">
        <v>96.14</v>
      </c>
      <c r="I61" s="235" t="s">
        <v>194</v>
      </c>
      <c r="J61" s="236">
        <v>0.01</v>
      </c>
      <c r="K61" s="114"/>
      <c r="L61" s="114"/>
      <c r="M61" s="237"/>
      <c r="N61" s="238"/>
      <c r="O61" s="239"/>
      <c r="P61" s="114"/>
      <c r="Q61" s="244"/>
      <c r="R61" s="212"/>
    </row>
    <row r="62" spans="2:18">
      <c r="B62" s="212" t="s">
        <v>185</v>
      </c>
      <c r="C62" s="212"/>
      <c r="D62" s="222">
        <v>122.83</v>
      </c>
      <c r="E62" s="222">
        <v>132.56</v>
      </c>
      <c r="F62" s="222">
        <v>168.24</v>
      </c>
      <c r="I62" s="226"/>
      <c r="J62" s="226"/>
      <c r="N62" s="229">
        <v>2</v>
      </c>
    </row>
    <row r="63" spans="2:18">
      <c r="B63" s="13" t="s">
        <v>186</v>
      </c>
      <c r="D63" s="223">
        <v>175.53</v>
      </c>
      <c r="E63" s="223">
        <v>189.36</v>
      </c>
      <c r="F63" s="223">
        <v>240.33</v>
      </c>
      <c r="I63" s="656" t="s">
        <v>152</v>
      </c>
      <c r="J63" s="656"/>
      <c r="K63" s="286" t="s">
        <v>153</v>
      </c>
      <c r="L63" s="287" t="s">
        <v>154</v>
      </c>
      <c r="M63" s="287" t="s">
        <v>155</v>
      </c>
      <c r="N63" s="287" t="s">
        <v>156</v>
      </c>
      <c r="O63" s="287" t="s">
        <v>157</v>
      </c>
      <c r="P63" s="287" t="s">
        <v>158</v>
      </c>
    </row>
    <row r="64" spans="2:18">
      <c r="B64" s="212" t="s">
        <v>187</v>
      </c>
      <c r="C64" s="212"/>
      <c r="D64" s="222">
        <v>219.94</v>
      </c>
      <c r="E64" s="222">
        <v>238.04</v>
      </c>
      <c r="F64" s="222">
        <v>302.73</v>
      </c>
      <c r="I64" s="657" t="s">
        <v>151</v>
      </c>
      <c r="J64" s="658"/>
      <c r="K64" s="207">
        <f>1*(K36*$J$61)+K36</f>
        <v>942.67340000000002</v>
      </c>
      <c r="L64" s="240">
        <f>ROUND((1*(L36*$J$61)+L36),2)</f>
        <v>35.06</v>
      </c>
      <c r="M64" s="240">
        <f>ROUND((1*(M36*$J$61)+M36),2)</f>
        <v>116.85</v>
      </c>
      <c r="N64" s="231">
        <f t="shared" ref="N64:N84" si="11">K64*$N$6</f>
        <v>1885.3468</v>
      </c>
      <c r="O64" s="231">
        <f t="shared" ref="O64:O84" si="12">K64</f>
        <v>942.67340000000002</v>
      </c>
      <c r="P64" s="240">
        <f>ROUND((1*(P36*$J$61)+P36),2)</f>
        <v>454.5</v>
      </c>
    </row>
    <row r="65" spans="2:16">
      <c r="B65" s="13" t="s">
        <v>188</v>
      </c>
      <c r="D65" s="223">
        <v>264.41000000000003</v>
      </c>
      <c r="E65" s="223">
        <v>294.08999999999997</v>
      </c>
      <c r="F65" s="223">
        <v>364.3</v>
      </c>
      <c r="I65" s="659" t="s">
        <v>137</v>
      </c>
      <c r="J65" s="660"/>
      <c r="K65" s="210">
        <f t="shared" ref="K65:K84" si="13">1*(K37*$J$61)+K37</f>
        <v>1137.1489000000001</v>
      </c>
      <c r="L65" s="241">
        <f t="shared" ref="L65:M84" si="14">ROUND((1*(L37*$J$61)+L37),2)</f>
        <v>35.06</v>
      </c>
      <c r="M65" s="9">
        <f t="shared" si="14"/>
        <v>116.85</v>
      </c>
      <c r="N65" s="232">
        <f t="shared" si="11"/>
        <v>2274.2978000000003</v>
      </c>
      <c r="O65" s="232">
        <f t="shared" si="12"/>
        <v>1137.1489000000001</v>
      </c>
      <c r="P65" s="232">
        <f t="shared" ref="P65:P84" si="15">ROUND((1*(P37*$J$61)+P37),2)</f>
        <v>454.5</v>
      </c>
    </row>
    <row r="66" spans="2:16">
      <c r="B66" s="212" t="s">
        <v>189</v>
      </c>
      <c r="C66" s="212"/>
      <c r="D66" s="222">
        <v>280.79000000000002</v>
      </c>
      <c r="E66" s="222">
        <v>302.98</v>
      </c>
      <c r="F66" s="222">
        <v>384.49</v>
      </c>
      <c r="I66" s="657" t="s">
        <v>138</v>
      </c>
      <c r="J66" s="658"/>
      <c r="K66" s="213">
        <f t="shared" si="13"/>
        <v>1202.2231999999999</v>
      </c>
      <c r="L66" s="240">
        <f t="shared" si="14"/>
        <v>35.06</v>
      </c>
      <c r="M66" s="31">
        <f t="shared" si="14"/>
        <v>116.85</v>
      </c>
      <c r="N66" s="231">
        <f t="shared" si="11"/>
        <v>2404.4463999999998</v>
      </c>
      <c r="O66" s="231">
        <f t="shared" si="12"/>
        <v>1202.2231999999999</v>
      </c>
      <c r="P66" s="231">
        <f t="shared" si="15"/>
        <v>454.5</v>
      </c>
    </row>
    <row r="67" spans="2:16">
      <c r="B67" s="13" t="s">
        <v>190</v>
      </c>
      <c r="D67" s="223">
        <v>343.31</v>
      </c>
      <c r="E67" s="223">
        <v>370.24</v>
      </c>
      <c r="F67" s="223">
        <v>442.03</v>
      </c>
      <c r="I67" s="659" t="s">
        <v>159</v>
      </c>
      <c r="J67" s="660"/>
      <c r="K67" s="210">
        <f t="shared" si="13"/>
        <v>1202.2433999999998</v>
      </c>
      <c r="L67" s="241">
        <f t="shared" si="14"/>
        <v>35.06</v>
      </c>
      <c r="M67" s="9">
        <f t="shared" si="14"/>
        <v>116.85</v>
      </c>
      <c r="N67" s="232">
        <f t="shared" si="11"/>
        <v>2404.4867999999997</v>
      </c>
      <c r="O67" s="232">
        <f t="shared" si="12"/>
        <v>1202.2433999999998</v>
      </c>
      <c r="P67" s="232">
        <f t="shared" si="15"/>
        <v>454.5</v>
      </c>
    </row>
    <row r="68" spans="2:16">
      <c r="B68" s="212" t="s">
        <v>191</v>
      </c>
      <c r="C68" s="212"/>
      <c r="D68" s="222">
        <v>385.86</v>
      </c>
      <c r="E68" s="222">
        <v>416.19</v>
      </c>
      <c r="F68" s="222">
        <v>532.79999999999995</v>
      </c>
      <c r="I68" s="657" t="s">
        <v>160</v>
      </c>
      <c r="J68" s="658"/>
      <c r="K68" s="213">
        <f t="shared" si="13"/>
        <v>1246.3399999999999</v>
      </c>
      <c r="L68" s="240">
        <f t="shared" si="14"/>
        <v>35.06</v>
      </c>
      <c r="M68" s="31">
        <f t="shared" si="14"/>
        <v>116.85</v>
      </c>
      <c r="N68" s="231">
        <f t="shared" si="11"/>
        <v>2492.6799999999998</v>
      </c>
      <c r="O68" s="231">
        <f t="shared" si="12"/>
        <v>1246.3399999999999</v>
      </c>
      <c r="P68" s="231">
        <f t="shared" si="15"/>
        <v>454.5</v>
      </c>
    </row>
    <row r="69" spans="2:16">
      <c r="B69" s="13" t="s">
        <v>192</v>
      </c>
      <c r="D69" s="223">
        <v>421.15</v>
      </c>
      <c r="E69" s="223">
        <v>454.5</v>
      </c>
      <c r="F69" s="223">
        <v>576.83000000000004</v>
      </c>
      <c r="I69" s="659" t="s">
        <v>139</v>
      </c>
      <c r="J69" s="660"/>
      <c r="K69" s="210">
        <f t="shared" si="13"/>
        <v>1252.9555</v>
      </c>
      <c r="L69" s="241">
        <f t="shared" si="14"/>
        <v>35.06</v>
      </c>
      <c r="M69" s="9">
        <f t="shared" si="14"/>
        <v>116.85</v>
      </c>
      <c r="N69" s="232">
        <f t="shared" si="11"/>
        <v>2505.9110000000001</v>
      </c>
      <c r="O69" s="232">
        <f t="shared" si="12"/>
        <v>1252.9555</v>
      </c>
      <c r="P69" s="232">
        <f t="shared" si="15"/>
        <v>454.5</v>
      </c>
    </row>
    <row r="70" spans="2:16">
      <c r="I70" s="657" t="s">
        <v>161</v>
      </c>
      <c r="J70" s="658"/>
      <c r="K70" s="213">
        <f t="shared" si="13"/>
        <v>1318.0298</v>
      </c>
      <c r="L70" s="240">
        <f t="shared" si="14"/>
        <v>35.06</v>
      </c>
      <c r="M70" s="31">
        <f t="shared" si="14"/>
        <v>116.85</v>
      </c>
      <c r="N70" s="231">
        <f t="shared" si="11"/>
        <v>2636.0596</v>
      </c>
      <c r="O70" s="231">
        <f t="shared" si="12"/>
        <v>1318.0298</v>
      </c>
      <c r="P70" s="231">
        <f t="shared" si="15"/>
        <v>454.5</v>
      </c>
    </row>
    <row r="71" spans="2:16">
      <c r="I71" s="659" t="s">
        <v>162</v>
      </c>
      <c r="J71" s="660"/>
      <c r="K71" s="210">
        <f t="shared" si="13"/>
        <v>1318.0298</v>
      </c>
      <c r="L71" s="241">
        <f t="shared" si="14"/>
        <v>35.06</v>
      </c>
      <c r="M71" s="9">
        <f t="shared" si="14"/>
        <v>116.85</v>
      </c>
      <c r="N71" s="232">
        <f t="shared" si="11"/>
        <v>2636.0596</v>
      </c>
      <c r="O71" s="232">
        <f t="shared" si="12"/>
        <v>1318.0298</v>
      </c>
      <c r="P71" s="232">
        <f t="shared" si="15"/>
        <v>454.5</v>
      </c>
    </row>
    <row r="72" spans="2:16">
      <c r="I72" s="657" t="s">
        <v>163</v>
      </c>
      <c r="J72" s="658"/>
      <c r="K72" s="213">
        <f t="shared" si="13"/>
        <v>1377.6097</v>
      </c>
      <c r="L72" s="240">
        <f t="shared" si="14"/>
        <v>35.06</v>
      </c>
      <c r="M72" s="31">
        <f t="shared" si="14"/>
        <v>116.85</v>
      </c>
      <c r="N72" s="231">
        <f t="shared" si="11"/>
        <v>2755.2194</v>
      </c>
      <c r="O72" s="231">
        <f t="shared" si="12"/>
        <v>1377.6097</v>
      </c>
      <c r="P72" s="231">
        <f t="shared" si="15"/>
        <v>454.5</v>
      </c>
    </row>
    <row r="73" spans="2:16">
      <c r="B73" s="654" t="s">
        <v>195</v>
      </c>
      <c r="C73" s="654"/>
      <c r="D73" s="654"/>
      <c r="E73" s="654"/>
      <c r="F73" s="654"/>
      <c r="I73" s="659" t="s">
        <v>164</v>
      </c>
      <c r="J73" s="660"/>
      <c r="K73" s="216">
        <f t="shared" si="13"/>
        <v>1377.6097</v>
      </c>
      <c r="L73" s="241">
        <f t="shared" si="14"/>
        <v>35.06</v>
      </c>
      <c r="M73" s="9">
        <f t="shared" si="14"/>
        <v>116.85</v>
      </c>
      <c r="N73" s="232">
        <f t="shared" si="11"/>
        <v>2755.2194</v>
      </c>
      <c r="O73" s="232">
        <f t="shared" si="12"/>
        <v>1377.6097</v>
      </c>
      <c r="P73" s="232">
        <f t="shared" si="15"/>
        <v>454.5</v>
      </c>
    </row>
    <row r="74" spans="2:16">
      <c r="I74" s="657" t="s">
        <v>166</v>
      </c>
      <c r="J74" s="658"/>
      <c r="K74" s="207">
        <f t="shared" si="13"/>
        <v>942.67340000000002</v>
      </c>
      <c r="L74" s="240">
        <f t="shared" si="14"/>
        <v>35.06</v>
      </c>
      <c r="M74" s="31">
        <f t="shared" si="14"/>
        <v>116.85</v>
      </c>
      <c r="N74" s="231">
        <f t="shared" si="11"/>
        <v>1885.3468</v>
      </c>
      <c r="O74" s="231">
        <f t="shared" si="12"/>
        <v>942.67340000000002</v>
      </c>
      <c r="P74" s="231">
        <f t="shared" si="15"/>
        <v>454.5</v>
      </c>
    </row>
    <row r="75" spans="2:16">
      <c r="I75" s="659" t="s">
        <v>167</v>
      </c>
      <c r="J75" s="660"/>
      <c r="K75" s="210">
        <f t="shared" si="13"/>
        <v>942.67340000000002</v>
      </c>
      <c r="L75" s="241">
        <f t="shared" si="14"/>
        <v>35.06</v>
      </c>
      <c r="M75" s="9">
        <f t="shared" si="14"/>
        <v>116.85</v>
      </c>
      <c r="N75" s="232">
        <f t="shared" si="11"/>
        <v>1885.3468</v>
      </c>
      <c r="O75" s="232">
        <f t="shared" si="12"/>
        <v>942.67340000000002</v>
      </c>
      <c r="P75" s="232">
        <f t="shared" si="15"/>
        <v>454.5</v>
      </c>
    </row>
    <row r="76" spans="2:16" ht="13.5" customHeight="1">
      <c r="B76" s="661" t="s">
        <v>196</v>
      </c>
      <c r="C76" s="661"/>
      <c r="D76" s="661"/>
      <c r="E76" s="661"/>
      <c r="F76" s="661"/>
      <c r="I76" s="657" t="s">
        <v>168</v>
      </c>
      <c r="J76" s="658"/>
      <c r="K76" s="213">
        <f t="shared" si="13"/>
        <v>1257.3793000000001</v>
      </c>
      <c r="L76" s="240">
        <f t="shared" si="14"/>
        <v>35.06</v>
      </c>
      <c r="M76" s="31">
        <f t="shared" si="14"/>
        <v>116.85</v>
      </c>
      <c r="N76" s="231">
        <f t="shared" si="11"/>
        <v>2514.7586000000001</v>
      </c>
      <c r="O76" s="231">
        <f t="shared" si="12"/>
        <v>1257.3793000000001</v>
      </c>
      <c r="P76" s="231">
        <f t="shared" si="15"/>
        <v>454.5</v>
      </c>
    </row>
    <row r="77" spans="2:16">
      <c r="B77" s="212" t="s">
        <v>197</v>
      </c>
      <c r="C77" s="212"/>
      <c r="D77" s="237"/>
      <c r="E77" s="212"/>
      <c r="F77" s="237">
        <v>13.59</v>
      </c>
      <c r="I77" s="659" t="s">
        <v>143</v>
      </c>
      <c r="J77" s="660"/>
      <c r="K77" s="210">
        <f t="shared" si="13"/>
        <v>1312.8484999999998</v>
      </c>
      <c r="L77" s="241">
        <f t="shared" si="14"/>
        <v>35.06</v>
      </c>
      <c r="M77" s="9">
        <f t="shared" si="14"/>
        <v>116.85</v>
      </c>
      <c r="N77" s="232">
        <f t="shared" si="11"/>
        <v>2625.6969999999997</v>
      </c>
      <c r="O77" s="232">
        <f t="shared" si="12"/>
        <v>1312.8484999999998</v>
      </c>
      <c r="P77" s="232">
        <f t="shared" si="15"/>
        <v>454.5</v>
      </c>
    </row>
    <row r="78" spans="2:16">
      <c r="B78" s="13" t="s">
        <v>198</v>
      </c>
      <c r="D78" s="227"/>
      <c r="F78" s="227">
        <v>1.81</v>
      </c>
      <c r="I78" s="657" t="s">
        <v>169</v>
      </c>
      <c r="J78" s="658"/>
      <c r="K78" s="213">
        <f t="shared" si="13"/>
        <v>1412.8890000000001</v>
      </c>
      <c r="L78" s="240">
        <f t="shared" si="14"/>
        <v>35.06</v>
      </c>
      <c r="M78" s="31">
        <f t="shared" si="14"/>
        <v>116.85</v>
      </c>
      <c r="N78" s="231">
        <f t="shared" si="11"/>
        <v>2825.7780000000002</v>
      </c>
      <c r="O78" s="231">
        <f t="shared" si="12"/>
        <v>1412.8890000000001</v>
      </c>
      <c r="P78" s="231">
        <f t="shared" si="15"/>
        <v>454.5</v>
      </c>
    </row>
    <row r="79" spans="2:16">
      <c r="B79" s="212" t="s">
        <v>199</v>
      </c>
      <c r="C79" s="212"/>
      <c r="D79" s="237"/>
      <c r="E79" s="212"/>
      <c r="F79" s="237">
        <v>0.93</v>
      </c>
      <c r="I79" s="659" t="s">
        <v>170</v>
      </c>
      <c r="J79" s="660"/>
      <c r="K79" s="210">
        <f t="shared" si="13"/>
        <v>1502.2234999999998</v>
      </c>
      <c r="L79" s="241">
        <f t="shared" si="14"/>
        <v>35.06</v>
      </c>
      <c r="M79" s="9">
        <f t="shared" si="14"/>
        <v>116.85</v>
      </c>
      <c r="N79" s="232">
        <f t="shared" si="11"/>
        <v>3004.4469999999997</v>
      </c>
      <c r="O79" s="232">
        <f t="shared" si="12"/>
        <v>1502.2234999999998</v>
      </c>
      <c r="P79" s="232">
        <f t="shared" si="15"/>
        <v>454.5</v>
      </c>
    </row>
    <row r="80" spans="2:16">
      <c r="I80" s="657" t="s">
        <v>172</v>
      </c>
      <c r="J80" s="658"/>
      <c r="K80" s="207">
        <f t="shared" si="13"/>
        <v>1687.1545000000001</v>
      </c>
      <c r="L80" s="240">
        <f t="shared" si="14"/>
        <v>35.06</v>
      </c>
      <c r="M80" s="31">
        <f t="shared" si="14"/>
        <v>116.85</v>
      </c>
      <c r="N80" s="231">
        <f t="shared" si="11"/>
        <v>3374.3090000000002</v>
      </c>
      <c r="O80" s="231">
        <f t="shared" si="12"/>
        <v>1687.1545000000001</v>
      </c>
      <c r="P80" s="231">
        <f t="shared" si="15"/>
        <v>454.5</v>
      </c>
    </row>
    <row r="81" spans="2:18">
      <c r="I81" s="659" t="s">
        <v>173</v>
      </c>
      <c r="J81" s="660"/>
      <c r="K81" s="210">
        <f t="shared" si="13"/>
        <v>1511.0913</v>
      </c>
      <c r="L81" s="241">
        <f t="shared" si="14"/>
        <v>35.06</v>
      </c>
      <c r="M81" s="9">
        <f t="shared" si="14"/>
        <v>116.85</v>
      </c>
      <c r="N81" s="232">
        <f t="shared" si="11"/>
        <v>3022.1826000000001</v>
      </c>
      <c r="O81" s="232">
        <f t="shared" si="12"/>
        <v>1511.0913</v>
      </c>
      <c r="P81" s="232">
        <f t="shared" si="15"/>
        <v>454.5</v>
      </c>
    </row>
    <row r="82" spans="2:18">
      <c r="B82" s="661" t="s">
        <v>200</v>
      </c>
      <c r="C82" s="661"/>
      <c r="D82" s="661"/>
      <c r="E82" s="661"/>
      <c r="F82" s="661"/>
      <c r="I82" s="657" t="s">
        <v>174</v>
      </c>
      <c r="J82" s="658"/>
      <c r="K82" s="213">
        <f t="shared" si="13"/>
        <v>1643.7851000000001</v>
      </c>
      <c r="L82" s="240">
        <f t="shared" si="14"/>
        <v>35.06</v>
      </c>
      <c r="M82" s="31">
        <f t="shared" si="14"/>
        <v>116.85</v>
      </c>
      <c r="N82" s="231">
        <f t="shared" si="11"/>
        <v>3287.5702000000001</v>
      </c>
      <c r="O82" s="231">
        <f t="shared" si="12"/>
        <v>1643.7851000000001</v>
      </c>
      <c r="P82" s="231">
        <f t="shared" si="15"/>
        <v>454.5</v>
      </c>
    </row>
    <row r="83" spans="2:18">
      <c r="B83" s="212" t="s">
        <v>201</v>
      </c>
      <c r="C83" s="212"/>
      <c r="D83" s="237"/>
      <c r="E83" s="212"/>
      <c r="F83" s="237">
        <v>11.23</v>
      </c>
      <c r="I83" s="659" t="s">
        <v>175</v>
      </c>
      <c r="J83" s="660"/>
      <c r="K83" s="210">
        <f t="shared" si="13"/>
        <v>1764.7225000000001</v>
      </c>
      <c r="L83" s="241">
        <f t="shared" si="14"/>
        <v>35.06</v>
      </c>
      <c r="M83" s="9">
        <f t="shared" si="14"/>
        <v>116.85</v>
      </c>
      <c r="N83" s="232">
        <f t="shared" si="11"/>
        <v>3529.4450000000002</v>
      </c>
      <c r="O83" s="232">
        <f t="shared" si="12"/>
        <v>1764.7225000000001</v>
      </c>
      <c r="P83" s="232">
        <f t="shared" si="15"/>
        <v>454.5</v>
      </c>
    </row>
    <row r="84" spans="2:18">
      <c r="B84" s="13" t="s">
        <v>202</v>
      </c>
      <c r="D84" s="227"/>
      <c r="F84" s="227">
        <v>56.14</v>
      </c>
      <c r="I84" s="657" t="s">
        <v>176</v>
      </c>
      <c r="J84" s="658"/>
      <c r="K84" s="219">
        <f t="shared" si="13"/>
        <v>2018.3941</v>
      </c>
      <c r="L84" s="240">
        <f t="shared" si="14"/>
        <v>35.06</v>
      </c>
      <c r="M84" s="31">
        <f t="shared" si="14"/>
        <v>116.85</v>
      </c>
      <c r="N84" s="231">
        <f t="shared" si="11"/>
        <v>4036.7882</v>
      </c>
      <c r="O84" s="231">
        <f t="shared" si="12"/>
        <v>2018.3941</v>
      </c>
      <c r="P84" s="231">
        <f t="shared" si="15"/>
        <v>454.5</v>
      </c>
    </row>
    <row r="85" spans="2:18">
      <c r="I85" s="13"/>
      <c r="J85" s="13"/>
      <c r="K85" s="228"/>
      <c r="M85" s="15"/>
      <c r="N85" s="228"/>
      <c r="O85" s="228"/>
      <c r="P85" s="228"/>
    </row>
    <row r="86" spans="2:18" ht="12.75" customHeight="1"/>
    <row r="87" spans="2:18">
      <c r="B87" s="661" t="s">
        <v>203</v>
      </c>
      <c r="C87" s="661"/>
      <c r="D87" s="661"/>
      <c r="E87" s="661"/>
      <c r="F87" s="661"/>
      <c r="I87" s="655" t="s">
        <v>204</v>
      </c>
      <c r="J87" s="655"/>
      <c r="K87" s="655"/>
      <c r="L87" s="655"/>
      <c r="M87" s="655"/>
      <c r="N87" s="655"/>
      <c r="O87" s="655"/>
      <c r="P87" s="655"/>
      <c r="Q87" s="655"/>
      <c r="R87" s="242"/>
    </row>
    <row r="88" spans="2:18">
      <c r="B88" s="212" t="s">
        <v>205</v>
      </c>
      <c r="C88" s="212"/>
      <c r="D88" s="237"/>
      <c r="E88" s="212"/>
      <c r="F88" s="237">
        <v>3300</v>
      </c>
      <c r="I88" s="226"/>
      <c r="J88" s="226"/>
      <c r="M88" s="227"/>
      <c r="N88" s="228"/>
      <c r="O88" s="228"/>
    </row>
    <row r="89" spans="2:18">
      <c r="B89" s="13" t="s">
        <v>206</v>
      </c>
      <c r="D89" s="227"/>
      <c r="F89" s="227">
        <v>3000</v>
      </c>
      <c r="I89" s="235" t="s">
        <v>194</v>
      </c>
      <c r="J89" s="236">
        <v>0.02</v>
      </c>
      <c r="K89" s="114"/>
      <c r="L89" s="114"/>
      <c r="M89" s="237"/>
      <c r="N89" s="238"/>
      <c r="O89" s="239"/>
      <c r="P89" s="114"/>
      <c r="Q89" s="244"/>
      <c r="R89" s="212"/>
    </row>
    <row r="90" spans="2:18">
      <c r="B90" s="212" t="s">
        <v>207</v>
      </c>
      <c r="C90" s="212"/>
      <c r="D90" s="237"/>
      <c r="E90" s="212"/>
      <c r="F90" s="237">
        <v>2650</v>
      </c>
      <c r="I90" s="226"/>
      <c r="J90" s="226"/>
      <c r="N90" s="229">
        <v>2</v>
      </c>
    </row>
    <row r="91" spans="2:18">
      <c r="B91" s="13" t="s">
        <v>208</v>
      </c>
      <c r="F91" s="227">
        <v>2300</v>
      </c>
      <c r="I91" s="656" t="s">
        <v>152</v>
      </c>
      <c r="J91" s="656"/>
      <c r="K91" s="286" t="s">
        <v>153</v>
      </c>
      <c r="L91" s="287" t="s">
        <v>154</v>
      </c>
      <c r="M91" s="287" t="s">
        <v>155</v>
      </c>
      <c r="N91" s="287" t="s">
        <v>156</v>
      </c>
      <c r="O91" s="287" t="s">
        <v>157</v>
      </c>
      <c r="P91" s="287" t="s">
        <v>158</v>
      </c>
    </row>
    <row r="92" spans="2:18">
      <c r="B92" s="212" t="s">
        <v>209</v>
      </c>
      <c r="C92" s="212"/>
      <c r="D92" s="212"/>
      <c r="E92" s="212"/>
      <c r="F92" s="237">
        <v>2000</v>
      </c>
      <c r="I92" s="657" t="s">
        <v>151</v>
      </c>
      <c r="J92" s="658"/>
      <c r="K92" s="207">
        <f>1*(K64*$J$89)+K64</f>
        <v>961.52686800000004</v>
      </c>
      <c r="L92" s="240">
        <f>ROUND((1*(L64*$J$89)+L64),2)</f>
        <v>35.76</v>
      </c>
      <c r="M92" s="240">
        <f>ROUND((1*(M64*$J$89)+M64),2)</f>
        <v>119.19</v>
      </c>
      <c r="N92" s="231">
        <f>K92*$N$6</f>
        <v>1923.0537360000001</v>
      </c>
      <c r="O92" s="231">
        <f>K92</f>
        <v>961.52686800000004</v>
      </c>
      <c r="P92" s="240">
        <f>ROUND((1*(P64*$J$89)+P64),2)</f>
        <v>463.59</v>
      </c>
    </row>
    <row r="93" spans="2:18">
      <c r="I93" s="659" t="s">
        <v>137</v>
      </c>
      <c r="J93" s="660"/>
      <c r="K93" s="210">
        <f t="shared" ref="K93:K112" si="16">1*(K65*$J$89)+K65</f>
        <v>1159.8918780000001</v>
      </c>
      <c r="L93" s="241">
        <f t="shared" ref="L93:M93" si="17">ROUND((1*(L65*$J$89)+L65),2)</f>
        <v>35.76</v>
      </c>
      <c r="M93" s="9">
        <f t="shared" si="17"/>
        <v>119.19</v>
      </c>
      <c r="N93" s="232">
        <f t="shared" ref="N93:N112" si="18">K93*$N$6</f>
        <v>2319.7837560000003</v>
      </c>
      <c r="O93" s="232">
        <f t="shared" ref="O93:O112" si="19">K93</f>
        <v>1159.8918780000001</v>
      </c>
      <c r="P93" s="232">
        <f t="shared" ref="P93:P112" si="20">ROUND((1*(P65*$J$89)+P65),2)</f>
        <v>463.59</v>
      </c>
    </row>
    <row r="94" spans="2:18">
      <c r="B94" s="661" t="s">
        <v>210</v>
      </c>
      <c r="C94" s="661"/>
      <c r="D94" s="661"/>
      <c r="E94" s="661"/>
      <c r="F94" s="661"/>
      <c r="I94" s="657" t="s">
        <v>138</v>
      </c>
      <c r="J94" s="658"/>
      <c r="K94" s="213">
        <f t="shared" si="16"/>
        <v>1226.267664</v>
      </c>
      <c r="L94" s="240">
        <f t="shared" ref="L94:M94" si="21">ROUND((1*(L66*$J$89)+L66),2)</f>
        <v>35.76</v>
      </c>
      <c r="M94" s="31">
        <f t="shared" si="21"/>
        <v>119.19</v>
      </c>
      <c r="N94" s="231">
        <f t="shared" si="18"/>
        <v>2452.5353279999999</v>
      </c>
      <c r="O94" s="231">
        <f t="shared" si="19"/>
        <v>1226.267664</v>
      </c>
      <c r="P94" s="231">
        <f t="shared" si="20"/>
        <v>463.59</v>
      </c>
    </row>
    <row r="95" spans="2:18">
      <c r="B95" s="212" t="s">
        <v>211</v>
      </c>
      <c r="C95" s="212"/>
      <c r="D95" s="237"/>
      <c r="E95" s="212"/>
      <c r="F95" s="237">
        <v>140</v>
      </c>
      <c r="I95" s="659" t="s">
        <v>159</v>
      </c>
      <c r="J95" s="660"/>
      <c r="K95" s="210">
        <f t="shared" si="16"/>
        <v>1226.2882679999998</v>
      </c>
      <c r="L95" s="241">
        <f t="shared" ref="L95:M95" si="22">ROUND((1*(L67*$J$89)+L67),2)</f>
        <v>35.76</v>
      </c>
      <c r="M95" s="9">
        <f t="shared" si="22"/>
        <v>119.19</v>
      </c>
      <c r="N95" s="232">
        <f t="shared" si="18"/>
        <v>2452.5765359999996</v>
      </c>
      <c r="O95" s="232">
        <f t="shared" si="19"/>
        <v>1226.2882679999998</v>
      </c>
      <c r="P95" s="232">
        <f t="shared" si="20"/>
        <v>463.59</v>
      </c>
    </row>
    <row r="96" spans="2:18">
      <c r="B96" s="13" t="s">
        <v>212</v>
      </c>
      <c r="D96" s="227"/>
      <c r="F96" s="227">
        <v>140</v>
      </c>
      <c r="I96" s="657" t="s">
        <v>160</v>
      </c>
      <c r="J96" s="658"/>
      <c r="K96" s="213">
        <f t="shared" si="16"/>
        <v>1271.2667999999999</v>
      </c>
      <c r="L96" s="240">
        <f t="shared" ref="L96:M96" si="23">ROUND((1*(L68*$J$89)+L68),2)</f>
        <v>35.76</v>
      </c>
      <c r="M96" s="31">
        <f t="shared" si="23"/>
        <v>119.19</v>
      </c>
      <c r="N96" s="231">
        <f t="shared" si="18"/>
        <v>2542.5335999999998</v>
      </c>
      <c r="O96" s="231">
        <f t="shared" si="19"/>
        <v>1271.2667999999999</v>
      </c>
      <c r="P96" s="231">
        <f t="shared" si="20"/>
        <v>463.59</v>
      </c>
    </row>
    <row r="97" spans="9:16">
      <c r="I97" s="659" t="s">
        <v>139</v>
      </c>
      <c r="J97" s="660"/>
      <c r="K97" s="210">
        <f t="shared" si="16"/>
        <v>1278.0146099999999</v>
      </c>
      <c r="L97" s="241">
        <f t="shared" ref="L97:M97" si="24">ROUND((1*(L69*$J$89)+L69),2)</f>
        <v>35.76</v>
      </c>
      <c r="M97" s="9">
        <f t="shared" si="24"/>
        <v>119.19</v>
      </c>
      <c r="N97" s="232">
        <f t="shared" si="18"/>
        <v>2556.0292199999999</v>
      </c>
      <c r="O97" s="232">
        <f t="shared" si="19"/>
        <v>1278.0146099999999</v>
      </c>
      <c r="P97" s="232">
        <f t="shared" si="20"/>
        <v>463.59</v>
      </c>
    </row>
    <row r="98" spans="9:16">
      <c r="I98" s="657" t="s">
        <v>161</v>
      </c>
      <c r="J98" s="658"/>
      <c r="K98" s="213">
        <f t="shared" si="16"/>
        <v>1344.390396</v>
      </c>
      <c r="L98" s="240">
        <f t="shared" ref="L98:M98" si="25">ROUND((1*(L70*$J$89)+L70),2)</f>
        <v>35.76</v>
      </c>
      <c r="M98" s="31">
        <f t="shared" si="25"/>
        <v>119.19</v>
      </c>
      <c r="N98" s="231">
        <f t="shared" si="18"/>
        <v>2688.780792</v>
      </c>
      <c r="O98" s="231">
        <f t="shared" si="19"/>
        <v>1344.390396</v>
      </c>
      <c r="P98" s="231">
        <f t="shared" si="20"/>
        <v>463.59</v>
      </c>
    </row>
    <row r="99" spans="9:16">
      <c r="I99" s="659" t="s">
        <v>162</v>
      </c>
      <c r="J99" s="660"/>
      <c r="K99" s="210">
        <f t="shared" si="16"/>
        <v>1344.390396</v>
      </c>
      <c r="L99" s="241">
        <f t="shared" ref="L99:M99" si="26">ROUND((1*(L71*$J$89)+L71),2)</f>
        <v>35.76</v>
      </c>
      <c r="M99" s="9">
        <f t="shared" si="26"/>
        <v>119.19</v>
      </c>
      <c r="N99" s="232">
        <f t="shared" si="18"/>
        <v>2688.780792</v>
      </c>
      <c r="O99" s="232">
        <f t="shared" si="19"/>
        <v>1344.390396</v>
      </c>
      <c r="P99" s="232">
        <f t="shared" si="20"/>
        <v>463.59</v>
      </c>
    </row>
    <row r="100" spans="9:16">
      <c r="I100" s="657" t="s">
        <v>163</v>
      </c>
      <c r="J100" s="658"/>
      <c r="K100" s="213">
        <f t="shared" si="16"/>
        <v>1405.1618940000001</v>
      </c>
      <c r="L100" s="240">
        <f t="shared" ref="L100:M100" si="27">ROUND((1*(L72*$J$89)+L72),2)</f>
        <v>35.76</v>
      </c>
      <c r="M100" s="31">
        <f t="shared" si="27"/>
        <v>119.19</v>
      </c>
      <c r="N100" s="231">
        <f t="shared" si="18"/>
        <v>2810.3237880000001</v>
      </c>
      <c r="O100" s="231">
        <f t="shared" si="19"/>
        <v>1405.1618940000001</v>
      </c>
      <c r="P100" s="231">
        <f t="shared" si="20"/>
        <v>463.59</v>
      </c>
    </row>
    <row r="101" spans="9:16">
      <c r="I101" s="659" t="s">
        <v>164</v>
      </c>
      <c r="J101" s="660"/>
      <c r="K101" s="216">
        <f t="shared" si="16"/>
        <v>1405.1618940000001</v>
      </c>
      <c r="L101" s="241">
        <f t="shared" ref="L101:M101" si="28">ROUND((1*(L73*$J$89)+L73),2)</f>
        <v>35.76</v>
      </c>
      <c r="M101" s="9">
        <f t="shared" si="28"/>
        <v>119.19</v>
      </c>
      <c r="N101" s="232">
        <f t="shared" si="18"/>
        <v>2810.3237880000001</v>
      </c>
      <c r="O101" s="232">
        <f t="shared" si="19"/>
        <v>1405.1618940000001</v>
      </c>
      <c r="P101" s="232">
        <f t="shared" si="20"/>
        <v>463.59</v>
      </c>
    </row>
    <row r="102" spans="9:16">
      <c r="I102" s="657" t="s">
        <v>166</v>
      </c>
      <c r="J102" s="658"/>
      <c r="K102" s="207">
        <f t="shared" si="16"/>
        <v>961.52686800000004</v>
      </c>
      <c r="L102" s="240">
        <f t="shared" ref="L102:M102" si="29">ROUND((1*(L74*$J$89)+L74),2)</f>
        <v>35.76</v>
      </c>
      <c r="M102" s="31">
        <f t="shared" si="29"/>
        <v>119.19</v>
      </c>
      <c r="N102" s="231">
        <f t="shared" si="18"/>
        <v>1923.0537360000001</v>
      </c>
      <c r="O102" s="231">
        <f t="shared" si="19"/>
        <v>961.52686800000004</v>
      </c>
      <c r="P102" s="231">
        <f t="shared" si="20"/>
        <v>463.59</v>
      </c>
    </row>
    <row r="103" spans="9:16">
      <c r="I103" s="659" t="s">
        <v>167</v>
      </c>
      <c r="J103" s="660"/>
      <c r="K103" s="210">
        <f t="shared" si="16"/>
        <v>961.52686800000004</v>
      </c>
      <c r="L103" s="241">
        <f t="shared" ref="L103:M103" si="30">ROUND((1*(L75*$J$89)+L75),2)</f>
        <v>35.76</v>
      </c>
      <c r="M103" s="9">
        <f t="shared" si="30"/>
        <v>119.19</v>
      </c>
      <c r="N103" s="232">
        <f t="shared" si="18"/>
        <v>1923.0537360000001</v>
      </c>
      <c r="O103" s="232">
        <f t="shared" si="19"/>
        <v>961.52686800000004</v>
      </c>
      <c r="P103" s="232">
        <f t="shared" si="20"/>
        <v>463.59</v>
      </c>
    </row>
    <row r="104" spans="9:16">
      <c r="I104" s="657" t="s">
        <v>168</v>
      </c>
      <c r="J104" s="658"/>
      <c r="K104" s="213">
        <f t="shared" si="16"/>
        <v>1282.5268860000001</v>
      </c>
      <c r="L104" s="240">
        <f t="shared" ref="L104:M104" si="31">ROUND((1*(L76*$J$89)+L76),2)</f>
        <v>35.76</v>
      </c>
      <c r="M104" s="31">
        <f t="shared" si="31"/>
        <v>119.19</v>
      </c>
      <c r="N104" s="231">
        <f t="shared" si="18"/>
        <v>2565.0537720000002</v>
      </c>
      <c r="O104" s="231">
        <f t="shared" si="19"/>
        <v>1282.5268860000001</v>
      </c>
      <c r="P104" s="231">
        <f t="shared" si="20"/>
        <v>463.59</v>
      </c>
    </row>
    <row r="105" spans="9:16">
      <c r="I105" s="659" t="s">
        <v>143</v>
      </c>
      <c r="J105" s="660"/>
      <c r="K105" s="210">
        <f t="shared" si="16"/>
        <v>1339.1054699999997</v>
      </c>
      <c r="L105" s="241">
        <f t="shared" ref="L105:M105" si="32">ROUND((1*(L77*$J$89)+L77),2)</f>
        <v>35.76</v>
      </c>
      <c r="M105" s="9">
        <f t="shared" si="32"/>
        <v>119.19</v>
      </c>
      <c r="N105" s="232">
        <f t="shared" si="18"/>
        <v>2678.2109399999995</v>
      </c>
      <c r="O105" s="232">
        <f t="shared" si="19"/>
        <v>1339.1054699999997</v>
      </c>
      <c r="P105" s="232">
        <f t="shared" si="20"/>
        <v>463.59</v>
      </c>
    </row>
    <row r="106" spans="9:16">
      <c r="I106" s="657" t="s">
        <v>169</v>
      </c>
      <c r="J106" s="658"/>
      <c r="K106" s="213">
        <f t="shared" si="16"/>
        <v>1441.14678</v>
      </c>
      <c r="L106" s="240">
        <f t="shared" ref="L106:M106" si="33">ROUND((1*(L78*$J$89)+L78),2)</f>
        <v>35.76</v>
      </c>
      <c r="M106" s="31">
        <f t="shared" si="33"/>
        <v>119.19</v>
      </c>
      <c r="N106" s="231">
        <f t="shared" si="18"/>
        <v>2882.2935600000001</v>
      </c>
      <c r="O106" s="231">
        <f t="shared" si="19"/>
        <v>1441.14678</v>
      </c>
      <c r="P106" s="231">
        <f t="shared" si="20"/>
        <v>463.59</v>
      </c>
    </row>
    <row r="107" spans="9:16">
      <c r="I107" s="659" t="s">
        <v>170</v>
      </c>
      <c r="J107" s="660"/>
      <c r="K107" s="210">
        <f t="shared" si="16"/>
        <v>1532.2679699999999</v>
      </c>
      <c r="L107" s="241">
        <f t="shared" ref="L107:M107" si="34">ROUND((1*(L79*$J$89)+L79),2)</f>
        <v>35.76</v>
      </c>
      <c r="M107" s="9">
        <f t="shared" si="34"/>
        <v>119.19</v>
      </c>
      <c r="N107" s="232">
        <f t="shared" si="18"/>
        <v>3064.5359399999998</v>
      </c>
      <c r="O107" s="232">
        <f t="shared" si="19"/>
        <v>1532.2679699999999</v>
      </c>
      <c r="P107" s="232">
        <f t="shared" si="20"/>
        <v>463.59</v>
      </c>
    </row>
    <row r="108" spans="9:16">
      <c r="I108" s="657" t="s">
        <v>172</v>
      </c>
      <c r="J108" s="658"/>
      <c r="K108" s="207">
        <f t="shared" si="16"/>
        <v>1720.89759</v>
      </c>
      <c r="L108" s="240">
        <f t="shared" ref="L108:M108" si="35">ROUND((1*(L80*$J$89)+L80),2)</f>
        <v>35.76</v>
      </c>
      <c r="M108" s="31">
        <f t="shared" si="35"/>
        <v>119.19</v>
      </c>
      <c r="N108" s="231">
        <f t="shared" si="18"/>
        <v>3441.7951800000001</v>
      </c>
      <c r="O108" s="231">
        <f t="shared" si="19"/>
        <v>1720.89759</v>
      </c>
      <c r="P108" s="231">
        <f t="shared" si="20"/>
        <v>463.59</v>
      </c>
    </row>
    <row r="109" spans="9:16">
      <c r="I109" s="659" t="s">
        <v>173</v>
      </c>
      <c r="J109" s="660"/>
      <c r="K109" s="210">
        <f t="shared" si="16"/>
        <v>1541.313126</v>
      </c>
      <c r="L109" s="241">
        <f t="shared" ref="L109:M109" si="36">ROUND((1*(L81*$J$89)+L81),2)</f>
        <v>35.76</v>
      </c>
      <c r="M109" s="9">
        <f t="shared" si="36"/>
        <v>119.19</v>
      </c>
      <c r="N109" s="232">
        <f t="shared" si="18"/>
        <v>3082.626252</v>
      </c>
      <c r="O109" s="232">
        <f t="shared" si="19"/>
        <v>1541.313126</v>
      </c>
      <c r="P109" s="232">
        <f t="shared" si="20"/>
        <v>463.59</v>
      </c>
    </row>
    <row r="110" spans="9:16">
      <c r="I110" s="657" t="s">
        <v>174</v>
      </c>
      <c r="J110" s="658"/>
      <c r="K110" s="213">
        <f t="shared" si="16"/>
        <v>1676.6608020000001</v>
      </c>
      <c r="L110" s="240">
        <f t="shared" ref="L110:M110" si="37">ROUND((1*(L82*$J$89)+L82),2)</f>
        <v>35.76</v>
      </c>
      <c r="M110" s="31">
        <f t="shared" si="37"/>
        <v>119.19</v>
      </c>
      <c r="N110" s="231">
        <f t="shared" si="18"/>
        <v>3353.3216040000002</v>
      </c>
      <c r="O110" s="231">
        <f t="shared" si="19"/>
        <v>1676.6608020000001</v>
      </c>
      <c r="P110" s="231">
        <f t="shared" si="20"/>
        <v>463.59</v>
      </c>
    </row>
    <row r="111" spans="9:16" ht="12.75" customHeight="1">
      <c r="I111" s="659" t="s">
        <v>175</v>
      </c>
      <c r="J111" s="660"/>
      <c r="K111" s="210">
        <f t="shared" si="16"/>
        <v>1800.0169500000002</v>
      </c>
      <c r="L111" s="241">
        <f t="shared" ref="L111:M111" si="38">ROUND((1*(L83*$J$89)+L83),2)</f>
        <v>35.76</v>
      </c>
      <c r="M111" s="9">
        <f t="shared" si="38"/>
        <v>119.19</v>
      </c>
      <c r="N111" s="232">
        <f t="shared" si="18"/>
        <v>3600.0339000000004</v>
      </c>
      <c r="O111" s="232">
        <f t="shared" si="19"/>
        <v>1800.0169500000002</v>
      </c>
      <c r="P111" s="232">
        <f t="shared" si="20"/>
        <v>463.59</v>
      </c>
    </row>
    <row r="112" spans="9:16">
      <c r="I112" s="657" t="s">
        <v>176</v>
      </c>
      <c r="J112" s="658"/>
      <c r="K112" s="219">
        <f t="shared" si="16"/>
        <v>2058.761982</v>
      </c>
      <c r="L112" s="240">
        <f t="shared" ref="L112:M112" si="39">ROUND((1*(L84*$J$89)+L84),2)</f>
        <v>35.76</v>
      </c>
      <c r="M112" s="31">
        <f t="shared" si="39"/>
        <v>119.19</v>
      </c>
      <c r="N112" s="231">
        <f t="shared" si="18"/>
        <v>4117.523964</v>
      </c>
      <c r="O112" s="231">
        <f t="shared" si="19"/>
        <v>2058.761982</v>
      </c>
      <c r="P112" s="231">
        <f t="shared" si="20"/>
        <v>463.59</v>
      </c>
    </row>
    <row r="113" spans="9:18" ht="15" customHeight="1">
      <c r="I113" s="226"/>
      <c r="J113" s="226"/>
      <c r="M113" s="227"/>
      <c r="N113" s="228"/>
      <c r="O113" s="228"/>
    </row>
    <row r="114" spans="9:18">
      <c r="I114" s="226"/>
      <c r="J114" s="226"/>
      <c r="M114" s="227"/>
      <c r="N114" s="228"/>
      <c r="O114" s="228"/>
    </row>
    <row r="115" spans="9:18">
      <c r="I115" s="655" t="s">
        <v>213</v>
      </c>
      <c r="J115" s="655"/>
      <c r="K115" s="655"/>
      <c r="L115" s="655"/>
      <c r="M115" s="655"/>
      <c r="N115" s="655"/>
      <c r="O115" s="655"/>
      <c r="P115" s="655"/>
      <c r="Q115" s="655"/>
      <c r="R115" s="242"/>
    </row>
    <row r="116" spans="9:18">
      <c r="I116" s="226"/>
      <c r="J116" s="226"/>
      <c r="M116" s="227"/>
      <c r="N116" s="228"/>
      <c r="O116" s="228"/>
    </row>
    <row r="117" spans="9:18">
      <c r="I117" s="235" t="s">
        <v>194</v>
      </c>
      <c r="J117" s="236">
        <v>0.02</v>
      </c>
      <c r="K117" s="114"/>
      <c r="L117" s="114"/>
      <c r="M117" s="237"/>
      <c r="N117" s="238"/>
      <c r="O117" s="239"/>
      <c r="P117" s="114"/>
      <c r="Q117" s="244"/>
      <c r="R117" s="212"/>
    </row>
    <row r="118" spans="9:18">
      <c r="I118" s="226"/>
      <c r="J118" s="226"/>
      <c r="N118" s="229">
        <v>2</v>
      </c>
    </row>
    <row r="119" spans="9:18">
      <c r="I119" s="656" t="s">
        <v>152</v>
      </c>
      <c r="J119" s="656"/>
      <c r="K119" s="286" t="s">
        <v>153</v>
      </c>
      <c r="L119" s="287" t="s">
        <v>154</v>
      </c>
      <c r="M119" s="287" t="s">
        <v>155</v>
      </c>
      <c r="N119" s="287" t="s">
        <v>156</v>
      </c>
      <c r="O119" s="287" t="s">
        <v>157</v>
      </c>
      <c r="P119" s="287" t="s">
        <v>158</v>
      </c>
    </row>
    <row r="120" spans="9:18">
      <c r="I120" s="657" t="s">
        <v>151</v>
      </c>
      <c r="J120" s="658"/>
      <c r="K120" s="207">
        <f>1*(K92*$J$117)+K92</f>
        <v>980.75740536000001</v>
      </c>
      <c r="L120" s="240">
        <f>ROUND((1*(L92*$J$117)+L92),2)</f>
        <v>36.479999999999997</v>
      </c>
      <c r="M120" s="240">
        <f>ROUND((1*(M92*$J$117)+M92),2)</f>
        <v>121.57</v>
      </c>
      <c r="N120" s="231">
        <f>K120*$N$6</f>
        <v>1961.51481072</v>
      </c>
      <c r="O120" s="231">
        <f t="shared" ref="O120" si="40">K120</f>
        <v>980.75740536000001</v>
      </c>
      <c r="P120" s="240">
        <f>ROUND((1*(P92*$J$117)+P92),2)</f>
        <v>472.86</v>
      </c>
    </row>
    <row r="121" spans="9:18">
      <c r="I121" s="659" t="s">
        <v>137</v>
      </c>
      <c r="J121" s="660"/>
      <c r="K121" s="210">
        <f t="shared" ref="K121:K140" si="41">1*(K93*$J$117)+K93</f>
        <v>1183.0897155600001</v>
      </c>
      <c r="L121" s="241">
        <f t="shared" ref="L121:M121" si="42">ROUND((1*(L93*$J$117)+L93),2)</f>
        <v>36.479999999999997</v>
      </c>
      <c r="M121" s="9">
        <f t="shared" si="42"/>
        <v>121.57</v>
      </c>
      <c r="N121" s="232">
        <f t="shared" ref="N121:N140" si="43">K121*$N$6</f>
        <v>2366.1794311200001</v>
      </c>
      <c r="O121" s="232">
        <f t="shared" ref="O121:O140" si="44">K121</f>
        <v>1183.0897155600001</v>
      </c>
      <c r="P121" s="232">
        <f t="shared" ref="P121:P140" si="45">ROUND((1*(P93*$J$117)+P93),2)</f>
        <v>472.86</v>
      </c>
    </row>
    <row r="122" spans="9:18">
      <c r="I122" s="657" t="s">
        <v>138</v>
      </c>
      <c r="J122" s="658"/>
      <c r="K122" s="213">
        <f t="shared" si="41"/>
        <v>1250.79301728</v>
      </c>
      <c r="L122" s="240">
        <f t="shared" ref="L122:M122" si="46">ROUND((1*(L94*$J$117)+L94),2)</f>
        <v>36.479999999999997</v>
      </c>
      <c r="M122" s="31">
        <f t="shared" si="46"/>
        <v>121.57</v>
      </c>
      <c r="N122" s="231">
        <f t="shared" si="43"/>
        <v>2501.5860345599999</v>
      </c>
      <c r="O122" s="231">
        <f t="shared" si="44"/>
        <v>1250.79301728</v>
      </c>
      <c r="P122" s="231">
        <f t="shared" si="45"/>
        <v>472.86</v>
      </c>
    </row>
    <row r="123" spans="9:18">
      <c r="I123" s="659" t="s">
        <v>159</v>
      </c>
      <c r="J123" s="660"/>
      <c r="K123" s="210">
        <f t="shared" si="41"/>
        <v>1250.8140333599997</v>
      </c>
      <c r="L123" s="241">
        <f t="shared" ref="L123:M123" si="47">ROUND((1*(L95*$J$117)+L95),2)</f>
        <v>36.479999999999997</v>
      </c>
      <c r="M123" s="9">
        <f t="shared" si="47"/>
        <v>121.57</v>
      </c>
      <c r="N123" s="232">
        <f t="shared" si="43"/>
        <v>2501.6280667199994</v>
      </c>
      <c r="O123" s="232">
        <f t="shared" si="44"/>
        <v>1250.8140333599997</v>
      </c>
      <c r="P123" s="232">
        <f t="shared" si="45"/>
        <v>472.86</v>
      </c>
    </row>
    <row r="124" spans="9:18">
      <c r="I124" s="657" t="s">
        <v>160</v>
      </c>
      <c r="J124" s="658"/>
      <c r="K124" s="213">
        <f t="shared" si="41"/>
        <v>1296.6921359999999</v>
      </c>
      <c r="L124" s="240">
        <f t="shared" ref="L124:M124" si="48">ROUND((1*(L96*$J$117)+L96),2)</f>
        <v>36.479999999999997</v>
      </c>
      <c r="M124" s="31">
        <f t="shared" si="48"/>
        <v>121.57</v>
      </c>
      <c r="N124" s="231">
        <f t="shared" si="43"/>
        <v>2593.3842719999998</v>
      </c>
      <c r="O124" s="231">
        <f t="shared" si="44"/>
        <v>1296.6921359999999</v>
      </c>
      <c r="P124" s="231">
        <f t="shared" si="45"/>
        <v>472.86</v>
      </c>
    </row>
    <row r="125" spans="9:18">
      <c r="I125" s="659" t="s">
        <v>139</v>
      </c>
      <c r="J125" s="660"/>
      <c r="K125" s="210">
        <f t="shared" si="41"/>
        <v>1303.5749022</v>
      </c>
      <c r="L125" s="241">
        <f t="shared" ref="L125:M125" si="49">ROUND((1*(L97*$J$117)+L97),2)</f>
        <v>36.479999999999997</v>
      </c>
      <c r="M125" s="9">
        <f t="shared" si="49"/>
        <v>121.57</v>
      </c>
      <c r="N125" s="232">
        <f t="shared" si="43"/>
        <v>2607.1498044</v>
      </c>
      <c r="O125" s="232">
        <f t="shared" si="44"/>
        <v>1303.5749022</v>
      </c>
      <c r="P125" s="232">
        <f t="shared" si="45"/>
        <v>472.86</v>
      </c>
    </row>
    <row r="126" spans="9:18">
      <c r="I126" s="657" t="s">
        <v>161</v>
      </c>
      <c r="J126" s="658"/>
      <c r="K126" s="213">
        <f t="shared" si="41"/>
        <v>1371.2782039200001</v>
      </c>
      <c r="L126" s="240">
        <f t="shared" ref="L126:M126" si="50">ROUND((1*(L98*$J$117)+L98),2)</f>
        <v>36.479999999999997</v>
      </c>
      <c r="M126" s="31">
        <f t="shared" si="50"/>
        <v>121.57</v>
      </c>
      <c r="N126" s="231">
        <f t="shared" si="43"/>
        <v>2742.5564078400002</v>
      </c>
      <c r="O126" s="231">
        <f t="shared" si="44"/>
        <v>1371.2782039200001</v>
      </c>
      <c r="P126" s="231">
        <f t="shared" si="45"/>
        <v>472.86</v>
      </c>
    </row>
    <row r="127" spans="9:18">
      <c r="I127" s="659" t="s">
        <v>162</v>
      </c>
      <c r="J127" s="660"/>
      <c r="K127" s="210">
        <f t="shared" si="41"/>
        <v>1371.2782039200001</v>
      </c>
      <c r="L127" s="241">
        <f t="shared" ref="L127:M127" si="51">ROUND((1*(L99*$J$117)+L99),2)</f>
        <v>36.479999999999997</v>
      </c>
      <c r="M127" s="9">
        <f t="shared" si="51"/>
        <v>121.57</v>
      </c>
      <c r="N127" s="232">
        <f t="shared" si="43"/>
        <v>2742.5564078400002</v>
      </c>
      <c r="O127" s="232">
        <f t="shared" si="44"/>
        <v>1371.2782039200001</v>
      </c>
      <c r="P127" s="232">
        <f t="shared" si="45"/>
        <v>472.86</v>
      </c>
    </row>
    <row r="128" spans="9:18">
      <c r="I128" s="657" t="s">
        <v>163</v>
      </c>
      <c r="J128" s="658"/>
      <c r="K128" s="213">
        <f t="shared" si="41"/>
        <v>1433.2651318800001</v>
      </c>
      <c r="L128" s="240">
        <f t="shared" ref="L128:M128" si="52">ROUND((1*(L100*$J$117)+L100),2)</f>
        <v>36.479999999999997</v>
      </c>
      <c r="M128" s="31">
        <f t="shared" si="52"/>
        <v>121.57</v>
      </c>
      <c r="N128" s="231">
        <f t="shared" si="43"/>
        <v>2866.5302637600003</v>
      </c>
      <c r="O128" s="231">
        <f t="shared" si="44"/>
        <v>1433.2651318800001</v>
      </c>
      <c r="P128" s="231">
        <f t="shared" si="45"/>
        <v>472.86</v>
      </c>
    </row>
    <row r="129" spans="2:18">
      <c r="I129" s="659" t="s">
        <v>164</v>
      </c>
      <c r="J129" s="660"/>
      <c r="K129" s="216">
        <f t="shared" si="41"/>
        <v>1433.2651318800001</v>
      </c>
      <c r="L129" s="241">
        <f t="shared" ref="L129:M129" si="53">ROUND((1*(L101*$J$117)+L101),2)</f>
        <v>36.479999999999997</v>
      </c>
      <c r="M129" s="9">
        <f t="shared" si="53"/>
        <v>121.57</v>
      </c>
      <c r="N129" s="232">
        <f t="shared" si="43"/>
        <v>2866.5302637600003</v>
      </c>
      <c r="O129" s="232">
        <f t="shared" si="44"/>
        <v>1433.2651318800001</v>
      </c>
      <c r="P129" s="232">
        <f t="shared" si="45"/>
        <v>472.86</v>
      </c>
    </row>
    <row r="130" spans="2:18">
      <c r="I130" s="657" t="s">
        <v>166</v>
      </c>
      <c r="J130" s="658"/>
      <c r="K130" s="207">
        <f t="shared" si="41"/>
        <v>980.75740536000001</v>
      </c>
      <c r="L130" s="240">
        <f t="shared" ref="L130:M130" si="54">ROUND((1*(L102*$J$117)+L102),2)</f>
        <v>36.479999999999997</v>
      </c>
      <c r="M130" s="31">
        <f t="shared" si="54"/>
        <v>121.57</v>
      </c>
      <c r="N130" s="231">
        <f t="shared" si="43"/>
        <v>1961.51481072</v>
      </c>
      <c r="O130" s="231">
        <f t="shared" si="44"/>
        <v>980.75740536000001</v>
      </c>
      <c r="P130" s="231">
        <f t="shared" si="45"/>
        <v>472.86</v>
      </c>
    </row>
    <row r="131" spans="2:18">
      <c r="I131" s="659" t="s">
        <v>167</v>
      </c>
      <c r="J131" s="660"/>
      <c r="K131" s="210">
        <f t="shared" si="41"/>
        <v>980.75740536000001</v>
      </c>
      <c r="L131" s="241">
        <f t="shared" ref="L131:M131" si="55">ROUND((1*(L103*$J$117)+L103),2)</f>
        <v>36.479999999999997</v>
      </c>
      <c r="M131" s="9">
        <f t="shared" si="55"/>
        <v>121.57</v>
      </c>
      <c r="N131" s="232">
        <f t="shared" si="43"/>
        <v>1961.51481072</v>
      </c>
      <c r="O131" s="232">
        <f t="shared" si="44"/>
        <v>980.75740536000001</v>
      </c>
      <c r="P131" s="232">
        <f t="shared" si="45"/>
        <v>472.86</v>
      </c>
    </row>
    <row r="132" spans="2:18">
      <c r="I132" s="657" t="s">
        <v>168</v>
      </c>
      <c r="J132" s="658"/>
      <c r="K132" s="213">
        <f t="shared" si="41"/>
        <v>1308.1774237200002</v>
      </c>
      <c r="L132" s="240">
        <f t="shared" ref="L132:M132" si="56">ROUND((1*(L104*$J$117)+L104),2)</f>
        <v>36.479999999999997</v>
      </c>
      <c r="M132" s="31">
        <f t="shared" si="56"/>
        <v>121.57</v>
      </c>
      <c r="N132" s="231">
        <f t="shared" si="43"/>
        <v>2616.3548474400004</v>
      </c>
      <c r="O132" s="231">
        <f t="shared" si="44"/>
        <v>1308.1774237200002</v>
      </c>
      <c r="P132" s="231">
        <f t="shared" si="45"/>
        <v>472.86</v>
      </c>
    </row>
    <row r="133" spans="2:18">
      <c r="I133" s="659" t="s">
        <v>143</v>
      </c>
      <c r="J133" s="660"/>
      <c r="K133" s="210">
        <f t="shared" si="41"/>
        <v>1365.8875793999998</v>
      </c>
      <c r="L133" s="241">
        <f t="shared" ref="L133:M133" si="57">ROUND((1*(L105*$J$117)+L105),2)</f>
        <v>36.479999999999997</v>
      </c>
      <c r="M133" s="9">
        <f t="shared" si="57"/>
        <v>121.57</v>
      </c>
      <c r="N133" s="232">
        <f t="shared" si="43"/>
        <v>2731.7751587999996</v>
      </c>
      <c r="O133" s="232">
        <f t="shared" si="44"/>
        <v>1365.8875793999998</v>
      </c>
      <c r="P133" s="232">
        <f t="shared" si="45"/>
        <v>472.86</v>
      </c>
    </row>
    <row r="134" spans="2:18">
      <c r="I134" s="657" t="s">
        <v>169</v>
      </c>
      <c r="J134" s="658"/>
      <c r="K134" s="213">
        <f t="shared" si="41"/>
        <v>1469.9697156</v>
      </c>
      <c r="L134" s="240">
        <f t="shared" ref="L134:M134" si="58">ROUND((1*(L106*$J$117)+L106),2)</f>
        <v>36.479999999999997</v>
      </c>
      <c r="M134" s="31">
        <f t="shared" si="58"/>
        <v>121.57</v>
      </c>
      <c r="N134" s="231">
        <f t="shared" si="43"/>
        <v>2939.9394311999999</v>
      </c>
      <c r="O134" s="231">
        <f t="shared" si="44"/>
        <v>1469.9697156</v>
      </c>
      <c r="P134" s="231">
        <f t="shared" si="45"/>
        <v>472.86</v>
      </c>
    </row>
    <row r="135" spans="2:18">
      <c r="I135" s="659" t="s">
        <v>170</v>
      </c>
      <c r="J135" s="660"/>
      <c r="K135" s="210">
        <f t="shared" si="41"/>
        <v>1562.9133293999998</v>
      </c>
      <c r="L135" s="241">
        <f t="shared" ref="L135:M135" si="59">ROUND((1*(L107*$J$117)+L107),2)</f>
        <v>36.479999999999997</v>
      </c>
      <c r="M135" s="9">
        <f t="shared" si="59"/>
        <v>121.57</v>
      </c>
      <c r="N135" s="232">
        <f t="shared" si="43"/>
        <v>3125.8266587999997</v>
      </c>
      <c r="O135" s="232">
        <f t="shared" si="44"/>
        <v>1562.9133293999998</v>
      </c>
      <c r="P135" s="232">
        <f t="shared" si="45"/>
        <v>472.86</v>
      </c>
    </row>
    <row r="136" spans="2:18" ht="12.75" customHeight="1">
      <c r="I136" s="657" t="s">
        <v>172</v>
      </c>
      <c r="J136" s="658"/>
      <c r="K136" s="207">
        <f t="shared" si="41"/>
        <v>1755.3155418000001</v>
      </c>
      <c r="L136" s="240">
        <f t="shared" ref="L136:M136" si="60">ROUND((1*(L108*$J$117)+L108),2)</f>
        <v>36.479999999999997</v>
      </c>
      <c r="M136" s="31">
        <f t="shared" si="60"/>
        <v>121.57</v>
      </c>
      <c r="N136" s="231">
        <f t="shared" si="43"/>
        <v>3510.6310836000002</v>
      </c>
      <c r="O136" s="231">
        <f t="shared" si="44"/>
        <v>1755.3155418000001</v>
      </c>
      <c r="P136" s="231">
        <f t="shared" si="45"/>
        <v>472.86</v>
      </c>
    </row>
    <row r="137" spans="2:18">
      <c r="I137" s="659" t="s">
        <v>173</v>
      </c>
      <c r="J137" s="660"/>
      <c r="K137" s="210">
        <f t="shared" si="41"/>
        <v>1572.13938852</v>
      </c>
      <c r="L137" s="241">
        <f t="shared" ref="L137:M137" si="61">ROUND((1*(L109*$J$117)+L109),2)</f>
        <v>36.479999999999997</v>
      </c>
      <c r="M137" s="9">
        <f t="shared" si="61"/>
        <v>121.57</v>
      </c>
      <c r="N137" s="232">
        <f t="shared" si="43"/>
        <v>3144.27877704</v>
      </c>
      <c r="O137" s="232">
        <f t="shared" si="44"/>
        <v>1572.13938852</v>
      </c>
      <c r="P137" s="232">
        <f t="shared" si="45"/>
        <v>472.86</v>
      </c>
    </row>
    <row r="138" spans="2:18" ht="15" customHeight="1">
      <c r="I138" s="657" t="s">
        <v>174</v>
      </c>
      <c r="J138" s="658"/>
      <c r="K138" s="213">
        <f t="shared" si="41"/>
        <v>1710.1940180400002</v>
      </c>
      <c r="L138" s="240">
        <f t="shared" ref="L138:M138" si="62">ROUND((1*(L110*$J$117)+L110),2)</f>
        <v>36.479999999999997</v>
      </c>
      <c r="M138" s="31">
        <f t="shared" si="62"/>
        <v>121.57</v>
      </c>
      <c r="N138" s="231">
        <f t="shared" si="43"/>
        <v>3420.3880360800003</v>
      </c>
      <c r="O138" s="231">
        <f t="shared" si="44"/>
        <v>1710.1940180400002</v>
      </c>
      <c r="P138" s="231">
        <f t="shared" si="45"/>
        <v>472.86</v>
      </c>
    </row>
    <row r="139" spans="2:18">
      <c r="I139" s="659" t="s">
        <v>175</v>
      </c>
      <c r="J139" s="660"/>
      <c r="K139" s="210">
        <f t="shared" si="41"/>
        <v>1836.0172890000001</v>
      </c>
      <c r="L139" s="241">
        <f t="shared" ref="L139:M139" si="63">ROUND((1*(L111*$J$117)+L111),2)</f>
        <v>36.479999999999997</v>
      </c>
      <c r="M139" s="9">
        <f t="shared" si="63"/>
        <v>121.57</v>
      </c>
      <c r="N139" s="232">
        <f t="shared" si="43"/>
        <v>3672.0345780000002</v>
      </c>
      <c r="O139" s="232">
        <f t="shared" si="44"/>
        <v>1836.0172890000001</v>
      </c>
      <c r="P139" s="232">
        <f t="shared" si="45"/>
        <v>472.86</v>
      </c>
    </row>
    <row r="140" spans="2:18">
      <c r="I140" s="657" t="s">
        <v>176</v>
      </c>
      <c r="J140" s="658"/>
      <c r="K140" s="219">
        <f t="shared" si="41"/>
        <v>2099.9372216400002</v>
      </c>
      <c r="L140" s="240">
        <f t="shared" ref="L140:M140" si="64">ROUND((1*(L112*$J$117)+L112),2)</f>
        <v>36.479999999999997</v>
      </c>
      <c r="M140" s="31">
        <f t="shared" si="64"/>
        <v>121.57</v>
      </c>
      <c r="N140" s="231">
        <f t="shared" si="43"/>
        <v>4199.8744432800004</v>
      </c>
      <c r="O140" s="231">
        <f t="shared" si="44"/>
        <v>2099.9372216400002</v>
      </c>
      <c r="P140" s="231">
        <f t="shared" si="45"/>
        <v>472.86</v>
      </c>
    </row>
    <row r="141" spans="2:18">
      <c r="I141" s="226"/>
      <c r="J141" s="226"/>
      <c r="M141" s="227"/>
      <c r="N141" s="228"/>
      <c r="O141" s="228"/>
    </row>
    <row r="142" spans="2:18">
      <c r="I142" s="226"/>
      <c r="J142" s="226"/>
      <c r="M142" s="227"/>
      <c r="N142" s="228"/>
      <c r="O142" s="228"/>
    </row>
    <row r="143" spans="2:18">
      <c r="B143" s="202"/>
      <c r="C143" s="202"/>
      <c r="D143" s="202"/>
      <c r="E143" s="202"/>
      <c r="F143" s="202"/>
      <c r="I143" s="655" t="s">
        <v>214</v>
      </c>
      <c r="J143" s="655"/>
      <c r="K143" s="655"/>
      <c r="L143" s="655"/>
      <c r="M143" s="655"/>
      <c r="N143" s="655"/>
      <c r="O143" s="655"/>
      <c r="P143" s="655"/>
      <c r="Q143" s="655"/>
      <c r="R143" s="242"/>
    </row>
    <row r="144" spans="2:18">
      <c r="G144" s="202"/>
      <c r="I144" s="226"/>
      <c r="J144" s="226"/>
      <c r="M144" s="227"/>
      <c r="N144" s="228"/>
      <c r="O144" s="228"/>
    </row>
    <row r="145" spans="9:18">
      <c r="I145" s="235" t="s">
        <v>194</v>
      </c>
      <c r="J145" s="236">
        <v>0.01</v>
      </c>
      <c r="K145" s="114"/>
      <c r="L145" s="114"/>
      <c r="M145" s="237"/>
      <c r="N145" s="238"/>
      <c r="O145" s="239"/>
      <c r="P145" s="114"/>
      <c r="Q145" s="244"/>
      <c r="R145" s="212"/>
    </row>
    <row r="146" spans="9:18">
      <c r="I146" s="226"/>
      <c r="J146" s="226"/>
      <c r="N146" s="229">
        <v>2</v>
      </c>
    </row>
    <row r="147" spans="9:18">
      <c r="I147" s="656" t="s">
        <v>152</v>
      </c>
      <c r="J147" s="656"/>
      <c r="K147" s="286" t="s">
        <v>153</v>
      </c>
      <c r="L147" s="287" t="s">
        <v>154</v>
      </c>
      <c r="M147" s="287" t="s">
        <v>155</v>
      </c>
      <c r="N147" s="287" t="s">
        <v>156</v>
      </c>
      <c r="O147" s="287" t="s">
        <v>157</v>
      </c>
      <c r="P147" s="287" t="s">
        <v>158</v>
      </c>
    </row>
    <row r="148" spans="9:18">
      <c r="I148" s="657" t="s">
        <v>151</v>
      </c>
      <c r="J148" s="658"/>
      <c r="K148" s="207">
        <f>1*(K120*$J$145)+K120</f>
        <v>990.56497941359999</v>
      </c>
      <c r="L148" s="240">
        <f>ROUND((1*(L120*$J$145)+L120),2)</f>
        <v>36.840000000000003</v>
      </c>
      <c r="M148" s="240">
        <f>ROUND((1*(M120*$J$145)+M120),2)</f>
        <v>122.79</v>
      </c>
      <c r="N148" s="231">
        <f>K148*$N$6</f>
        <v>1981.1299588272</v>
      </c>
      <c r="O148" s="231">
        <f t="shared" ref="O148" si="65">K148</f>
        <v>990.56497941359999</v>
      </c>
      <c r="P148" s="240">
        <f>ROUND((1*(P120*$J$145)+P120),2)</f>
        <v>477.59</v>
      </c>
    </row>
    <row r="149" spans="9:18">
      <c r="I149" s="659" t="s">
        <v>137</v>
      </c>
      <c r="J149" s="660"/>
      <c r="K149" s="210">
        <f t="shared" ref="K149:K168" si="66">1*(K121*$J$145)+K121</f>
        <v>1194.9206127156001</v>
      </c>
      <c r="L149" s="241">
        <f t="shared" ref="L149:M149" si="67">ROUND((1*(L121*$J$145)+L121),2)</f>
        <v>36.840000000000003</v>
      </c>
      <c r="M149" s="9">
        <f t="shared" si="67"/>
        <v>122.79</v>
      </c>
      <c r="N149" s="232">
        <f t="shared" ref="N149:N168" si="68">K149*$N$6</f>
        <v>2389.8412254312002</v>
      </c>
      <c r="O149" s="232">
        <f t="shared" ref="O149:O168" si="69">K149</f>
        <v>1194.9206127156001</v>
      </c>
      <c r="P149" s="232">
        <f t="shared" ref="P149:P168" si="70">ROUND((1*(P121*$J$145)+P121),2)</f>
        <v>477.59</v>
      </c>
    </row>
    <row r="150" spans="9:18">
      <c r="I150" s="657" t="s">
        <v>138</v>
      </c>
      <c r="J150" s="658"/>
      <c r="K150" s="213">
        <f t="shared" si="66"/>
        <v>1263.3009474527998</v>
      </c>
      <c r="L150" s="240">
        <f t="shared" ref="L150:M150" si="71">ROUND((1*(L122*$J$145)+L122),2)</f>
        <v>36.840000000000003</v>
      </c>
      <c r="M150" s="31">
        <f t="shared" si="71"/>
        <v>122.79</v>
      </c>
      <c r="N150" s="231">
        <f t="shared" si="68"/>
        <v>2526.6018949055997</v>
      </c>
      <c r="O150" s="231">
        <f t="shared" si="69"/>
        <v>1263.3009474527998</v>
      </c>
      <c r="P150" s="231">
        <f t="shared" si="70"/>
        <v>477.59</v>
      </c>
    </row>
    <row r="151" spans="9:18">
      <c r="I151" s="659" t="s">
        <v>159</v>
      </c>
      <c r="J151" s="660"/>
      <c r="K151" s="210">
        <f t="shared" si="66"/>
        <v>1263.3221736935998</v>
      </c>
      <c r="L151" s="241">
        <f t="shared" ref="L151:M151" si="72">ROUND((1*(L123*$J$145)+L123),2)</f>
        <v>36.840000000000003</v>
      </c>
      <c r="M151" s="9">
        <f t="shared" si="72"/>
        <v>122.79</v>
      </c>
      <c r="N151" s="232">
        <f t="shared" si="68"/>
        <v>2526.6443473871996</v>
      </c>
      <c r="O151" s="232">
        <f t="shared" si="69"/>
        <v>1263.3221736935998</v>
      </c>
      <c r="P151" s="232">
        <f t="shared" si="70"/>
        <v>477.59</v>
      </c>
    </row>
    <row r="152" spans="9:18">
      <c r="I152" s="657" t="s">
        <v>160</v>
      </c>
      <c r="J152" s="658"/>
      <c r="K152" s="213">
        <f t="shared" si="66"/>
        <v>1309.6590573599999</v>
      </c>
      <c r="L152" s="240">
        <f t="shared" ref="L152:M152" si="73">ROUND((1*(L124*$J$145)+L124),2)</f>
        <v>36.840000000000003</v>
      </c>
      <c r="M152" s="31">
        <f t="shared" si="73"/>
        <v>122.79</v>
      </c>
      <c r="N152" s="231">
        <f t="shared" si="68"/>
        <v>2619.3181147199998</v>
      </c>
      <c r="O152" s="231">
        <f t="shared" si="69"/>
        <v>1309.6590573599999</v>
      </c>
      <c r="P152" s="231">
        <f t="shared" si="70"/>
        <v>477.59</v>
      </c>
    </row>
    <row r="153" spans="9:18">
      <c r="I153" s="659" t="s">
        <v>139</v>
      </c>
      <c r="J153" s="660"/>
      <c r="K153" s="210">
        <f t="shared" si="66"/>
        <v>1316.6106512219999</v>
      </c>
      <c r="L153" s="241">
        <f t="shared" ref="L153:M153" si="74">ROUND((1*(L125*$J$145)+L125),2)</f>
        <v>36.840000000000003</v>
      </c>
      <c r="M153" s="9">
        <f t="shared" si="74"/>
        <v>122.79</v>
      </c>
      <c r="N153" s="232">
        <f t="shared" si="68"/>
        <v>2633.2213024439998</v>
      </c>
      <c r="O153" s="232">
        <f t="shared" si="69"/>
        <v>1316.6106512219999</v>
      </c>
      <c r="P153" s="232">
        <f t="shared" si="70"/>
        <v>477.59</v>
      </c>
    </row>
    <row r="154" spans="9:18">
      <c r="I154" s="657" t="s">
        <v>161</v>
      </c>
      <c r="J154" s="658"/>
      <c r="K154" s="213">
        <f t="shared" si="66"/>
        <v>1384.9909859592001</v>
      </c>
      <c r="L154" s="240">
        <f t="shared" ref="L154:M154" si="75">ROUND((1*(L126*$J$145)+L126),2)</f>
        <v>36.840000000000003</v>
      </c>
      <c r="M154" s="31">
        <f t="shared" si="75"/>
        <v>122.79</v>
      </c>
      <c r="N154" s="231">
        <f t="shared" si="68"/>
        <v>2769.9819719184002</v>
      </c>
      <c r="O154" s="231">
        <f t="shared" si="69"/>
        <v>1384.9909859592001</v>
      </c>
      <c r="P154" s="231">
        <f t="shared" si="70"/>
        <v>477.59</v>
      </c>
    </row>
    <row r="155" spans="9:18">
      <c r="I155" s="659" t="s">
        <v>162</v>
      </c>
      <c r="J155" s="660"/>
      <c r="K155" s="210">
        <f t="shared" si="66"/>
        <v>1384.9909859592001</v>
      </c>
      <c r="L155" s="241">
        <f t="shared" ref="L155:M155" si="76">ROUND((1*(L127*$J$145)+L127),2)</f>
        <v>36.840000000000003</v>
      </c>
      <c r="M155" s="9">
        <f t="shared" si="76"/>
        <v>122.79</v>
      </c>
      <c r="N155" s="232">
        <f t="shared" si="68"/>
        <v>2769.9819719184002</v>
      </c>
      <c r="O155" s="232">
        <f t="shared" si="69"/>
        <v>1384.9909859592001</v>
      </c>
      <c r="P155" s="232">
        <f t="shared" si="70"/>
        <v>477.59</v>
      </c>
    </row>
    <row r="156" spans="9:18">
      <c r="I156" s="657" t="s">
        <v>163</v>
      </c>
      <c r="J156" s="658"/>
      <c r="K156" s="213">
        <f t="shared" si="66"/>
        <v>1447.5977831988</v>
      </c>
      <c r="L156" s="240">
        <f t="shared" ref="L156:M156" si="77">ROUND((1*(L128*$J$145)+L128),2)</f>
        <v>36.840000000000003</v>
      </c>
      <c r="M156" s="31">
        <f t="shared" si="77"/>
        <v>122.79</v>
      </c>
      <c r="N156" s="231">
        <f t="shared" si="68"/>
        <v>2895.1955663976</v>
      </c>
      <c r="O156" s="231">
        <f t="shared" si="69"/>
        <v>1447.5977831988</v>
      </c>
      <c r="P156" s="231">
        <f t="shared" si="70"/>
        <v>477.59</v>
      </c>
    </row>
    <row r="157" spans="9:18">
      <c r="I157" s="659" t="s">
        <v>164</v>
      </c>
      <c r="J157" s="660"/>
      <c r="K157" s="216">
        <f t="shared" si="66"/>
        <v>1447.5977831988</v>
      </c>
      <c r="L157" s="241">
        <f t="shared" ref="L157:M157" si="78">ROUND((1*(L129*$J$145)+L129),2)</f>
        <v>36.840000000000003</v>
      </c>
      <c r="M157" s="9">
        <f t="shared" si="78"/>
        <v>122.79</v>
      </c>
      <c r="N157" s="232">
        <f t="shared" si="68"/>
        <v>2895.1955663976</v>
      </c>
      <c r="O157" s="232">
        <f t="shared" si="69"/>
        <v>1447.5977831988</v>
      </c>
      <c r="P157" s="232">
        <f t="shared" si="70"/>
        <v>477.59</v>
      </c>
    </row>
    <row r="158" spans="9:18">
      <c r="I158" s="657" t="s">
        <v>166</v>
      </c>
      <c r="J158" s="658"/>
      <c r="K158" s="207">
        <f t="shared" si="66"/>
        <v>990.56497941359999</v>
      </c>
      <c r="L158" s="240">
        <f t="shared" ref="L158:M158" si="79">ROUND((1*(L130*$J$145)+L130),2)</f>
        <v>36.840000000000003</v>
      </c>
      <c r="M158" s="31">
        <f t="shared" si="79"/>
        <v>122.79</v>
      </c>
      <c r="N158" s="231">
        <f t="shared" si="68"/>
        <v>1981.1299588272</v>
      </c>
      <c r="O158" s="231">
        <f t="shared" si="69"/>
        <v>990.56497941359999</v>
      </c>
      <c r="P158" s="231">
        <f t="shared" si="70"/>
        <v>477.59</v>
      </c>
    </row>
    <row r="159" spans="9:18">
      <c r="I159" s="659" t="s">
        <v>167</v>
      </c>
      <c r="J159" s="660"/>
      <c r="K159" s="210">
        <f t="shared" si="66"/>
        <v>990.56497941359999</v>
      </c>
      <c r="L159" s="241">
        <f t="shared" ref="L159:M159" si="80">ROUND((1*(L131*$J$145)+L131),2)</f>
        <v>36.840000000000003</v>
      </c>
      <c r="M159" s="9">
        <f t="shared" si="80"/>
        <v>122.79</v>
      </c>
      <c r="N159" s="232">
        <f t="shared" si="68"/>
        <v>1981.1299588272</v>
      </c>
      <c r="O159" s="232">
        <f t="shared" si="69"/>
        <v>990.56497941359999</v>
      </c>
      <c r="P159" s="232">
        <f t="shared" si="70"/>
        <v>477.59</v>
      </c>
    </row>
    <row r="160" spans="9:18">
      <c r="I160" s="657" t="s">
        <v>168</v>
      </c>
      <c r="J160" s="658"/>
      <c r="K160" s="213">
        <f t="shared" si="66"/>
        <v>1321.2591979572003</v>
      </c>
      <c r="L160" s="240">
        <f t="shared" ref="L160:M160" si="81">ROUND((1*(L132*$J$145)+L132),2)</f>
        <v>36.840000000000003</v>
      </c>
      <c r="M160" s="31">
        <f t="shared" si="81"/>
        <v>122.79</v>
      </c>
      <c r="N160" s="231">
        <f t="shared" si="68"/>
        <v>2642.5183959144006</v>
      </c>
      <c r="O160" s="231">
        <f t="shared" si="69"/>
        <v>1321.2591979572003</v>
      </c>
      <c r="P160" s="231">
        <f t="shared" si="70"/>
        <v>477.59</v>
      </c>
    </row>
    <row r="161" spans="2:19">
      <c r="I161" s="659" t="s">
        <v>143</v>
      </c>
      <c r="J161" s="660"/>
      <c r="K161" s="210">
        <f t="shared" si="66"/>
        <v>1379.5464551939999</v>
      </c>
      <c r="L161" s="241">
        <f t="shared" ref="L161:M161" si="82">ROUND((1*(L133*$J$145)+L133),2)</f>
        <v>36.840000000000003</v>
      </c>
      <c r="M161" s="9">
        <f t="shared" si="82"/>
        <v>122.79</v>
      </c>
      <c r="N161" s="232">
        <f t="shared" si="68"/>
        <v>2759.0929103879998</v>
      </c>
      <c r="O161" s="232">
        <f t="shared" si="69"/>
        <v>1379.5464551939999</v>
      </c>
      <c r="P161" s="232">
        <f t="shared" si="70"/>
        <v>477.59</v>
      </c>
    </row>
    <row r="162" spans="2:19" ht="12.75" customHeight="1">
      <c r="I162" s="657" t="s">
        <v>169</v>
      </c>
      <c r="J162" s="658"/>
      <c r="K162" s="213">
        <f t="shared" si="66"/>
        <v>1484.6694127559999</v>
      </c>
      <c r="L162" s="240">
        <f t="shared" ref="L162:M162" si="83">ROUND((1*(L134*$J$145)+L134),2)</f>
        <v>36.840000000000003</v>
      </c>
      <c r="M162" s="31">
        <f t="shared" si="83"/>
        <v>122.79</v>
      </c>
      <c r="N162" s="231">
        <f t="shared" si="68"/>
        <v>2969.3388255119999</v>
      </c>
      <c r="O162" s="231">
        <f t="shared" si="69"/>
        <v>1484.6694127559999</v>
      </c>
      <c r="P162" s="231">
        <f t="shared" si="70"/>
        <v>477.59</v>
      </c>
    </row>
    <row r="163" spans="2:19">
      <c r="I163" s="659" t="s">
        <v>170</v>
      </c>
      <c r="J163" s="660"/>
      <c r="K163" s="210">
        <f t="shared" si="66"/>
        <v>1578.5424626939998</v>
      </c>
      <c r="L163" s="241">
        <f t="shared" ref="L163:M163" si="84">ROUND((1*(L135*$J$145)+L135),2)</f>
        <v>36.840000000000003</v>
      </c>
      <c r="M163" s="9">
        <f t="shared" si="84"/>
        <v>122.79</v>
      </c>
      <c r="N163" s="232">
        <f t="shared" si="68"/>
        <v>3157.0849253879996</v>
      </c>
      <c r="O163" s="232">
        <f t="shared" si="69"/>
        <v>1578.5424626939998</v>
      </c>
      <c r="P163" s="232">
        <f t="shared" si="70"/>
        <v>477.59</v>
      </c>
    </row>
    <row r="164" spans="2:19" s="202" customFormat="1" ht="18.75" customHeight="1">
      <c r="B164" s="13"/>
      <c r="C164" s="13"/>
      <c r="D164" s="13"/>
      <c r="E164" s="13"/>
      <c r="F164" s="13"/>
      <c r="G164" s="13"/>
      <c r="I164" s="657" t="s">
        <v>172</v>
      </c>
      <c r="J164" s="658"/>
      <c r="K164" s="207">
        <f t="shared" si="66"/>
        <v>1772.8686972180001</v>
      </c>
      <c r="L164" s="240">
        <f t="shared" ref="L164:M164" si="85">ROUND((1*(L136*$J$145)+L136),2)</f>
        <v>36.840000000000003</v>
      </c>
      <c r="M164" s="31">
        <f t="shared" si="85"/>
        <v>122.79</v>
      </c>
      <c r="N164" s="231">
        <f t="shared" si="68"/>
        <v>3545.7373944360002</v>
      </c>
      <c r="O164" s="231">
        <f t="shared" si="69"/>
        <v>1772.8686972180001</v>
      </c>
      <c r="P164" s="231">
        <f t="shared" si="70"/>
        <v>477.59</v>
      </c>
      <c r="Q164" s="15"/>
      <c r="R164" s="13"/>
      <c r="S164" s="13"/>
    </row>
    <row r="165" spans="2:19">
      <c r="I165" s="659" t="s">
        <v>173</v>
      </c>
      <c r="J165" s="660"/>
      <c r="K165" s="210">
        <f t="shared" si="66"/>
        <v>1587.8607824052001</v>
      </c>
      <c r="L165" s="241">
        <f t="shared" ref="L165:M165" si="86">ROUND((1*(L137*$J$145)+L137),2)</f>
        <v>36.840000000000003</v>
      </c>
      <c r="M165" s="9">
        <f t="shared" si="86"/>
        <v>122.79</v>
      </c>
      <c r="N165" s="232">
        <f t="shared" si="68"/>
        <v>3175.7215648104002</v>
      </c>
      <c r="O165" s="232">
        <f t="shared" si="69"/>
        <v>1587.8607824052001</v>
      </c>
      <c r="P165" s="232">
        <f t="shared" si="70"/>
        <v>477.59</v>
      </c>
    </row>
    <row r="166" spans="2:19">
      <c r="I166" s="657" t="s">
        <v>174</v>
      </c>
      <c r="J166" s="658"/>
      <c r="K166" s="213">
        <f t="shared" si="66"/>
        <v>1727.2959582204003</v>
      </c>
      <c r="L166" s="240">
        <f t="shared" ref="L166:M166" si="87">ROUND((1*(L138*$J$145)+L138),2)</f>
        <v>36.840000000000003</v>
      </c>
      <c r="M166" s="31">
        <f t="shared" si="87"/>
        <v>122.79</v>
      </c>
      <c r="N166" s="231">
        <f t="shared" si="68"/>
        <v>3454.5919164408006</v>
      </c>
      <c r="O166" s="231">
        <f t="shared" si="69"/>
        <v>1727.2959582204003</v>
      </c>
      <c r="P166" s="231">
        <f t="shared" si="70"/>
        <v>477.59</v>
      </c>
    </row>
    <row r="167" spans="2:19">
      <c r="I167" s="659" t="s">
        <v>175</v>
      </c>
      <c r="J167" s="660"/>
      <c r="K167" s="210">
        <f t="shared" si="66"/>
        <v>1854.3774618900002</v>
      </c>
      <c r="L167" s="241">
        <f t="shared" ref="L167:M167" si="88">ROUND((1*(L139*$J$145)+L139),2)</f>
        <v>36.840000000000003</v>
      </c>
      <c r="M167" s="9">
        <f t="shared" si="88"/>
        <v>122.79</v>
      </c>
      <c r="N167" s="232">
        <f t="shared" si="68"/>
        <v>3708.7549237800004</v>
      </c>
      <c r="O167" s="232">
        <f t="shared" si="69"/>
        <v>1854.3774618900002</v>
      </c>
      <c r="P167" s="232">
        <f t="shared" si="70"/>
        <v>477.59</v>
      </c>
      <c r="S167" s="202"/>
    </row>
    <row r="168" spans="2:19">
      <c r="I168" s="657" t="s">
        <v>176</v>
      </c>
      <c r="J168" s="658"/>
      <c r="K168" s="219">
        <f t="shared" si="66"/>
        <v>2120.9365938564001</v>
      </c>
      <c r="L168" s="240">
        <f t="shared" ref="L168:M168" si="89">ROUND((1*(L140*$J$145)+L140),2)</f>
        <v>36.840000000000003</v>
      </c>
      <c r="M168" s="31">
        <f t="shared" si="89"/>
        <v>122.79</v>
      </c>
      <c r="N168" s="231">
        <f t="shared" si="68"/>
        <v>4241.8731877128002</v>
      </c>
      <c r="O168" s="231">
        <f t="shared" si="69"/>
        <v>2120.9365938564001</v>
      </c>
      <c r="P168" s="231">
        <f t="shared" si="70"/>
        <v>477.59</v>
      </c>
    </row>
    <row r="190" spans="9:17">
      <c r="I190" s="13"/>
      <c r="J190" s="13"/>
      <c r="K190" s="228"/>
      <c r="M190" s="15"/>
      <c r="N190" s="228"/>
      <c r="O190" s="228"/>
      <c r="P190" s="228"/>
      <c r="Q190" s="228"/>
    </row>
  </sheetData>
  <mergeCells count="176">
    <mergeCell ref="I163:J163"/>
    <mergeCell ref="I164:J164"/>
    <mergeCell ref="I165:J165"/>
    <mergeCell ref="I166:J166"/>
    <mergeCell ref="I167:J167"/>
    <mergeCell ref="I168:J168"/>
    <mergeCell ref="B6:B15"/>
    <mergeCell ref="B16:B21"/>
    <mergeCell ref="B22:B26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40:J140"/>
    <mergeCell ref="I143:Q143"/>
    <mergeCell ref="I147:J147"/>
    <mergeCell ref="I148:J148"/>
    <mergeCell ref="I149:J149"/>
    <mergeCell ref="I150:J150"/>
    <mergeCell ref="I151:J151"/>
    <mergeCell ref="I152:J152"/>
    <mergeCell ref="I153:J153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08:J108"/>
    <mergeCell ref="I109:J109"/>
    <mergeCell ref="I110:J110"/>
    <mergeCell ref="I111:J111"/>
    <mergeCell ref="I112:J112"/>
    <mergeCell ref="I115:Q115"/>
    <mergeCell ref="I119:J119"/>
    <mergeCell ref="I120:J120"/>
    <mergeCell ref="I121:J121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91:J91"/>
    <mergeCell ref="I92:J92"/>
    <mergeCell ref="I93:J93"/>
    <mergeCell ref="B94:F94"/>
    <mergeCell ref="I94:J94"/>
    <mergeCell ref="I95:J95"/>
    <mergeCell ref="I96:J96"/>
    <mergeCell ref="I97:J97"/>
    <mergeCell ref="I98:J98"/>
    <mergeCell ref="I78:J78"/>
    <mergeCell ref="I79:J79"/>
    <mergeCell ref="I80:J80"/>
    <mergeCell ref="I81:J81"/>
    <mergeCell ref="B82:F82"/>
    <mergeCell ref="I82:J82"/>
    <mergeCell ref="I83:J83"/>
    <mergeCell ref="I84:J84"/>
    <mergeCell ref="B87:F87"/>
    <mergeCell ref="I87:Q87"/>
    <mergeCell ref="I71:J71"/>
    <mergeCell ref="I72:J72"/>
    <mergeCell ref="B73:F73"/>
    <mergeCell ref="I73:J73"/>
    <mergeCell ref="I74:J74"/>
    <mergeCell ref="I75:J75"/>
    <mergeCell ref="B76:F76"/>
    <mergeCell ref="I76:J76"/>
    <mergeCell ref="I77:J77"/>
    <mergeCell ref="I59:Q59"/>
    <mergeCell ref="I63:J63"/>
    <mergeCell ref="I64:J64"/>
    <mergeCell ref="I65:J65"/>
    <mergeCell ref="I66:J66"/>
    <mergeCell ref="I67:J67"/>
    <mergeCell ref="I68:J68"/>
    <mergeCell ref="I69:J69"/>
    <mergeCell ref="I70:J70"/>
    <mergeCell ref="I49:J49"/>
    <mergeCell ref="I50:J50"/>
    <mergeCell ref="I51:J51"/>
    <mergeCell ref="I52:J52"/>
    <mergeCell ref="I53:J53"/>
    <mergeCell ref="I54:J54"/>
    <mergeCell ref="I55:J55"/>
    <mergeCell ref="I56:J56"/>
    <mergeCell ref="B58:F58"/>
    <mergeCell ref="I41:J41"/>
    <mergeCell ref="I42:J42"/>
    <mergeCell ref="I43:J43"/>
    <mergeCell ref="B44:F44"/>
    <mergeCell ref="I44:J44"/>
    <mergeCell ref="I45:J45"/>
    <mergeCell ref="I46:J46"/>
    <mergeCell ref="I47:J47"/>
    <mergeCell ref="I48:J48"/>
    <mergeCell ref="B29:F29"/>
    <mergeCell ref="B30:F30"/>
    <mergeCell ref="I32:Q32"/>
    <mergeCell ref="I35:J35"/>
    <mergeCell ref="I36:J36"/>
    <mergeCell ref="I37:J37"/>
    <mergeCell ref="I38:J38"/>
    <mergeCell ref="I39:J39"/>
    <mergeCell ref="I40:J40"/>
    <mergeCell ref="I24:J24"/>
    <mergeCell ref="T24:U24"/>
    <mergeCell ref="I25:J25"/>
    <mergeCell ref="T25:U25"/>
    <mergeCell ref="I26:J26"/>
    <mergeCell ref="T26:U26"/>
    <mergeCell ref="I27:J27"/>
    <mergeCell ref="T27:U27"/>
    <mergeCell ref="I28:J28"/>
    <mergeCell ref="T28:U28"/>
    <mergeCell ref="I19:J19"/>
    <mergeCell ref="T19:U19"/>
    <mergeCell ref="I20:J20"/>
    <mergeCell ref="T20:U20"/>
    <mergeCell ref="I21:J21"/>
    <mergeCell ref="T21:U21"/>
    <mergeCell ref="I22:J22"/>
    <mergeCell ref="T22:U22"/>
    <mergeCell ref="I23:J23"/>
    <mergeCell ref="T23:U23"/>
    <mergeCell ref="I14:J14"/>
    <mergeCell ref="T14:U14"/>
    <mergeCell ref="I15:J15"/>
    <mergeCell ref="T15:U15"/>
    <mergeCell ref="I16:J16"/>
    <mergeCell ref="T16:U16"/>
    <mergeCell ref="I17:J17"/>
    <mergeCell ref="T17:U17"/>
    <mergeCell ref="I18:J18"/>
    <mergeCell ref="T18:U18"/>
    <mergeCell ref="I9:J9"/>
    <mergeCell ref="T9:U9"/>
    <mergeCell ref="I10:J10"/>
    <mergeCell ref="T10:U10"/>
    <mergeCell ref="I11:J11"/>
    <mergeCell ref="T11:U11"/>
    <mergeCell ref="I12:J12"/>
    <mergeCell ref="T12:U12"/>
    <mergeCell ref="I13:J13"/>
    <mergeCell ref="T13:U13"/>
    <mergeCell ref="B2:G2"/>
    <mergeCell ref="I2:AC2"/>
    <mergeCell ref="B4:G4"/>
    <mergeCell ref="I4:R4"/>
    <mergeCell ref="T4:AC4"/>
    <mergeCell ref="I7:J7"/>
    <mergeCell ref="T7:U7"/>
    <mergeCell ref="I8:J8"/>
    <mergeCell ref="T8:U8"/>
  </mergeCells>
  <printOptions horizontalCentered="1" verticalCentered="1"/>
  <pageMargins left="0.78740157480314998" right="0.78740157480314998" top="0.98425196850393704" bottom="0.98425196850393704" header="0" footer="0"/>
  <pageSetup paperSize="8" scale="43" orientation="portrait" horizontalDpi="300" verticalDpi="300"/>
  <headerFooter alignWithMargins="0"/>
  <colBreaks count="1" manualBreakCount="1">
    <brk id="7" max="168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A1:AA97"/>
  <sheetViews>
    <sheetView zoomScale="70" zoomScaleNormal="70" workbookViewId="0">
      <pane xSplit="2" ySplit="3" topLeftCell="C4" activePane="bottomRight" state="frozen"/>
      <selection pane="topRight"/>
      <selection pane="bottomLeft"/>
      <selection pane="bottomRight" activeCell="Y5" sqref="Y5"/>
    </sheetView>
  </sheetViews>
  <sheetFormatPr baseColWidth="10" defaultColWidth="11.44140625" defaultRowHeight="14.4"/>
  <cols>
    <col min="1" max="1" width="4.6640625" style="50" customWidth="1"/>
    <col min="2" max="2" width="22.5546875" style="50" customWidth="1"/>
    <col min="3" max="3" width="4.6640625" style="50" customWidth="1"/>
    <col min="4" max="4" width="5.109375" style="50" customWidth="1"/>
    <col min="5" max="5" width="11.44140625" style="50" customWidth="1"/>
    <col min="6" max="6" width="7" style="50" customWidth="1"/>
    <col min="7" max="7" width="11.44140625" style="50" customWidth="1"/>
    <col min="8" max="8" width="6.109375" style="50" customWidth="1"/>
    <col min="9" max="9" width="10.33203125" style="50" customWidth="1"/>
    <col min="10" max="10" width="10.44140625" style="50" customWidth="1"/>
    <col min="11" max="12" width="10.33203125" style="50" customWidth="1"/>
    <col min="13" max="13" width="8.6640625" style="50" customWidth="1"/>
    <col min="14" max="14" width="9.44140625" style="50" customWidth="1"/>
    <col min="15" max="15" width="8.109375" style="50" customWidth="1"/>
    <col min="16" max="16" width="9.44140625" style="50" customWidth="1"/>
    <col min="17" max="17" width="12.6640625" style="50" customWidth="1"/>
    <col min="18" max="18" width="8.88671875" style="50" customWidth="1"/>
    <col min="19" max="19" width="7.88671875" style="50" customWidth="1"/>
    <col min="20" max="20" width="8.88671875" style="50" customWidth="1"/>
    <col min="21" max="21" width="10.33203125" style="50" customWidth="1"/>
    <col min="22" max="22" width="11.44140625" style="50" customWidth="1"/>
    <col min="23" max="23" width="13.33203125" style="338" customWidth="1"/>
    <col min="24" max="25" width="11.44140625" style="50" customWidth="1"/>
    <col min="26" max="26" width="12.33203125" style="50" customWidth="1"/>
    <col min="27" max="27" width="15.44140625" style="51" customWidth="1"/>
    <col min="28" max="16384" width="11.44140625" style="51"/>
  </cols>
  <sheetData>
    <row r="1" spans="1:27" ht="24" customHeight="1">
      <c r="A1" s="670" t="s">
        <v>215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</row>
    <row r="2" spans="1:27" s="53" customFormat="1" ht="3.75" customHeight="1">
      <c r="A2" s="52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</row>
    <row r="3" spans="1:27" ht="90" customHeight="1">
      <c r="A3" s="288"/>
      <c r="B3" s="289" t="s">
        <v>152</v>
      </c>
      <c r="C3" s="289" t="s">
        <v>216</v>
      </c>
      <c r="D3" s="289" t="s">
        <v>217</v>
      </c>
      <c r="E3" s="289" t="s">
        <v>218</v>
      </c>
      <c r="F3" s="289" t="s">
        <v>219</v>
      </c>
      <c r="G3" s="289" t="s">
        <v>220</v>
      </c>
      <c r="H3" s="289" t="s">
        <v>221</v>
      </c>
      <c r="I3" s="289" t="s">
        <v>222</v>
      </c>
      <c r="J3" s="289" t="s">
        <v>223</v>
      </c>
      <c r="K3" s="289" t="s">
        <v>224</v>
      </c>
      <c r="L3" s="289" t="s">
        <v>225</v>
      </c>
      <c r="M3" s="289" t="s">
        <v>226</v>
      </c>
      <c r="N3" s="289" t="s">
        <v>227</v>
      </c>
      <c r="O3" s="289" t="s">
        <v>228</v>
      </c>
      <c r="P3" s="289" t="s">
        <v>229</v>
      </c>
      <c r="Q3" s="289" t="s">
        <v>230</v>
      </c>
      <c r="R3" s="289" t="s">
        <v>231</v>
      </c>
      <c r="S3" s="289" t="s">
        <v>232</v>
      </c>
      <c r="T3" s="289" t="s">
        <v>200</v>
      </c>
      <c r="U3" s="289" t="s">
        <v>233</v>
      </c>
      <c r="V3" s="450" t="s">
        <v>966</v>
      </c>
      <c r="W3" s="450" t="s">
        <v>968</v>
      </c>
      <c r="X3" s="289" t="s">
        <v>234</v>
      </c>
      <c r="Y3" s="289" t="s">
        <v>235</v>
      </c>
      <c r="Z3" s="450" t="s">
        <v>967</v>
      </c>
      <c r="AA3" s="289" t="s">
        <v>237</v>
      </c>
    </row>
    <row r="4" spans="1:27" ht="19.5" customHeight="1">
      <c r="A4" s="177"/>
      <c r="B4" s="98"/>
      <c r="C4" s="671" t="s">
        <v>238</v>
      </c>
      <c r="D4" s="671"/>
      <c r="E4" s="671"/>
      <c r="F4" s="671"/>
      <c r="G4" s="671"/>
      <c r="H4" s="671"/>
      <c r="I4" s="98">
        <v>12</v>
      </c>
      <c r="J4" s="98">
        <v>12</v>
      </c>
      <c r="K4" s="98">
        <v>2</v>
      </c>
      <c r="L4" s="98">
        <v>1</v>
      </c>
      <c r="M4" s="98">
        <v>1</v>
      </c>
      <c r="N4" s="98">
        <v>12</v>
      </c>
      <c r="O4" s="98"/>
      <c r="P4" s="98">
        <v>12</v>
      </c>
      <c r="Q4" s="98"/>
      <c r="R4" s="98">
        <v>11</v>
      </c>
      <c r="S4" s="98">
        <v>11</v>
      </c>
      <c r="T4" s="98"/>
      <c r="U4" s="98"/>
      <c r="V4" s="98"/>
      <c r="W4" s="98"/>
      <c r="X4" s="98"/>
      <c r="Y4" s="98"/>
      <c r="Z4" s="98"/>
      <c r="AA4" s="98"/>
    </row>
    <row r="5" spans="1:27">
      <c r="A5" s="187">
        <v>1</v>
      </c>
      <c r="B5" s="54" t="s">
        <v>239</v>
      </c>
      <c r="C5" s="54" t="s">
        <v>35</v>
      </c>
      <c r="D5" s="54"/>
      <c r="E5" s="179">
        <v>44858</v>
      </c>
      <c r="F5" s="198">
        <f>A.1.0_TablaAntigüedad_Sub!K5</f>
        <v>3</v>
      </c>
      <c r="G5" s="54"/>
      <c r="H5" s="199">
        <v>1</v>
      </c>
      <c r="I5" s="200">
        <f>'A.0_Tablas salariales SC'!$V$9</f>
        <v>1149.7501843792668</v>
      </c>
      <c r="J5" s="200">
        <f>A.1.0_TablaAntigüedad_Sub!V5</f>
        <v>70.180000000000007</v>
      </c>
      <c r="K5" s="200">
        <f>I5+J5</f>
        <v>1219.9301843792668</v>
      </c>
      <c r="L5" s="200">
        <f>I5+J5</f>
        <v>1219.9301843792668</v>
      </c>
      <c r="M5" s="200">
        <f>'A.0_Tablas salariales SC'!AA8</f>
        <v>461.42333333333335</v>
      </c>
      <c r="N5" s="200">
        <f>I5*0.25*0</f>
        <v>0</v>
      </c>
      <c r="O5" s="200"/>
      <c r="P5" s="54">
        <v>0</v>
      </c>
      <c r="Q5" s="200">
        <f>IF(A5&gt;0,((I5*I$4)+(J5*J$4)+(K5*K$4)+(P5*P$4)+(L5*L$4)+(M5*M$4)+(N5*N$4)+(O5*O$4)),0)</f>
        <v>18760.376099022335</v>
      </c>
      <c r="R5" s="200">
        <f>'A.0_Tablas salariales SC'!X8</f>
        <v>118.63</v>
      </c>
      <c r="S5" s="200">
        <f>'A.0_Tablas salariales SC'!W8</f>
        <v>35.593333333333334</v>
      </c>
      <c r="T5" s="200"/>
      <c r="U5" s="200">
        <f>(R5*R$4)+(S5*S$4)+T5</f>
        <v>1696.4566666666665</v>
      </c>
      <c r="V5" s="200">
        <f>+Q5+U5</f>
        <v>20456.832765689</v>
      </c>
      <c r="W5" s="200">
        <f>V5*H5*A5</f>
        <v>20456.832765689</v>
      </c>
      <c r="X5" s="201">
        <v>0.33800000000000002</v>
      </c>
      <c r="Y5" s="200">
        <f>V5*A5*H5*X5</f>
        <v>6914.409474802882</v>
      </c>
      <c r="Z5" s="200">
        <f>W5+Y5</f>
        <v>27371.242240491883</v>
      </c>
      <c r="AA5" s="194"/>
    </row>
    <row r="6" spans="1:27">
      <c r="A6" s="187">
        <v>1</v>
      </c>
      <c r="B6" s="54" t="s">
        <v>239</v>
      </c>
      <c r="C6" s="54" t="s">
        <v>35</v>
      </c>
      <c r="D6" s="54"/>
      <c r="E6" s="179">
        <v>44858</v>
      </c>
      <c r="F6" s="198">
        <f>A.1.0_TablaAntigüedad_Sub!K6</f>
        <v>3</v>
      </c>
      <c r="G6" s="54"/>
      <c r="H6" s="199">
        <v>1</v>
      </c>
      <c r="I6" s="200">
        <f>'A.0_Tablas salariales SC'!$V$9</f>
        <v>1149.7501843792668</v>
      </c>
      <c r="J6" s="200">
        <f>A.1.0_TablaAntigüedad_Sub!V6</f>
        <v>70.180000000000007</v>
      </c>
      <c r="K6" s="200">
        <f>I6+J6</f>
        <v>1219.9301843792668</v>
      </c>
      <c r="L6" s="200">
        <f>I6+J6</f>
        <v>1219.9301843792668</v>
      </c>
      <c r="M6" s="200">
        <f>'A.0_Tablas salariales SC'!AA9</f>
        <v>461.42333333333335</v>
      </c>
      <c r="N6" s="200">
        <f>I6*0.25*0</f>
        <v>0</v>
      </c>
      <c r="O6" s="200"/>
      <c r="P6" s="54">
        <v>0</v>
      </c>
      <c r="Q6" s="200">
        <f t="shared" ref="Q6:Q7" si="0">IF(A6&gt;0,((I6*I$4)+(J6*J$4)+(K6*K$4)+(P6*P$4)+(L6*L$4)+(M6*M$4)+(N6*N$4)+(O6*O$4)),0)</f>
        <v>18760.376099022335</v>
      </c>
      <c r="R6" s="200">
        <f>'A.0_Tablas salariales SC'!X9</f>
        <v>118.63</v>
      </c>
      <c r="S6" s="200">
        <f>'A.0_Tablas salariales SC'!W9</f>
        <v>35.593333333333334</v>
      </c>
      <c r="T6" s="200"/>
      <c r="U6" s="200">
        <f>(R6*R$4)+(S6*S$4)+T6</f>
        <v>1696.4566666666665</v>
      </c>
      <c r="V6" s="200">
        <f>+Q6+U6</f>
        <v>20456.832765689</v>
      </c>
      <c r="W6" s="200">
        <f t="shared" ref="W6:W7" si="1">V6*H6*A6</f>
        <v>20456.832765689</v>
      </c>
      <c r="X6" s="201">
        <v>0.33800000000000002</v>
      </c>
      <c r="Y6" s="200">
        <f t="shared" ref="Y6:Y7" si="2">V6*A6*H6*X6</f>
        <v>6914.409474802882</v>
      </c>
      <c r="Z6" s="200">
        <f t="shared" ref="Z6:Z7" si="3">W6+Y6</f>
        <v>27371.242240491883</v>
      </c>
      <c r="AA6" s="194"/>
    </row>
    <row r="7" spans="1:27">
      <c r="A7" s="187">
        <v>1</v>
      </c>
      <c r="B7" s="54" t="s">
        <v>239</v>
      </c>
      <c r="C7" s="54" t="s">
        <v>35</v>
      </c>
      <c r="D7" s="54"/>
      <c r="E7" s="179">
        <v>44858</v>
      </c>
      <c r="F7" s="198">
        <f>A.1.0_TablaAntigüedad_Sub!K7</f>
        <v>3</v>
      </c>
      <c r="G7" s="54"/>
      <c r="H7" s="199">
        <v>1</v>
      </c>
      <c r="I7" s="200">
        <f>'A.0_Tablas salariales SC'!$V$9</f>
        <v>1149.7501843792668</v>
      </c>
      <c r="J7" s="200">
        <f>A.1.0_TablaAntigüedad_Sub!V7</f>
        <v>70.180000000000007</v>
      </c>
      <c r="K7" s="200">
        <f>I7+J7</f>
        <v>1219.9301843792668</v>
      </c>
      <c r="L7" s="200">
        <f>I7+J7</f>
        <v>1219.9301843792668</v>
      </c>
      <c r="M7" s="200">
        <f>'A.0_Tablas salariales SC'!AA10</f>
        <v>461.42333333333335</v>
      </c>
      <c r="N7" s="200">
        <f>I7*0.25*0</f>
        <v>0</v>
      </c>
      <c r="O7" s="200"/>
      <c r="P7" s="54">
        <v>0</v>
      </c>
      <c r="Q7" s="200">
        <f t="shared" si="0"/>
        <v>18760.376099022335</v>
      </c>
      <c r="R7" s="200">
        <f>'A.0_Tablas salariales SC'!X10</f>
        <v>118.63</v>
      </c>
      <c r="S7" s="200">
        <f>'A.0_Tablas salariales SC'!W10</f>
        <v>35.593333333333334</v>
      </c>
      <c r="T7" s="200"/>
      <c r="U7" s="200">
        <f>(R7*R$4)+(S7*S$4)+T7</f>
        <v>1696.4566666666665</v>
      </c>
      <c r="V7" s="200">
        <f>+Q7+U7</f>
        <v>20456.832765689</v>
      </c>
      <c r="W7" s="200">
        <f t="shared" si="1"/>
        <v>20456.832765689</v>
      </c>
      <c r="X7" s="201">
        <v>0.33800000000000002</v>
      </c>
      <c r="Y7" s="200">
        <f t="shared" si="2"/>
        <v>6914.409474802882</v>
      </c>
      <c r="Z7" s="200">
        <f t="shared" si="3"/>
        <v>27371.242240491883</v>
      </c>
      <c r="AA7" s="194"/>
    </row>
    <row r="8" spans="1:27">
      <c r="A8" s="182"/>
      <c r="B8" s="182"/>
      <c r="C8" s="182"/>
      <c r="D8" s="182"/>
      <c r="E8" s="182"/>
      <c r="F8" s="182"/>
      <c r="G8" s="182"/>
      <c r="H8" s="182"/>
      <c r="I8" s="191"/>
      <c r="J8" s="182"/>
      <c r="K8" s="191"/>
      <c r="L8" s="191"/>
      <c r="M8" s="191"/>
      <c r="N8" s="192"/>
      <c r="O8" s="191"/>
      <c r="P8" s="182"/>
      <c r="Q8" s="191"/>
      <c r="R8" s="182"/>
      <c r="S8" s="182"/>
      <c r="T8" s="182"/>
      <c r="U8" s="191"/>
      <c r="V8" s="191"/>
      <c r="W8" s="191"/>
      <c r="X8" s="195"/>
      <c r="Y8" s="191"/>
      <c r="Z8" s="191"/>
      <c r="AA8" s="196">
        <f>Z5+Z6+Z7</f>
        <v>82113.726721475658</v>
      </c>
    </row>
    <row r="9" spans="1:27">
      <c r="A9" s="187">
        <v>1</v>
      </c>
      <c r="B9" s="54" t="s">
        <v>240</v>
      </c>
      <c r="C9" s="54" t="s">
        <v>241</v>
      </c>
      <c r="D9" s="54"/>
      <c r="E9" s="179">
        <v>38932</v>
      </c>
      <c r="F9" s="198">
        <f>A.1.0_TablaAntigüedad_Sub!K9</f>
        <v>19</v>
      </c>
      <c r="G9" s="54"/>
      <c r="H9" s="199">
        <v>1</v>
      </c>
      <c r="I9" s="200">
        <f>'A.0_Tablas salariales SC'!V10</f>
        <v>1215.8158047887998</v>
      </c>
      <c r="J9" s="200">
        <f>A.1.0_TablaAntigüedad_Sub!V9</f>
        <v>264.41000000000003</v>
      </c>
      <c r="K9" s="200">
        <f t="shared" ref="K9:K26" si="4">I9+J9</f>
        <v>1480.2258047887999</v>
      </c>
      <c r="L9" s="200">
        <f t="shared" ref="L9:L26" si="5">I9+J9</f>
        <v>1480.2258047887999</v>
      </c>
      <c r="M9" s="200">
        <v>461.42333333333301</v>
      </c>
      <c r="N9" s="200">
        <f t="shared" ref="N9:N26" si="6">I9*0.25*0</f>
        <v>0</v>
      </c>
      <c r="O9" s="200"/>
      <c r="P9" s="200">
        <v>0</v>
      </c>
      <c r="Q9" s="200">
        <f t="shared" ref="Q9:Q64" si="7">IF(A9&gt;0,((I9*I$4)+(J9*J$4)+(K9*K$4)+(P9*P$4)+(L9*L$4)+(M9*M$4)+(N9*N$4)+(O9*O$4)),0)</f>
        <v>22664.810405165324</v>
      </c>
      <c r="R9" s="200">
        <v>118.63</v>
      </c>
      <c r="S9" s="200">
        <v>35.593333333333298</v>
      </c>
      <c r="T9" s="200"/>
      <c r="U9" s="200">
        <f>(R9*R$4)+(S9*S$4)+T9</f>
        <v>1696.456666666666</v>
      </c>
      <c r="V9" s="200">
        <f t="shared" ref="V9:V26" si="8">+Q9+U9</f>
        <v>24361.26707183199</v>
      </c>
      <c r="W9" s="200">
        <f t="shared" ref="W9:W64" si="9">V9*H9*A9</f>
        <v>24361.26707183199</v>
      </c>
      <c r="X9" s="201">
        <v>0.33800000000000002</v>
      </c>
      <c r="Y9" s="200">
        <f t="shared" ref="Y9:Y72" si="10">V9*A9*H9*X9</f>
        <v>8234.1082702792137</v>
      </c>
      <c r="Z9" s="200">
        <f t="shared" ref="Z9:Z64" si="11">W9+Y9</f>
        <v>32595.375342111205</v>
      </c>
      <c r="AA9" s="194"/>
    </row>
    <row r="10" spans="1:27">
      <c r="A10" s="187">
        <v>1</v>
      </c>
      <c r="B10" s="54" t="s">
        <v>240</v>
      </c>
      <c r="C10" s="54" t="s">
        <v>241</v>
      </c>
      <c r="D10" s="54"/>
      <c r="E10" s="179">
        <v>38749</v>
      </c>
      <c r="F10" s="198">
        <f>A.1.0_TablaAntigüedad_Sub!K10</f>
        <v>19</v>
      </c>
      <c r="G10" s="54"/>
      <c r="H10" s="199">
        <v>1</v>
      </c>
      <c r="I10" s="200">
        <f>'A.0_Tablas salariales SC'!V10</f>
        <v>1215.8158047887998</v>
      </c>
      <c r="J10" s="200">
        <f>A.1.0_TablaAntigüedad_Sub!V10</f>
        <v>264.41000000000003</v>
      </c>
      <c r="K10" s="200">
        <f t="shared" si="4"/>
        <v>1480.2258047887999</v>
      </c>
      <c r="L10" s="200">
        <f t="shared" si="5"/>
        <v>1480.2258047887999</v>
      </c>
      <c r="M10" s="200">
        <v>461.42333333333301</v>
      </c>
      <c r="N10" s="200">
        <f>I10*0.25*1</f>
        <v>303.95395119719996</v>
      </c>
      <c r="O10" s="200"/>
      <c r="P10" s="200">
        <v>0</v>
      </c>
      <c r="Q10" s="200">
        <f t="shared" si="7"/>
        <v>26312.257819531726</v>
      </c>
      <c r="R10" s="200">
        <v>118.63</v>
      </c>
      <c r="S10" s="200">
        <v>35.593333333333298</v>
      </c>
      <c r="T10" s="200"/>
      <c r="U10" s="200">
        <f t="shared" ref="U10:U27" si="12">(R10*R$4)+(S10*S$4)+T10</f>
        <v>1696.456666666666</v>
      </c>
      <c r="V10" s="200">
        <f t="shared" si="8"/>
        <v>28008.714486198391</v>
      </c>
      <c r="W10" s="200">
        <f t="shared" si="9"/>
        <v>28008.714486198391</v>
      </c>
      <c r="X10" s="201">
        <v>0.33800000000000002</v>
      </c>
      <c r="Y10" s="200">
        <f t="shared" si="10"/>
        <v>9466.9454963350563</v>
      </c>
      <c r="Z10" s="200">
        <f t="shared" si="11"/>
        <v>37475.659982533449</v>
      </c>
      <c r="AA10" s="194"/>
    </row>
    <row r="11" spans="1:27">
      <c r="A11" s="187">
        <v>1</v>
      </c>
      <c r="B11" s="54" t="s">
        <v>240</v>
      </c>
      <c r="C11" s="54" t="s">
        <v>35</v>
      </c>
      <c r="D11" s="54"/>
      <c r="E11" s="179">
        <v>38749</v>
      </c>
      <c r="F11" s="198">
        <f>A.1.0_TablaAntigüedad_Sub!K11</f>
        <v>19</v>
      </c>
      <c r="G11" s="54"/>
      <c r="H11" s="199">
        <v>0.6</v>
      </c>
      <c r="I11" s="200">
        <f>'A.0_Tablas salariales SC'!V10</f>
        <v>1215.8158047887998</v>
      </c>
      <c r="J11" s="200">
        <f>A.1.0_TablaAntigüedad_Sub!V11</f>
        <v>264.41000000000003</v>
      </c>
      <c r="K11" s="200">
        <f t="shared" si="4"/>
        <v>1480.2258047887999</v>
      </c>
      <c r="L11" s="200">
        <f t="shared" si="5"/>
        <v>1480.2258047887999</v>
      </c>
      <c r="M11" s="200">
        <v>461.42333333333301</v>
      </c>
      <c r="N11" s="200">
        <f t="shared" si="6"/>
        <v>0</v>
      </c>
      <c r="O11" s="200"/>
      <c r="P11" s="200">
        <v>0</v>
      </c>
      <c r="Q11" s="200">
        <f t="shared" si="7"/>
        <v>22664.810405165324</v>
      </c>
      <c r="R11" s="200">
        <v>118.63</v>
      </c>
      <c r="S11" s="200">
        <v>35.593333333333298</v>
      </c>
      <c r="T11" s="200"/>
      <c r="U11" s="200">
        <f t="shared" si="12"/>
        <v>1696.456666666666</v>
      </c>
      <c r="V11" s="200">
        <f t="shared" si="8"/>
        <v>24361.26707183199</v>
      </c>
      <c r="W11" s="200">
        <f t="shared" si="9"/>
        <v>14616.760243099194</v>
      </c>
      <c r="X11" s="201">
        <v>0.33800000000000002</v>
      </c>
      <c r="Y11" s="200">
        <f t="shared" si="10"/>
        <v>4940.464962167528</v>
      </c>
      <c r="Z11" s="200">
        <f t="shared" si="11"/>
        <v>19557.225205266721</v>
      </c>
      <c r="AA11" s="194"/>
    </row>
    <row r="12" spans="1:27">
      <c r="A12" s="187">
        <v>1</v>
      </c>
      <c r="B12" s="54" t="s">
        <v>240</v>
      </c>
      <c r="C12" s="54" t="s">
        <v>35</v>
      </c>
      <c r="D12" s="54"/>
      <c r="E12" s="179">
        <v>38932</v>
      </c>
      <c r="F12" s="198">
        <f>A.1.0_TablaAntigüedad_Sub!K12</f>
        <v>19</v>
      </c>
      <c r="G12" s="54"/>
      <c r="H12" s="199">
        <v>1</v>
      </c>
      <c r="I12" s="200">
        <f>'A.0_Tablas salariales SC'!V10</f>
        <v>1215.8158047887998</v>
      </c>
      <c r="J12" s="200">
        <f>A.1.0_TablaAntigüedad_Sub!V12</f>
        <v>264.41000000000003</v>
      </c>
      <c r="K12" s="200">
        <f t="shared" si="4"/>
        <v>1480.2258047887999</v>
      </c>
      <c r="L12" s="200">
        <f t="shared" si="5"/>
        <v>1480.2258047887999</v>
      </c>
      <c r="M12" s="200">
        <v>461.42333333333301</v>
      </c>
      <c r="N12" s="200">
        <f t="shared" si="6"/>
        <v>0</v>
      </c>
      <c r="O12" s="200"/>
      <c r="P12" s="200">
        <v>0</v>
      </c>
      <c r="Q12" s="200">
        <f t="shared" si="7"/>
        <v>22664.810405165324</v>
      </c>
      <c r="R12" s="200">
        <v>118.63</v>
      </c>
      <c r="S12" s="200">
        <v>35.593333333333298</v>
      </c>
      <c r="T12" s="200"/>
      <c r="U12" s="200">
        <f t="shared" si="12"/>
        <v>1696.456666666666</v>
      </c>
      <c r="V12" s="200">
        <f t="shared" si="8"/>
        <v>24361.26707183199</v>
      </c>
      <c r="W12" s="200">
        <f t="shared" si="9"/>
        <v>24361.26707183199</v>
      </c>
      <c r="X12" s="201">
        <v>0.33800000000000002</v>
      </c>
      <c r="Y12" s="200">
        <f t="shared" si="10"/>
        <v>8234.1082702792137</v>
      </c>
      <c r="Z12" s="200">
        <f t="shared" si="11"/>
        <v>32595.375342111205</v>
      </c>
      <c r="AA12" s="194"/>
    </row>
    <row r="13" spans="1:27">
      <c r="A13" s="187">
        <v>1</v>
      </c>
      <c r="B13" s="54" t="s">
        <v>240</v>
      </c>
      <c r="C13" s="54" t="s">
        <v>35</v>
      </c>
      <c r="D13" s="54"/>
      <c r="E13" s="179">
        <v>42036</v>
      </c>
      <c r="F13" s="198">
        <f>A.1.0_TablaAntigüedad_Sub!K13</f>
        <v>10</v>
      </c>
      <c r="G13" s="54"/>
      <c r="H13" s="199">
        <v>1</v>
      </c>
      <c r="I13" s="200">
        <f>'A.0_Tablas salariales SC'!V10</f>
        <v>1215.8158047887998</v>
      </c>
      <c r="J13" s="200">
        <f>A.1.0_TablaAntigüedad_Sub!V13</f>
        <v>122.83</v>
      </c>
      <c r="K13" s="200">
        <f t="shared" si="4"/>
        <v>1338.6458047887998</v>
      </c>
      <c r="L13" s="200">
        <f t="shared" si="5"/>
        <v>1338.6458047887998</v>
      </c>
      <c r="M13" s="200">
        <v>461.42333333333301</v>
      </c>
      <c r="N13" s="200">
        <f t="shared" si="6"/>
        <v>0</v>
      </c>
      <c r="O13" s="200"/>
      <c r="P13" s="200">
        <v>0</v>
      </c>
      <c r="Q13" s="200">
        <f t="shared" si="7"/>
        <v>20541.110405165327</v>
      </c>
      <c r="R13" s="200">
        <v>118.63</v>
      </c>
      <c r="S13" s="200">
        <v>35.593333333333298</v>
      </c>
      <c r="T13" s="200"/>
      <c r="U13" s="200">
        <f t="shared" si="12"/>
        <v>1696.456666666666</v>
      </c>
      <c r="V13" s="200">
        <f t="shared" si="8"/>
        <v>22237.567071831993</v>
      </c>
      <c r="W13" s="200">
        <f t="shared" si="9"/>
        <v>22237.567071831993</v>
      </c>
      <c r="X13" s="201">
        <v>0.33800000000000002</v>
      </c>
      <c r="Y13" s="200">
        <f t="shared" si="10"/>
        <v>7516.2976702792139</v>
      </c>
      <c r="Z13" s="200">
        <f t="shared" si="11"/>
        <v>29753.864742111207</v>
      </c>
      <c r="AA13" s="194"/>
    </row>
    <row r="14" spans="1:27">
      <c r="A14" s="187">
        <v>1</v>
      </c>
      <c r="B14" s="54" t="s">
        <v>240</v>
      </c>
      <c r="C14" s="54" t="s">
        <v>35</v>
      </c>
      <c r="D14" s="54"/>
      <c r="E14" s="179">
        <v>38749</v>
      </c>
      <c r="F14" s="198">
        <f>A.1.0_TablaAntigüedad_Sub!K14</f>
        <v>19</v>
      </c>
      <c r="G14" s="54"/>
      <c r="H14" s="199">
        <v>1</v>
      </c>
      <c r="I14" s="200">
        <f>'A.0_Tablas salariales SC'!V10</f>
        <v>1215.8158047887998</v>
      </c>
      <c r="J14" s="200">
        <f>A.1.0_TablaAntigüedad_Sub!V14</f>
        <v>264.41000000000003</v>
      </c>
      <c r="K14" s="200">
        <f t="shared" si="4"/>
        <v>1480.2258047887999</v>
      </c>
      <c r="L14" s="200">
        <f t="shared" si="5"/>
        <v>1480.2258047887999</v>
      </c>
      <c r="M14" s="200">
        <v>461.42333333333301</v>
      </c>
      <c r="N14" s="200">
        <f t="shared" si="6"/>
        <v>0</v>
      </c>
      <c r="O14" s="200"/>
      <c r="P14" s="200">
        <v>0</v>
      </c>
      <c r="Q14" s="200">
        <f t="shared" si="7"/>
        <v>22664.810405165324</v>
      </c>
      <c r="R14" s="200">
        <v>118.63</v>
      </c>
      <c r="S14" s="200">
        <v>35.593333333333298</v>
      </c>
      <c r="T14" s="200"/>
      <c r="U14" s="200">
        <f t="shared" si="12"/>
        <v>1696.456666666666</v>
      </c>
      <c r="V14" s="200">
        <f t="shared" si="8"/>
        <v>24361.26707183199</v>
      </c>
      <c r="W14" s="200">
        <f t="shared" si="9"/>
        <v>24361.26707183199</v>
      </c>
      <c r="X14" s="201">
        <v>0.33800000000000002</v>
      </c>
      <c r="Y14" s="200">
        <f t="shared" si="10"/>
        <v>8234.1082702792137</v>
      </c>
      <c r="Z14" s="200">
        <f t="shared" si="11"/>
        <v>32595.375342111205</v>
      </c>
      <c r="AA14" s="194"/>
    </row>
    <row r="15" spans="1:27">
      <c r="A15" s="187">
        <v>1</v>
      </c>
      <c r="B15" s="54" t="s">
        <v>240</v>
      </c>
      <c r="C15" s="54" t="s">
        <v>35</v>
      </c>
      <c r="D15" s="54"/>
      <c r="E15" s="179">
        <v>40250</v>
      </c>
      <c r="F15" s="198">
        <f>A.1.0_TablaAntigüedad_Sub!K15</f>
        <v>15</v>
      </c>
      <c r="G15" s="54"/>
      <c r="H15" s="199">
        <v>1</v>
      </c>
      <c r="I15" s="200">
        <f>'A.0_Tablas salariales SC'!V10</f>
        <v>1215.8158047887998</v>
      </c>
      <c r="J15" s="200">
        <f>A.1.0_TablaAntigüedad_Sub!V15</f>
        <v>219.94</v>
      </c>
      <c r="K15" s="200">
        <f t="shared" si="4"/>
        <v>1435.7558047887999</v>
      </c>
      <c r="L15" s="200">
        <f t="shared" si="5"/>
        <v>1435.7558047887999</v>
      </c>
      <c r="M15" s="200">
        <v>461.42333333333301</v>
      </c>
      <c r="N15" s="200">
        <f t="shared" si="6"/>
        <v>0</v>
      </c>
      <c r="O15" s="200"/>
      <c r="P15" s="200">
        <v>0</v>
      </c>
      <c r="Q15" s="200">
        <f t="shared" si="7"/>
        <v>21997.760405165329</v>
      </c>
      <c r="R15" s="200">
        <v>118.63</v>
      </c>
      <c r="S15" s="200">
        <v>35.593333333333298</v>
      </c>
      <c r="T15" s="200"/>
      <c r="U15" s="200">
        <f t="shared" si="12"/>
        <v>1696.456666666666</v>
      </c>
      <c r="V15" s="200">
        <f t="shared" si="8"/>
        <v>23694.217071831994</v>
      </c>
      <c r="W15" s="200">
        <f t="shared" si="9"/>
        <v>23694.217071831994</v>
      </c>
      <c r="X15" s="201">
        <v>0.33800000000000002</v>
      </c>
      <c r="Y15" s="200">
        <f t="shared" si="10"/>
        <v>8008.6453702792141</v>
      </c>
      <c r="Z15" s="200">
        <f t="shared" si="11"/>
        <v>31702.862442111207</v>
      </c>
      <c r="AA15" s="194"/>
    </row>
    <row r="16" spans="1:27">
      <c r="A16" s="187">
        <v>1</v>
      </c>
      <c r="B16" s="54" t="s">
        <v>240</v>
      </c>
      <c r="C16" s="54" t="s">
        <v>35</v>
      </c>
      <c r="D16" s="54"/>
      <c r="E16" s="179">
        <v>39038</v>
      </c>
      <c r="F16" s="198">
        <f>A.1.0_TablaAntigüedad_Sub!K16</f>
        <v>19</v>
      </c>
      <c r="G16" s="54"/>
      <c r="H16" s="199">
        <v>1</v>
      </c>
      <c r="I16" s="200">
        <f>'A.0_Tablas salariales SC'!V10</f>
        <v>1215.8158047887998</v>
      </c>
      <c r="J16" s="200">
        <f>A.1.0_TablaAntigüedad_Sub!V16</f>
        <v>264.41000000000003</v>
      </c>
      <c r="K16" s="200">
        <f t="shared" si="4"/>
        <v>1480.2258047887999</v>
      </c>
      <c r="L16" s="200">
        <f t="shared" si="5"/>
        <v>1480.2258047887999</v>
      </c>
      <c r="M16" s="200">
        <v>461.42333333333301</v>
      </c>
      <c r="N16" s="200">
        <f t="shared" si="6"/>
        <v>0</v>
      </c>
      <c r="O16" s="200"/>
      <c r="P16" s="200">
        <v>0</v>
      </c>
      <c r="Q16" s="200">
        <f t="shared" si="7"/>
        <v>22664.810405165324</v>
      </c>
      <c r="R16" s="200">
        <v>118.63</v>
      </c>
      <c r="S16" s="200">
        <v>35.593333333333298</v>
      </c>
      <c r="T16" s="200"/>
      <c r="U16" s="200">
        <f t="shared" si="12"/>
        <v>1696.456666666666</v>
      </c>
      <c r="V16" s="200">
        <f t="shared" si="8"/>
        <v>24361.26707183199</v>
      </c>
      <c r="W16" s="200">
        <f t="shared" si="9"/>
        <v>24361.26707183199</v>
      </c>
      <c r="X16" s="201">
        <v>0.33800000000000002</v>
      </c>
      <c r="Y16" s="200">
        <f t="shared" si="10"/>
        <v>8234.1082702792137</v>
      </c>
      <c r="Z16" s="200">
        <f t="shared" si="11"/>
        <v>32595.375342111205</v>
      </c>
      <c r="AA16" s="194"/>
    </row>
    <row r="17" spans="1:27">
      <c r="A17" s="187">
        <v>1</v>
      </c>
      <c r="B17" s="54" t="s">
        <v>240</v>
      </c>
      <c r="C17" s="54" t="s">
        <v>35</v>
      </c>
      <c r="D17" s="54"/>
      <c r="E17" s="179">
        <v>39663</v>
      </c>
      <c r="F17" s="198">
        <f>A.1.0_TablaAntigüedad_Sub!K17</f>
        <v>17</v>
      </c>
      <c r="G17" s="54"/>
      <c r="H17" s="199">
        <v>1</v>
      </c>
      <c r="I17" s="200">
        <f>'A.0_Tablas salariales SC'!V10</f>
        <v>1215.8158047887998</v>
      </c>
      <c r="J17" s="200">
        <f>A.1.0_TablaAntigüedad_Sub!V17</f>
        <v>219.94</v>
      </c>
      <c r="K17" s="200">
        <f t="shared" si="4"/>
        <v>1435.7558047887999</v>
      </c>
      <c r="L17" s="200">
        <f t="shared" si="5"/>
        <v>1435.7558047887999</v>
      </c>
      <c r="M17" s="200">
        <v>461.42333333333301</v>
      </c>
      <c r="N17" s="200">
        <f t="shared" si="6"/>
        <v>0</v>
      </c>
      <c r="O17" s="200"/>
      <c r="P17" s="200">
        <v>0</v>
      </c>
      <c r="Q17" s="200">
        <f t="shared" si="7"/>
        <v>21997.760405165329</v>
      </c>
      <c r="R17" s="200">
        <v>118.63</v>
      </c>
      <c r="S17" s="200">
        <v>35.593333333333298</v>
      </c>
      <c r="T17" s="200"/>
      <c r="U17" s="200">
        <f t="shared" si="12"/>
        <v>1696.456666666666</v>
      </c>
      <c r="V17" s="200">
        <f t="shared" si="8"/>
        <v>23694.217071831994</v>
      </c>
      <c r="W17" s="200">
        <f t="shared" si="9"/>
        <v>23694.217071831994</v>
      </c>
      <c r="X17" s="201">
        <v>0.33800000000000002</v>
      </c>
      <c r="Y17" s="200">
        <f t="shared" si="10"/>
        <v>8008.6453702792141</v>
      </c>
      <c r="Z17" s="200">
        <f t="shared" si="11"/>
        <v>31702.862442111207</v>
      </c>
      <c r="AA17" s="194"/>
    </row>
    <row r="18" spans="1:27">
      <c r="A18" s="187">
        <v>1</v>
      </c>
      <c r="B18" s="54" t="s">
        <v>240</v>
      </c>
      <c r="C18" s="54" t="s">
        <v>35</v>
      </c>
      <c r="D18" s="54"/>
      <c r="E18" s="179">
        <v>39650</v>
      </c>
      <c r="F18" s="198">
        <f>A.1.0_TablaAntigüedad_Sub!K18</f>
        <v>17</v>
      </c>
      <c r="G18" s="54"/>
      <c r="H18" s="199">
        <v>1</v>
      </c>
      <c r="I18" s="200">
        <f>'A.0_Tablas salariales SC'!V10</f>
        <v>1215.8158047887998</v>
      </c>
      <c r="J18" s="200">
        <f>A.1.0_TablaAntigüedad_Sub!V18</f>
        <v>219.94</v>
      </c>
      <c r="K18" s="200">
        <f t="shared" si="4"/>
        <v>1435.7558047887999</v>
      </c>
      <c r="L18" s="200">
        <f t="shared" si="5"/>
        <v>1435.7558047887999</v>
      </c>
      <c r="M18" s="200">
        <v>461.42333333333301</v>
      </c>
      <c r="N18" s="200">
        <f t="shared" si="6"/>
        <v>0</v>
      </c>
      <c r="O18" s="200"/>
      <c r="P18" s="200">
        <v>0</v>
      </c>
      <c r="Q18" s="200">
        <f t="shared" si="7"/>
        <v>21997.760405165329</v>
      </c>
      <c r="R18" s="200">
        <v>118.63</v>
      </c>
      <c r="S18" s="200">
        <v>35.593333333333298</v>
      </c>
      <c r="T18" s="200"/>
      <c r="U18" s="200">
        <f t="shared" si="12"/>
        <v>1696.456666666666</v>
      </c>
      <c r="V18" s="200">
        <f t="shared" si="8"/>
        <v>23694.217071831994</v>
      </c>
      <c r="W18" s="200">
        <f t="shared" si="9"/>
        <v>23694.217071831994</v>
      </c>
      <c r="X18" s="201">
        <v>0.33800000000000002</v>
      </c>
      <c r="Y18" s="200">
        <f t="shared" si="10"/>
        <v>8008.6453702792141</v>
      </c>
      <c r="Z18" s="200">
        <f t="shared" si="11"/>
        <v>31702.862442111207</v>
      </c>
      <c r="AA18" s="194"/>
    </row>
    <row r="19" spans="1:27">
      <c r="A19" s="187">
        <v>1</v>
      </c>
      <c r="B19" s="54" t="s">
        <v>240</v>
      </c>
      <c r="C19" s="54" t="s">
        <v>35</v>
      </c>
      <c r="D19" s="54"/>
      <c r="E19" s="179">
        <v>38749</v>
      </c>
      <c r="F19" s="198">
        <f>A.1.0_TablaAntigüedad_Sub!K19</f>
        <v>19</v>
      </c>
      <c r="G19" s="54"/>
      <c r="H19" s="199">
        <v>1</v>
      </c>
      <c r="I19" s="200">
        <f>'A.0_Tablas salariales SC'!V10</f>
        <v>1215.8158047887998</v>
      </c>
      <c r="J19" s="200">
        <f>A.1.0_TablaAntigüedad_Sub!V19</f>
        <v>264.41000000000003</v>
      </c>
      <c r="K19" s="200">
        <f t="shared" si="4"/>
        <v>1480.2258047887999</v>
      </c>
      <c r="L19" s="200">
        <f t="shared" si="5"/>
        <v>1480.2258047887999</v>
      </c>
      <c r="M19" s="200">
        <v>461.42333333333301</v>
      </c>
      <c r="N19" s="200">
        <f t="shared" si="6"/>
        <v>0</v>
      </c>
      <c r="O19" s="200"/>
      <c r="P19" s="200">
        <v>0</v>
      </c>
      <c r="Q19" s="200">
        <f t="shared" si="7"/>
        <v>22664.810405165324</v>
      </c>
      <c r="R19" s="200">
        <v>118.63</v>
      </c>
      <c r="S19" s="200">
        <v>35.593333333333298</v>
      </c>
      <c r="T19" s="200"/>
      <c r="U19" s="200">
        <f t="shared" si="12"/>
        <v>1696.456666666666</v>
      </c>
      <c r="V19" s="200">
        <f t="shared" si="8"/>
        <v>24361.26707183199</v>
      </c>
      <c r="W19" s="200">
        <f t="shared" si="9"/>
        <v>24361.26707183199</v>
      </c>
      <c r="X19" s="201">
        <v>0.33800000000000002</v>
      </c>
      <c r="Y19" s="200">
        <f t="shared" si="10"/>
        <v>8234.1082702792137</v>
      </c>
      <c r="Z19" s="200">
        <f t="shared" si="11"/>
        <v>32595.375342111205</v>
      </c>
      <c r="AA19" s="194"/>
    </row>
    <row r="20" spans="1:27">
      <c r="A20" s="187">
        <v>1</v>
      </c>
      <c r="B20" s="54" t="s">
        <v>240</v>
      </c>
      <c r="C20" s="54" t="s">
        <v>35</v>
      </c>
      <c r="D20" s="54"/>
      <c r="E20" s="179">
        <v>38749</v>
      </c>
      <c r="F20" s="198">
        <f>A.1.0_TablaAntigüedad_Sub!K20</f>
        <v>19</v>
      </c>
      <c r="G20" s="54"/>
      <c r="H20" s="199">
        <v>1</v>
      </c>
      <c r="I20" s="200">
        <f>'A.0_Tablas salariales SC'!V10</f>
        <v>1215.8158047887998</v>
      </c>
      <c r="J20" s="200">
        <f>A.1.0_TablaAntigüedad_Sub!V20</f>
        <v>264.41000000000003</v>
      </c>
      <c r="K20" s="200">
        <f t="shared" si="4"/>
        <v>1480.2258047887999</v>
      </c>
      <c r="L20" s="200">
        <f t="shared" si="5"/>
        <v>1480.2258047887999</v>
      </c>
      <c r="M20" s="200">
        <v>461.42333333333301</v>
      </c>
      <c r="N20" s="200">
        <f t="shared" si="6"/>
        <v>0</v>
      </c>
      <c r="O20" s="200"/>
      <c r="P20" s="200">
        <v>0</v>
      </c>
      <c r="Q20" s="200">
        <f t="shared" si="7"/>
        <v>22664.810405165324</v>
      </c>
      <c r="R20" s="200">
        <v>118.63</v>
      </c>
      <c r="S20" s="200">
        <v>35.593333333333298</v>
      </c>
      <c r="T20" s="200"/>
      <c r="U20" s="200">
        <f t="shared" si="12"/>
        <v>1696.456666666666</v>
      </c>
      <c r="V20" s="200">
        <f t="shared" si="8"/>
        <v>24361.26707183199</v>
      </c>
      <c r="W20" s="200">
        <f t="shared" si="9"/>
        <v>24361.26707183199</v>
      </c>
      <c r="X20" s="201">
        <v>0.33800000000000002</v>
      </c>
      <c r="Y20" s="200">
        <f t="shared" si="10"/>
        <v>8234.1082702792137</v>
      </c>
      <c r="Z20" s="200">
        <f t="shared" si="11"/>
        <v>32595.375342111205</v>
      </c>
      <c r="AA20" s="194"/>
    </row>
    <row r="21" spans="1:27">
      <c r="A21" s="187">
        <v>1</v>
      </c>
      <c r="B21" s="54" t="s">
        <v>240</v>
      </c>
      <c r="C21" s="54" t="s">
        <v>35</v>
      </c>
      <c r="D21" s="54"/>
      <c r="E21" s="179">
        <v>40196</v>
      </c>
      <c r="F21" s="198">
        <f>A.1.0_TablaAntigüedad_Sub!K21</f>
        <v>15</v>
      </c>
      <c r="G21" s="54"/>
      <c r="H21" s="199">
        <v>0.6</v>
      </c>
      <c r="I21" s="200">
        <f>'A.0_Tablas salariales SC'!V10</f>
        <v>1215.8158047887998</v>
      </c>
      <c r="J21" s="200">
        <f>A.1.0_TablaAntigüedad_Sub!V21</f>
        <v>219.94</v>
      </c>
      <c r="K21" s="200">
        <f t="shared" si="4"/>
        <v>1435.7558047887999</v>
      </c>
      <c r="L21" s="200">
        <f t="shared" si="5"/>
        <v>1435.7558047887999</v>
      </c>
      <c r="M21" s="200">
        <v>461.42333333333301</v>
      </c>
      <c r="N21" s="200">
        <f t="shared" si="6"/>
        <v>0</v>
      </c>
      <c r="O21" s="200"/>
      <c r="P21" s="200">
        <v>0</v>
      </c>
      <c r="Q21" s="200">
        <f t="shared" si="7"/>
        <v>21997.760405165329</v>
      </c>
      <c r="R21" s="200">
        <v>118.63</v>
      </c>
      <c r="S21" s="200">
        <v>35.593333333333298</v>
      </c>
      <c r="T21" s="200"/>
      <c r="U21" s="200">
        <f t="shared" si="12"/>
        <v>1696.456666666666</v>
      </c>
      <c r="V21" s="200">
        <f t="shared" si="8"/>
        <v>23694.217071831994</v>
      </c>
      <c r="W21" s="200">
        <f t="shared" si="9"/>
        <v>14216.530243099196</v>
      </c>
      <c r="X21" s="201">
        <v>0.33800000000000002</v>
      </c>
      <c r="Y21" s="200">
        <f t="shared" si="10"/>
        <v>4805.1872221675285</v>
      </c>
      <c r="Z21" s="200">
        <f t="shared" si="11"/>
        <v>19021.717465266724</v>
      </c>
      <c r="AA21" s="194"/>
    </row>
    <row r="22" spans="1:27">
      <c r="A22" s="187">
        <v>1</v>
      </c>
      <c r="B22" s="54" t="s">
        <v>240</v>
      </c>
      <c r="C22" s="54" t="s">
        <v>35</v>
      </c>
      <c r="D22" s="54"/>
      <c r="E22" s="179">
        <v>39539</v>
      </c>
      <c r="F22" s="198">
        <f>A.1.0_TablaAntigüedad_Sub!K22</f>
        <v>17</v>
      </c>
      <c r="G22" s="54"/>
      <c r="H22" s="199">
        <v>1</v>
      </c>
      <c r="I22" s="200">
        <f>'A.0_Tablas salariales SC'!V10</f>
        <v>1215.8158047887998</v>
      </c>
      <c r="J22" s="200">
        <f>A.1.0_TablaAntigüedad_Sub!V22</f>
        <v>219.94</v>
      </c>
      <c r="K22" s="200">
        <f t="shared" si="4"/>
        <v>1435.7558047887999</v>
      </c>
      <c r="L22" s="200">
        <f t="shared" si="5"/>
        <v>1435.7558047887999</v>
      </c>
      <c r="M22" s="200">
        <v>461.42333333333301</v>
      </c>
      <c r="N22" s="200">
        <f t="shared" si="6"/>
        <v>0</v>
      </c>
      <c r="O22" s="200"/>
      <c r="P22" s="200">
        <v>0</v>
      </c>
      <c r="Q22" s="200">
        <f t="shared" si="7"/>
        <v>21997.760405165329</v>
      </c>
      <c r="R22" s="200">
        <v>118.63</v>
      </c>
      <c r="S22" s="200">
        <v>35.593333333333298</v>
      </c>
      <c r="T22" s="200"/>
      <c r="U22" s="200">
        <f t="shared" si="12"/>
        <v>1696.456666666666</v>
      </c>
      <c r="V22" s="200">
        <f t="shared" si="8"/>
        <v>23694.217071831994</v>
      </c>
      <c r="W22" s="200">
        <f t="shared" si="9"/>
        <v>23694.217071831994</v>
      </c>
      <c r="X22" s="201">
        <v>0.33800000000000002</v>
      </c>
      <c r="Y22" s="200">
        <f t="shared" si="10"/>
        <v>8008.6453702792141</v>
      </c>
      <c r="Z22" s="200">
        <f t="shared" si="11"/>
        <v>31702.862442111207</v>
      </c>
      <c r="AA22" s="194"/>
    </row>
    <row r="23" spans="1:27">
      <c r="A23" s="187">
        <v>1</v>
      </c>
      <c r="B23" s="54" t="s">
        <v>240</v>
      </c>
      <c r="C23" s="54" t="s">
        <v>35</v>
      </c>
      <c r="D23" s="54"/>
      <c r="E23" s="179">
        <v>38749</v>
      </c>
      <c r="F23" s="198">
        <f>A.1.0_TablaAntigüedad_Sub!K23</f>
        <v>19</v>
      </c>
      <c r="G23" s="54"/>
      <c r="H23" s="199">
        <v>1</v>
      </c>
      <c r="I23" s="200">
        <f>'A.0_Tablas salariales SC'!V10</f>
        <v>1215.8158047887998</v>
      </c>
      <c r="J23" s="200">
        <f>A.1.0_TablaAntigüedad_Sub!V23</f>
        <v>264.41000000000003</v>
      </c>
      <c r="K23" s="200">
        <f t="shared" si="4"/>
        <v>1480.2258047887999</v>
      </c>
      <c r="L23" s="200">
        <f t="shared" si="5"/>
        <v>1480.2258047887999</v>
      </c>
      <c r="M23" s="200">
        <v>461.42333333333301</v>
      </c>
      <c r="N23" s="200">
        <f t="shared" si="6"/>
        <v>0</v>
      </c>
      <c r="O23" s="200"/>
      <c r="P23" s="200">
        <v>0</v>
      </c>
      <c r="Q23" s="200">
        <f t="shared" si="7"/>
        <v>22664.810405165324</v>
      </c>
      <c r="R23" s="200">
        <v>118.63</v>
      </c>
      <c r="S23" s="200">
        <v>35.593333333333298</v>
      </c>
      <c r="T23" s="200"/>
      <c r="U23" s="200">
        <f t="shared" si="12"/>
        <v>1696.456666666666</v>
      </c>
      <c r="V23" s="200">
        <f t="shared" si="8"/>
        <v>24361.26707183199</v>
      </c>
      <c r="W23" s="200">
        <f t="shared" si="9"/>
        <v>24361.26707183199</v>
      </c>
      <c r="X23" s="201">
        <v>0.33800000000000002</v>
      </c>
      <c r="Y23" s="200">
        <f t="shared" si="10"/>
        <v>8234.1082702792137</v>
      </c>
      <c r="Z23" s="200">
        <f t="shared" si="11"/>
        <v>32595.375342111205</v>
      </c>
      <c r="AA23" s="194"/>
    </row>
    <row r="24" spans="1:27">
      <c r="A24" s="187">
        <v>1</v>
      </c>
      <c r="B24" s="54" t="s">
        <v>240</v>
      </c>
      <c r="C24" s="54" t="s">
        <v>241</v>
      </c>
      <c r="D24" s="54"/>
      <c r="E24" s="179">
        <v>38749</v>
      </c>
      <c r="F24" s="198">
        <f>A.1.0_TablaAntigüedad_Sub!K24</f>
        <v>19</v>
      </c>
      <c r="G24" s="54"/>
      <c r="H24" s="199">
        <v>1</v>
      </c>
      <c r="I24" s="200">
        <f>'A.0_Tablas salariales SC'!V10</f>
        <v>1215.8158047887998</v>
      </c>
      <c r="J24" s="200">
        <f>A.1.0_TablaAntigüedad_Sub!V24</f>
        <v>264.41000000000003</v>
      </c>
      <c r="K24" s="200">
        <f t="shared" si="4"/>
        <v>1480.2258047887999</v>
      </c>
      <c r="L24" s="200">
        <f t="shared" si="5"/>
        <v>1480.2258047887999</v>
      </c>
      <c r="M24" s="200">
        <v>461.42333333333301</v>
      </c>
      <c r="N24" s="200">
        <f t="shared" si="6"/>
        <v>0</v>
      </c>
      <c r="O24" s="200"/>
      <c r="P24" s="200">
        <v>0</v>
      </c>
      <c r="Q24" s="200">
        <f t="shared" si="7"/>
        <v>22664.810405165324</v>
      </c>
      <c r="R24" s="200">
        <v>118.63</v>
      </c>
      <c r="S24" s="200">
        <v>35.593333333333298</v>
      </c>
      <c r="T24" s="200"/>
      <c r="U24" s="200">
        <f t="shared" si="12"/>
        <v>1696.456666666666</v>
      </c>
      <c r="V24" s="200">
        <f t="shared" si="8"/>
        <v>24361.26707183199</v>
      </c>
      <c r="W24" s="200">
        <f t="shared" si="9"/>
        <v>24361.26707183199</v>
      </c>
      <c r="X24" s="201">
        <v>0.33800000000000002</v>
      </c>
      <c r="Y24" s="200">
        <f t="shared" si="10"/>
        <v>8234.1082702792137</v>
      </c>
      <c r="Z24" s="200">
        <f t="shared" si="11"/>
        <v>32595.375342111205</v>
      </c>
      <c r="AA24" s="194"/>
    </row>
    <row r="25" spans="1:27">
      <c r="A25" s="187">
        <v>1</v>
      </c>
      <c r="B25" s="54" t="s">
        <v>240</v>
      </c>
      <c r="C25" s="54" t="s">
        <v>35</v>
      </c>
      <c r="D25" s="54"/>
      <c r="E25" s="179">
        <v>35827</v>
      </c>
      <c r="F25" s="198">
        <f>A.1.0_TablaAntigüedad_Sub!K25</f>
        <v>27</v>
      </c>
      <c r="G25" s="54"/>
      <c r="H25" s="199">
        <v>0.33</v>
      </c>
      <c r="I25" s="200">
        <f>'A.0_Tablas salariales SC'!V10</f>
        <v>1215.8158047887998</v>
      </c>
      <c r="J25" s="200">
        <f>A.1.0_TablaAntigüedad_Sub!V25</f>
        <v>421.15</v>
      </c>
      <c r="K25" s="200">
        <f t="shared" si="4"/>
        <v>1636.9658047887997</v>
      </c>
      <c r="L25" s="200">
        <f t="shared" si="5"/>
        <v>1636.9658047887997</v>
      </c>
      <c r="M25" s="200">
        <v>461.42333333333301</v>
      </c>
      <c r="N25" s="200">
        <f t="shared" si="6"/>
        <v>0</v>
      </c>
      <c r="O25" s="200"/>
      <c r="P25" s="200">
        <v>0</v>
      </c>
      <c r="Q25" s="200">
        <f t="shared" si="7"/>
        <v>25015.910405165327</v>
      </c>
      <c r="R25" s="200">
        <v>118.63</v>
      </c>
      <c r="S25" s="200">
        <v>35.593333333333298</v>
      </c>
      <c r="T25" s="200"/>
      <c r="U25" s="200">
        <f t="shared" si="12"/>
        <v>1696.456666666666</v>
      </c>
      <c r="V25" s="200">
        <f t="shared" si="8"/>
        <v>26712.367071831992</v>
      </c>
      <c r="W25" s="200">
        <f t="shared" si="9"/>
        <v>8815.0811337045579</v>
      </c>
      <c r="X25" s="201">
        <v>0.33800000000000002</v>
      </c>
      <c r="Y25" s="200">
        <f t="shared" si="10"/>
        <v>2979.4974231921406</v>
      </c>
      <c r="Z25" s="200">
        <f t="shared" si="11"/>
        <v>11794.578556896699</v>
      </c>
      <c r="AA25" s="194"/>
    </row>
    <row r="26" spans="1:27">
      <c r="A26" s="187">
        <v>1</v>
      </c>
      <c r="B26" s="54" t="s">
        <v>240</v>
      </c>
      <c r="C26" s="54" t="s">
        <v>35</v>
      </c>
      <c r="D26" s="54"/>
      <c r="E26" s="179">
        <v>38749</v>
      </c>
      <c r="F26" s="198">
        <f>A.1.0_TablaAntigüedad_Sub!K26</f>
        <v>19</v>
      </c>
      <c r="G26" s="54"/>
      <c r="H26" s="199">
        <v>1</v>
      </c>
      <c r="I26" s="200">
        <f>'A.0_Tablas salariales SC'!V10</f>
        <v>1215.8158047887998</v>
      </c>
      <c r="J26" s="200">
        <f>A.1.0_TablaAntigüedad_Sub!V26</f>
        <v>264.41000000000003</v>
      </c>
      <c r="K26" s="200">
        <f t="shared" si="4"/>
        <v>1480.2258047887999</v>
      </c>
      <c r="L26" s="200">
        <f t="shared" si="5"/>
        <v>1480.2258047887999</v>
      </c>
      <c r="M26" s="200">
        <v>461.42333333333301</v>
      </c>
      <c r="N26" s="200">
        <f t="shared" si="6"/>
        <v>0</v>
      </c>
      <c r="O26" s="200"/>
      <c r="P26" s="200">
        <v>0</v>
      </c>
      <c r="Q26" s="200">
        <f t="shared" si="7"/>
        <v>22664.810405165324</v>
      </c>
      <c r="R26" s="200">
        <v>118.63</v>
      </c>
      <c r="S26" s="200">
        <v>35.593333333333298</v>
      </c>
      <c r="T26" s="200"/>
      <c r="U26" s="200">
        <f t="shared" si="12"/>
        <v>1696.456666666666</v>
      </c>
      <c r="V26" s="200">
        <f t="shared" si="8"/>
        <v>24361.26707183199</v>
      </c>
      <c r="W26" s="200">
        <f t="shared" si="9"/>
        <v>24361.26707183199</v>
      </c>
      <c r="X26" s="201">
        <v>0.33800000000000002</v>
      </c>
      <c r="Y26" s="200">
        <f t="shared" si="10"/>
        <v>8234.1082702792137</v>
      </c>
      <c r="Z26" s="200">
        <f t="shared" si="11"/>
        <v>32595.375342111205</v>
      </c>
      <c r="AA26" s="194"/>
    </row>
    <row r="27" spans="1:27">
      <c r="A27" s="187">
        <v>1</v>
      </c>
      <c r="B27" s="54" t="s">
        <v>240</v>
      </c>
      <c r="C27" s="54" t="s">
        <v>241</v>
      </c>
      <c r="D27" s="54"/>
      <c r="E27" s="179">
        <v>38932</v>
      </c>
      <c r="F27" s="198">
        <f>A.1.0_TablaAntigüedad_Sub!K27</f>
        <v>19</v>
      </c>
      <c r="G27" s="54"/>
      <c r="H27" s="199">
        <v>1</v>
      </c>
      <c r="I27" s="200">
        <f>'A.0_Tablas salariales SC'!$V$10</f>
        <v>1215.8158047887998</v>
      </c>
      <c r="J27" s="200">
        <f>A.1.0_TablaAntigüedad_Sub!V27</f>
        <v>264.41000000000003</v>
      </c>
      <c r="K27" s="200">
        <f t="shared" ref="K27:K63" si="13">I27+J27</f>
        <v>1480.2258047887999</v>
      </c>
      <c r="L27" s="200">
        <f t="shared" ref="L27:L63" si="14">I27+J27</f>
        <v>1480.2258047887999</v>
      </c>
      <c r="M27" s="200">
        <v>461.42333333333301</v>
      </c>
      <c r="N27" s="200">
        <f t="shared" ref="N27" si="15">I27*0.25*0</f>
        <v>0</v>
      </c>
      <c r="O27" s="200"/>
      <c r="P27" s="200">
        <v>0</v>
      </c>
      <c r="Q27" s="200">
        <f t="shared" si="7"/>
        <v>22664.810405165324</v>
      </c>
      <c r="R27" s="200">
        <v>118.63</v>
      </c>
      <c r="S27" s="200">
        <v>35.593333333333298</v>
      </c>
      <c r="T27" s="200"/>
      <c r="U27" s="200">
        <f t="shared" si="12"/>
        <v>1696.456666666666</v>
      </c>
      <c r="V27" s="200">
        <f t="shared" ref="V27:V63" si="16">+Q27+U27</f>
        <v>24361.26707183199</v>
      </c>
      <c r="W27" s="200">
        <f t="shared" si="9"/>
        <v>24361.26707183199</v>
      </c>
      <c r="X27" s="201">
        <v>0.33800000000000002</v>
      </c>
      <c r="Y27" s="200">
        <f t="shared" si="10"/>
        <v>8234.1082702792137</v>
      </c>
      <c r="Z27" s="200">
        <f t="shared" si="11"/>
        <v>32595.375342111205</v>
      </c>
      <c r="AA27" s="194"/>
    </row>
    <row r="28" spans="1:27">
      <c r="A28" s="187">
        <v>1</v>
      </c>
      <c r="B28" s="54" t="s">
        <v>240</v>
      </c>
      <c r="C28" s="54" t="s">
        <v>241</v>
      </c>
      <c r="D28" s="54"/>
      <c r="E28" s="179">
        <v>38749</v>
      </c>
      <c r="F28" s="198">
        <f>A.1.0_TablaAntigüedad_Sub!K28</f>
        <v>19</v>
      </c>
      <c r="G28" s="54"/>
      <c r="H28" s="199">
        <v>1</v>
      </c>
      <c r="I28" s="200">
        <f>'A.0_Tablas salariales SC'!$V$10</f>
        <v>1215.8158047887998</v>
      </c>
      <c r="J28" s="200">
        <f>A.1.0_TablaAntigüedad_Sub!V28</f>
        <v>264.41000000000003</v>
      </c>
      <c r="K28" s="200">
        <f t="shared" si="13"/>
        <v>1480.2258047887999</v>
      </c>
      <c r="L28" s="200">
        <f t="shared" si="14"/>
        <v>1480.2258047887999</v>
      </c>
      <c r="M28" s="200">
        <v>461.42333333333301</v>
      </c>
      <c r="N28" s="200">
        <f>I28*0.25*1</f>
        <v>303.95395119719996</v>
      </c>
      <c r="O28" s="200"/>
      <c r="P28" s="200">
        <v>0</v>
      </c>
      <c r="Q28" s="200">
        <f t="shared" si="7"/>
        <v>26312.257819531726</v>
      </c>
      <c r="R28" s="200">
        <v>118.63</v>
      </c>
      <c r="S28" s="200">
        <v>35.593333333333298</v>
      </c>
      <c r="T28" s="200"/>
      <c r="U28" s="200">
        <f t="shared" ref="U28:U45" si="17">(R28*R$4)+(S28*S$4)+T28</f>
        <v>1696.456666666666</v>
      </c>
      <c r="V28" s="200">
        <f t="shared" si="16"/>
        <v>28008.714486198391</v>
      </c>
      <c r="W28" s="200">
        <f t="shared" si="9"/>
        <v>28008.714486198391</v>
      </c>
      <c r="X28" s="201">
        <v>0.33800000000000002</v>
      </c>
      <c r="Y28" s="200">
        <f t="shared" si="10"/>
        <v>9466.9454963350563</v>
      </c>
      <c r="Z28" s="200">
        <f t="shared" si="11"/>
        <v>37475.659982533449</v>
      </c>
      <c r="AA28" s="194"/>
    </row>
    <row r="29" spans="1:27">
      <c r="A29" s="187">
        <v>1</v>
      </c>
      <c r="B29" s="54" t="s">
        <v>240</v>
      </c>
      <c r="C29" s="54" t="s">
        <v>35</v>
      </c>
      <c r="D29" s="54"/>
      <c r="E29" s="179">
        <v>38749</v>
      </c>
      <c r="F29" s="198">
        <f>A.1.0_TablaAntigüedad_Sub!K29</f>
        <v>19</v>
      </c>
      <c r="G29" s="54"/>
      <c r="H29" s="199">
        <v>0.6</v>
      </c>
      <c r="I29" s="200">
        <f>'A.0_Tablas salariales SC'!$V$10</f>
        <v>1215.8158047887998</v>
      </c>
      <c r="J29" s="200">
        <f>A.1.0_TablaAntigüedad_Sub!V29</f>
        <v>264.41000000000003</v>
      </c>
      <c r="K29" s="200">
        <f t="shared" si="13"/>
        <v>1480.2258047887999</v>
      </c>
      <c r="L29" s="200">
        <f t="shared" si="14"/>
        <v>1480.2258047887999</v>
      </c>
      <c r="M29" s="200">
        <v>461.42333333333301</v>
      </c>
      <c r="N29" s="200">
        <f t="shared" ref="N29:N45" si="18">I29*0.25*0</f>
        <v>0</v>
      </c>
      <c r="O29" s="200"/>
      <c r="P29" s="200">
        <v>0</v>
      </c>
      <c r="Q29" s="200">
        <f t="shared" si="7"/>
        <v>22664.810405165324</v>
      </c>
      <c r="R29" s="200">
        <v>118.63</v>
      </c>
      <c r="S29" s="200">
        <v>35.593333333333298</v>
      </c>
      <c r="T29" s="200"/>
      <c r="U29" s="200">
        <f t="shared" si="17"/>
        <v>1696.456666666666</v>
      </c>
      <c r="V29" s="200">
        <f t="shared" si="16"/>
        <v>24361.26707183199</v>
      </c>
      <c r="W29" s="200">
        <f t="shared" si="9"/>
        <v>14616.760243099194</v>
      </c>
      <c r="X29" s="201">
        <v>0.33800000000000002</v>
      </c>
      <c r="Y29" s="200">
        <f t="shared" si="10"/>
        <v>4940.464962167528</v>
      </c>
      <c r="Z29" s="200">
        <f t="shared" si="11"/>
        <v>19557.225205266721</v>
      </c>
      <c r="AA29" s="194"/>
    </row>
    <row r="30" spans="1:27">
      <c r="A30" s="187">
        <v>1</v>
      </c>
      <c r="B30" s="54" t="s">
        <v>240</v>
      </c>
      <c r="C30" s="54" t="s">
        <v>35</v>
      </c>
      <c r="D30" s="54"/>
      <c r="E30" s="179">
        <v>38932</v>
      </c>
      <c r="F30" s="198">
        <f>A.1.0_TablaAntigüedad_Sub!K30</f>
        <v>19</v>
      </c>
      <c r="G30" s="54"/>
      <c r="H30" s="199">
        <v>1</v>
      </c>
      <c r="I30" s="200">
        <f>'A.0_Tablas salariales SC'!$V$10</f>
        <v>1215.8158047887998</v>
      </c>
      <c r="J30" s="200">
        <f>A.1.0_TablaAntigüedad_Sub!V30</f>
        <v>264.41000000000003</v>
      </c>
      <c r="K30" s="200">
        <f t="shared" si="13"/>
        <v>1480.2258047887999</v>
      </c>
      <c r="L30" s="200">
        <f t="shared" si="14"/>
        <v>1480.2258047887999</v>
      </c>
      <c r="M30" s="200">
        <v>461.42333333333301</v>
      </c>
      <c r="N30" s="200">
        <f t="shared" si="18"/>
        <v>0</v>
      </c>
      <c r="O30" s="200"/>
      <c r="P30" s="200">
        <v>0</v>
      </c>
      <c r="Q30" s="200">
        <f t="shared" si="7"/>
        <v>22664.810405165324</v>
      </c>
      <c r="R30" s="200">
        <v>118.63</v>
      </c>
      <c r="S30" s="200">
        <v>35.593333333333298</v>
      </c>
      <c r="T30" s="200"/>
      <c r="U30" s="200">
        <f t="shared" si="17"/>
        <v>1696.456666666666</v>
      </c>
      <c r="V30" s="200">
        <f t="shared" si="16"/>
        <v>24361.26707183199</v>
      </c>
      <c r="W30" s="200">
        <f t="shared" si="9"/>
        <v>24361.26707183199</v>
      </c>
      <c r="X30" s="201">
        <v>0.33800000000000002</v>
      </c>
      <c r="Y30" s="200">
        <f t="shared" si="10"/>
        <v>8234.1082702792137</v>
      </c>
      <c r="Z30" s="200">
        <f t="shared" si="11"/>
        <v>32595.375342111205</v>
      </c>
      <c r="AA30" s="194"/>
    </row>
    <row r="31" spans="1:27">
      <c r="A31" s="187">
        <v>1</v>
      </c>
      <c r="B31" s="54" t="s">
        <v>240</v>
      </c>
      <c r="C31" s="54" t="s">
        <v>35</v>
      </c>
      <c r="D31" s="54"/>
      <c r="E31" s="179">
        <v>42036</v>
      </c>
      <c r="F31" s="198">
        <f>A.1.0_TablaAntigüedad_Sub!K31</f>
        <v>10</v>
      </c>
      <c r="G31" s="54"/>
      <c r="H31" s="199">
        <v>1</v>
      </c>
      <c r="I31" s="200">
        <f>'A.0_Tablas salariales SC'!$V$10</f>
        <v>1215.8158047887998</v>
      </c>
      <c r="J31" s="200">
        <f>A.1.0_TablaAntigüedad_Sub!V31</f>
        <v>122.83</v>
      </c>
      <c r="K31" s="200">
        <f t="shared" si="13"/>
        <v>1338.6458047887998</v>
      </c>
      <c r="L31" s="200">
        <f t="shared" si="14"/>
        <v>1338.6458047887998</v>
      </c>
      <c r="M31" s="200">
        <v>461.42333333333301</v>
      </c>
      <c r="N31" s="200">
        <f t="shared" si="18"/>
        <v>0</v>
      </c>
      <c r="O31" s="200"/>
      <c r="P31" s="200">
        <v>0</v>
      </c>
      <c r="Q31" s="200">
        <f t="shared" si="7"/>
        <v>20541.110405165327</v>
      </c>
      <c r="R31" s="200">
        <v>118.63</v>
      </c>
      <c r="S31" s="200">
        <v>35.593333333333298</v>
      </c>
      <c r="T31" s="200"/>
      <c r="U31" s="200">
        <f t="shared" si="17"/>
        <v>1696.456666666666</v>
      </c>
      <c r="V31" s="200">
        <f t="shared" si="16"/>
        <v>22237.567071831993</v>
      </c>
      <c r="W31" s="200">
        <f t="shared" si="9"/>
        <v>22237.567071831993</v>
      </c>
      <c r="X31" s="201">
        <v>0.33800000000000002</v>
      </c>
      <c r="Y31" s="200">
        <f t="shared" si="10"/>
        <v>7516.2976702792139</v>
      </c>
      <c r="Z31" s="200">
        <f t="shared" si="11"/>
        <v>29753.864742111207</v>
      </c>
      <c r="AA31" s="194"/>
    </row>
    <row r="32" spans="1:27">
      <c r="A32" s="187">
        <v>1</v>
      </c>
      <c r="B32" s="54" t="s">
        <v>240</v>
      </c>
      <c r="C32" s="54" t="s">
        <v>35</v>
      </c>
      <c r="D32" s="54"/>
      <c r="E32" s="179">
        <v>38749</v>
      </c>
      <c r="F32" s="198">
        <f>A.1.0_TablaAntigüedad_Sub!K32</f>
        <v>19</v>
      </c>
      <c r="G32" s="54"/>
      <c r="H32" s="199">
        <v>1</v>
      </c>
      <c r="I32" s="200">
        <f>'A.0_Tablas salariales SC'!$V$10</f>
        <v>1215.8158047887998</v>
      </c>
      <c r="J32" s="200">
        <f>A.1.0_TablaAntigüedad_Sub!V32</f>
        <v>264.41000000000003</v>
      </c>
      <c r="K32" s="200">
        <f t="shared" si="13"/>
        <v>1480.2258047887999</v>
      </c>
      <c r="L32" s="200">
        <f t="shared" si="14"/>
        <v>1480.2258047887999</v>
      </c>
      <c r="M32" s="200">
        <v>461.42333333333301</v>
      </c>
      <c r="N32" s="200">
        <f t="shared" si="18"/>
        <v>0</v>
      </c>
      <c r="O32" s="200"/>
      <c r="P32" s="200">
        <v>0</v>
      </c>
      <c r="Q32" s="200">
        <f t="shared" si="7"/>
        <v>22664.810405165324</v>
      </c>
      <c r="R32" s="200">
        <v>118.63</v>
      </c>
      <c r="S32" s="200">
        <v>35.593333333333298</v>
      </c>
      <c r="T32" s="200"/>
      <c r="U32" s="200">
        <f t="shared" si="17"/>
        <v>1696.456666666666</v>
      </c>
      <c r="V32" s="200">
        <f t="shared" si="16"/>
        <v>24361.26707183199</v>
      </c>
      <c r="W32" s="200">
        <f t="shared" si="9"/>
        <v>24361.26707183199</v>
      </c>
      <c r="X32" s="201">
        <v>0.33800000000000002</v>
      </c>
      <c r="Y32" s="200">
        <f t="shared" si="10"/>
        <v>8234.1082702792137</v>
      </c>
      <c r="Z32" s="200">
        <f t="shared" si="11"/>
        <v>32595.375342111205</v>
      </c>
      <c r="AA32" s="194"/>
    </row>
    <row r="33" spans="1:27">
      <c r="A33" s="187">
        <v>1</v>
      </c>
      <c r="B33" s="54" t="s">
        <v>240</v>
      </c>
      <c r="C33" s="54" t="s">
        <v>35</v>
      </c>
      <c r="D33" s="54"/>
      <c r="E33" s="179">
        <v>40250</v>
      </c>
      <c r="F33" s="198">
        <f>A.1.0_TablaAntigüedad_Sub!K33</f>
        <v>15</v>
      </c>
      <c r="G33" s="54"/>
      <c r="H33" s="199">
        <v>1</v>
      </c>
      <c r="I33" s="200">
        <f>'A.0_Tablas salariales SC'!$V$10</f>
        <v>1215.8158047887998</v>
      </c>
      <c r="J33" s="200">
        <f>A.1.0_TablaAntigüedad_Sub!V33</f>
        <v>219.94</v>
      </c>
      <c r="K33" s="200">
        <f t="shared" si="13"/>
        <v>1435.7558047887999</v>
      </c>
      <c r="L33" s="200">
        <f t="shared" si="14"/>
        <v>1435.7558047887999</v>
      </c>
      <c r="M33" s="200">
        <v>461.42333333333301</v>
      </c>
      <c r="N33" s="200">
        <f t="shared" si="18"/>
        <v>0</v>
      </c>
      <c r="O33" s="200"/>
      <c r="P33" s="200">
        <v>0</v>
      </c>
      <c r="Q33" s="200">
        <f t="shared" si="7"/>
        <v>21997.760405165329</v>
      </c>
      <c r="R33" s="200">
        <v>118.63</v>
      </c>
      <c r="S33" s="200">
        <v>35.593333333333298</v>
      </c>
      <c r="T33" s="200"/>
      <c r="U33" s="200">
        <f t="shared" si="17"/>
        <v>1696.456666666666</v>
      </c>
      <c r="V33" s="200">
        <f t="shared" si="16"/>
        <v>23694.217071831994</v>
      </c>
      <c r="W33" s="200">
        <f t="shared" si="9"/>
        <v>23694.217071831994</v>
      </c>
      <c r="X33" s="201">
        <v>0.33800000000000002</v>
      </c>
      <c r="Y33" s="200">
        <f t="shared" si="10"/>
        <v>8008.6453702792141</v>
      </c>
      <c r="Z33" s="200">
        <f t="shared" si="11"/>
        <v>31702.862442111207</v>
      </c>
      <c r="AA33" s="194"/>
    </row>
    <row r="34" spans="1:27">
      <c r="A34" s="187">
        <v>1</v>
      </c>
      <c r="B34" s="54" t="s">
        <v>240</v>
      </c>
      <c r="C34" s="54" t="s">
        <v>35</v>
      </c>
      <c r="D34" s="54"/>
      <c r="E34" s="179">
        <v>39038</v>
      </c>
      <c r="F34" s="198">
        <f>A.1.0_TablaAntigüedad_Sub!K34</f>
        <v>19</v>
      </c>
      <c r="G34" s="54"/>
      <c r="H34" s="199">
        <v>1</v>
      </c>
      <c r="I34" s="200">
        <f>'A.0_Tablas salariales SC'!$V$10</f>
        <v>1215.8158047887998</v>
      </c>
      <c r="J34" s="200">
        <f>A.1.0_TablaAntigüedad_Sub!V34</f>
        <v>264.41000000000003</v>
      </c>
      <c r="K34" s="200">
        <f t="shared" si="13"/>
        <v>1480.2258047887999</v>
      </c>
      <c r="L34" s="200">
        <f t="shared" si="14"/>
        <v>1480.2258047887999</v>
      </c>
      <c r="M34" s="200">
        <v>461.42333333333301</v>
      </c>
      <c r="N34" s="200">
        <f t="shared" si="18"/>
        <v>0</v>
      </c>
      <c r="O34" s="200"/>
      <c r="P34" s="200">
        <v>0</v>
      </c>
      <c r="Q34" s="200">
        <f t="shared" si="7"/>
        <v>22664.810405165324</v>
      </c>
      <c r="R34" s="200">
        <v>118.63</v>
      </c>
      <c r="S34" s="200">
        <v>35.593333333333298</v>
      </c>
      <c r="T34" s="200"/>
      <c r="U34" s="200">
        <f t="shared" si="17"/>
        <v>1696.456666666666</v>
      </c>
      <c r="V34" s="200">
        <f t="shared" si="16"/>
        <v>24361.26707183199</v>
      </c>
      <c r="W34" s="200">
        <f t="shared" si="9"/>
        <v>24361.26707183199</v>
      </c>
      <c r="X34" s="201">
        <v>0.33800000000000002</v>
      </c>
      <c r="Y34" s="200">
        <f t="shared" si="10"/>
        <v>8234.1082702792137</v>
      </c>
      <c r="Z34" s="200">
        <f t="shared" si="11"/>
        <v>32595.375342111205</v>
      </c>
      <c r="AA34" s="194"/>
    </row>
    <row r="35" spans="1:27">
      <c r="A35" s="187">
        <v>1</v>
      </c>
      <c r="B35" s="54" t="s">
        <v>240</v>
      </c>
      <c r="C35" s="54" t="s">
        <v>35</v>
      </c>
      <c r="D35" s="54"/>
      <c r="E35" s="179">
        <v>39663</v>
      </c>
      <c r="F35" s="198">
        <f>A.1.0_TablaAntigüedad_Sub!K35</f>
        <v>17</v>
      </c>
      <c r="G35" s="54"/>
      <c r="H35" s="199">
        <v>1</v>
      </c>
      <c r="I35" s="200">
        <f>'A.0_Tablas salariales SC'!$V$10</f>
        <v>1215.8158047887998</v>
      </c>
      <c r="J35" s="200">
        <f>A.1.0_TablaAntigüedad_Sub!V35</f>
        <v>219.94</v>
      </c>
      <c r="K35" s="200">
        <f t="shared" si="13"/>
        <v>1435.7558047887999</v>
      </c>
      <c r="L35" s="200">
        <f t="shared" si="14"/>
        <v>1435.7558047887999</v>
      </c>
      <c r="M35" s="200">
        <v>461.42333333333301</v>
      </c>
      <c r="N35" s="200">
        <f t="shared" si="18"/>
        <v>0</v>
      </c>
      <c r="O35" s="200"/>
      <c r="P35" s="200">
        <v>0</v>
      </c>
      <c r="Q35" s="200">
        <f t="shared" si="7"/>
        <v>21997.760405165329</v>
      </c>
      <c r="R35" s="200">
        <v>118.63</v>
      </c>
      <c r="S35" s="200">
        <v>35.593333333333298</v>
      </c>
      <c r="T35" s="200"/>
      <c r="U35" s="200">
        <f t="shared" si="17"/>
        <v>1696.456666666666</v>
      </c>
      <c r="V35" s="200">
        <f t="shared" si="16"/>
        <v>23694.217071831994</v>
      </c>
      <c r="W35" s="200">
        <f t="shared" si="9"/>
        <v>23694.217071831994</v>
      </c>
      <c r="X35" s="201">
        <v>0.33800000000000002</v>
      </c>
      <c r="Y35" s="200">
        <f t="shared" si="10"/>
        <v>8008.6453702792141</v>
      </c>
      <c r="Z35" s="200">
        <f t="shared" si="11"/>
        <v>31702.862442111207</v>
      </c>
      <c r="AA35" s="194"/>
    </row>
    <row r="36" spans="1:27">
      <c r="A36" s="187">
        <v>1</v>
      </c>
      <c r="B36" s="54" t="s">
        <v>240</v>
      </c>
      <c r="C36" s="54" t="s">
        <v>35</v>
      </c>
      <c r="D36" s="54"/>
      <c r="E36" s="179">
        <v>39650</v>
      </c>
      <c r="F36" s="198">
        <f>A.1.0_TablaAntigüedad_Sub!K36</f>
        <v>17</v>
      </c>
      <c r="G36" s="54"/>
      <c r="H36" s="199">
        <v>1</v>
      </c>
      <c r="I36" s="200">
        <f>'A.0_Tablas salariales SC'!$V$10</f>
        <v>1215.8158047887998</v>
      </c>
      <c r="J36" s="200">
        <f>A.1.0_TablaAntigüedad_Sub!V36</f>
        <v>219.94</v>
      </c>
      <c r="K36" s="200">
        <f t="shared" si="13"/>
        <v>1435.7558047887999</v>
      </c>
      <c r="L36" s="200">
        <f t="shared" si="14"/>
        <v>1435.7558047887999</v>
      </c>
      <c r="M36" s="200">
        <v>461.42333333333301</v>
      </c>
      <c r="N36" s="200">
        <f t="shared" si="18"/>
        <v>0</v>
      </c>
      <c r="O36" s="200"/>
      <c r="P36" s="200">
        <v>0</v>
      </c>
      <c r="Q36" s="200">
        <f t="shared" si="7"/>
        <v>21997.760405165329</v>
      </c>
      <c r="R36" s="200">
        <v>118.63</v>
      </c>
      <c r="S36" s="200">
        <v>35.593333333333298</v>
      </c>
      <c r="T36" s="200"/>
      <c r="U36" s="200">
        <f t="shared" si="17"/>
        <v>1696.456666666666</v>
      </c>
      <c r="V36" s="200">
        <f t="shared" si="16"/>
        <v>23694.217071831994</v>
      </c>
      <c r="W36" s="200">
        <f t="shared" si="9"/>
        <v>23694.217071831994</v>
      </c>
      <c r="X36" s="201">
        <v>0.33800000000000002</v>
      </c>
      <c r="Y36" s="200">
        <f t="shared" si="10"/>
        <v>8008.6453702792141</v>
      </c>
      <c r="Z36" s="200">
        <f t="shared" si="11"/>
        <v>31702.862442111207</v>
      </c>
      <c r="AA36" s="194"/>
    </row>
    <row r="37" spans="1:27">
      <c r="A37" s="187">
        <v>1</v>
      </c>
      <c r="B37" s="54" t="s">
        <v>240</v>
      </c>
      <c r="C37" s="54" t="s">
        <v>35</v>
      </c>
      <c r="D37" s="54"/>
      <c r="E37" s="179">
        <v>38749</v>
      </c>
      <c r="F37" s="198">
        <f>A.1.0_TablaAntigüedad_Sub!K37</f>
        <v>19</v>
      </c>
      <c r="G37" s="54"/>
      <c r="H37" s="199">
        <v>1</v>
      </c>
      <c r="I37" s="200">
        <f>'A.0_Tablas salariales SC'!$V$10</f>
        <v>1215.8158047887998</v>
      </c>
      <c r="J37" s="200">
        <f>A.1.0_TablaAntigüedad_Sub!V37</f>
        <v>264.41000000000003</v>
      </c>
      <c r="K37" s="200">
        <f t="shared" si="13"/>
        <v>1480.2258047887999</v>
      </c>
      <c r="L37" s="200">
        <f t="shared" si="14"/>
        <v>1480.2258047887999</v>
      </c>
      <c r="M37" s="200">
        <v>461.42333333333301</v>
      </c>
      <c r="N37" s="200">
        <f t="shared" si="18"/>
        <v>0</v>
      </c>
      <c r="O37" s="200"/>
      <c r="P37" s="200">
        <v>0</v>
      </c>
      <c r="Q37" s="200">
        <f t="shared" si="7"/>
        <v>22664.810405165324</v>
      </c>
      <c r="R37" s="200">
        <v>118.63</v>
      </c>
      <c r="S37" s="200">
        <v>35.593333333333298</v>
      </c>
      <c r="T37" s="200"/>
      <c r="U37" s="200">
        <f t="shared" si="17"/>
        <v>1696.456666666666</v>
      </c>
      <c r="V37" s="200">
        <f t="shared" si="16"/>
        <v>24361.26707183199</v>
      </c>
      <c r="W37" s="200">
        <f t="shared" si="9"/>
        <v>24361.26707183199</v>
      </c>
      <c r="X37" s="201">
        <v>0.33800000000000002</v>
      </c>
      <c r="Y37" s="200">
        <f t="shared" si="10"/>
        <v>8234.1082702792137</v>
      </c>
      <c r="Z37" s="200">
        <f t="shared" si="11"/>
        <v>32595.375342111205</v>
      </c>
      <c r="AA37" s="194"/>
    </row>
    <row r="38" spans="1:27">
      <c r="A38" s="187">
        <v>1</v>
      </c>
      <c r="B38" s="54" t="s">
        <v>240</v>
      </c>
      <c r="C38" s="54" t="s">
        <v>35</v>
      </c>
      <c r="D38" s="54"/>
      <c r="E38" s="179">
        <v>38749</v>
      </c>
      <c r="F38" s="198">
        <f>A.1.0_TablaAntigüedad_Sub!K38</f>
        <v>19</v>
      </c>
      <c r="G38" s="54"/>
      <c r="H38" s="199">
        <v>1</v>
      </c>
      <c r="I38" s="200">
        <f>'A.0_Tablas salariales SC'!$V$10</f>
        <v>1215.8158047887998</v>
      </c>
      <c r="J38" s="200">
        <f>A.1.0_TablaAntigüedad_Sub!V38</f>
        <v>264.41000000000003</v>
      </c>
      <c r="K38" s="200">
        <f t="shared" si="13"/>
        <v>1480.2258047887999</v>
      </c>
      <c r="L38" s="200">
        <f t="shared" si="14"/>
        <v>1480.2258047887999</v>
      </c>
      <c r="M38" s="200">
        <v>461.42333333333301</v>
      </c>
      <c r="N38" s="200">
        <f t="shared" si="18"/>
        <v>0</v>
      </c>
      <c r="O38" s="200"/>
      <c r="P38" s="200">
        <v>0</v>
      </c>
      <c r="Q38" s="200">
        <f t="shared" si="7"/>
        <v>22664.810405165324</v>
      </c>
      <c r="R38" s="200">
        <v>118.63</v>
      </c>
      <c r="S38" s="200">
        <v>35.593333333333298</v>
      </c>
      <c r="T38" s="200"/>
      <c r="U38" s="200">
        <f t="shared" si="17"/>
        <v>1696.456666666666</v>
      </c>
      <c r="V38" s="200">
        <f t="shared" si="16"/>
        <v>24361.26707183199</v>
      </c>
      <c r="W38" s="200">
        <f t="shared" si="9"/>
        <v>24361.26707183199</v>
      </c>
      <c r="X38" s="201">
        <v>0.33800000000000002</v>
      </c>
      <c r="Y38" s="200">
        <f t="shared" si="10"/>
        <v>8234.1082702792137</v>
      </c>
      <c r="Z38" s="200">
        <f t="shared" si="11"/>
        <v>32595.375342111205</v>
      </c>
      <c r="AA38" s="194"/>
    </row>
    <row r="39" spans="1:27">
      <c r="A39" s="187">
        <v>1</v>
      </c>
      <c r="B39" s="54" t="s">
        <v>240</v>
      </c>
      <c r="C39" s="54" t="s">
        <v>35</v>
      </c>
      <c r="D39" s="54"/>
      <c r="E39" s="179">
        <v>40196</v>
      </c>
      <c r="F39" s="198">
        <f>A.1.0_TablaAntigüedad_Sub!K39</f>
        <v>15</v>
      </c>
      <c r="G39" s="54"/>
      <c r="H39" s="199">
        <v>0.6</v>
      </c>
      <c r="I39" s="200">
        <f>'A.0_Tablas salariales SC'!$V$10</f>
        <v>1215.8158047887998</v>
      </c>
      <c r="J39" s="200">
        <f>A.1.0_TablaAntigüedad_Sub!V39</f>
        <v>219.94</v>
      </c>
      <c r="K39" s="200">
        <f t="shared" si="13"/>
        <v>1435.7558047887999</v>
      </c>
      <c r="L39" s="200">
        <f t="shared" si="14"/>
        <v>1435.7558047887999</v>
      </c>
      <c r="M39" s="200">
        <v>461.42333333333301</v>
      </c>
      <c r="N39" s="200">
        <f t="shared" si="18"/>
        <v>0</v>
      </c>
      <c r="O39" s="200"/>
      <c r="P39" s="200">
        <v>0</v>
      </c>
      <c r="Q39" s="200">
        <f t="shared" si="7"/>
        <v>21997.760405165329</v>
      </c>
      <c r="R39" s="200">
        <v>118.63</v>
      </c>
      <c r="S39" s="200">
        <v>35.593333333333298</v>
      </c>
      <c r="T39" s="200"/>
      <c r="U39" s="200">
        <f t="shared" si="17"/>
        <v>1696.456666666666</v>
      </c>
      <c r="V39" s="200">
        <f t="shared" si="16"/>
        <v>23694.217071831994</v>
      </c>
      <c r="W39" s="200">
        <f t="shared" si="9"/>
        <v>14216.530243099196</v>
      </c>
      <c r="X39" s="201">
        <v>0.33800000000000002</v>
      </c>
      <c r="Y39" s="200">
        <f t="shared" si="10"/>
        <v>4805.1872221675285</v>
      </c>
      <c r="Z39" s="200">
        <f t="shared" si="11"/>
        <v>19021.717465266724</v>
      </c>
      <c r="AA39" s="194"/>
    </row>
    <row r="40" spans="1:27">
      <c r="A40" s="187">
        <v>1</v>
      </c>
      <c r="B40" s="54" t="s">
        <v>240</v>
      </c>
      <c r="C40" s="54" t="s">
        <v>35</v>
      </c>
      <c r="D40" s="54"/>
      <c r="E40" s="179">
        <v>39539</v>
      </c>
      <c r="F40" s="198">
        <f>A.1.0_TablaAntigüedad_Sub!K40</f>
        <v>17</v>
      </c>
      <c r="G40" s="54"/>
      <c r="H40" s="199">
        <v>1</v>
      </c>
      <c r="I40" s="200">
        <f>'A.0_Tablas salariales SC'!$V$10</f>
        <v>1215.8158047887998</v>
      </c>
      <c r="J40" s="200">
        <f>A.1.0_TablaAntigüedad_Sub!V40</f>
        <v>219.94</v>
      </c>
      <c r="K40" s="200">
        <f t="shared" si="13"/>
        <v>1435.7558047887999</v>
      </c>
      <c r="L40" s="200">
        <f t="shared" si="14"/>
        <v>1435.7558047887999</v>
      </c>
      <c r="M40" s="200">
        <v>461.42333333333301</v>
      </c>
      <c r="N40" s="200">
        <f t="shared" si="18"/>
        <v>0</v>
      </c>
      <c r="O40" s="200"/>
      <c r="P40" s="200">
        <v>0</v>
      </c>
      <c r="Q40" s="200">
        <f t="shared" si="7"/>
        <v>21997.760405165329</v>
      </c>
      <c r="R40" s="200">
        <v>118.63</v>
      </c>
      <c r="S40" s="200">
        <v>35.593333333333298</v>
      </c>
      <c r="T40" s="200"/>
      <c r="U40" s="200">
        <f t="shared" si="17"/>
        <v>1696.456666666666</v>
      </c>
      <c r="V40" s="200">
        <f t="shared" si="16"/>
        <v>23694.217071831994</v>
      </c>
      <c r="W40" s="200">
        <f t="shared" si="9"/>
        <v>23694.217071831994</v>
      </c>
      <c r="X40" s="201">
        <v>0.33800000000000002</v>
      </c>
      <c r="Y40" s="200">
        <f t="shared" si="10"/>
        <v>8008.6453702792141</v>
      </c>
      <c r="Z40" s="200">
        <f t="shared" si="11"/>
        <v>31702.862442111207</v>
      </c>
      <c r="AA40" s="194"/>
    </row>
    <row r="41" spans="1:27">
      <c r="A41" s="187">
        <v>1</v>
      </c>
      <c r="B41" s="54" t="s">
        <v>240</v>
      </c>
      <c r="C41" s="54" t="s">
        <v>35</v>
      </c>
      <c r="D41" s="54"/>
      <c r="E41" s="179">
        <v>38749</v>
      </c>
      <c r="F41" s="198">
        <f>A.1.0_TablaAntigüedad_Sub!K41</f>
        <v>19</v>
      </c>
      <c r="G41" s="54"/>
      <c r="H41" s="199">
        <v>1</v>
      </c>
      <c r="I41" s="200">
        <f>'A.0_Tablas salariales SC'!$V$10</f>
        <v>1215.8158047887998</v>
      </c>
      <c r="J41" s="200">
        <f>A.1.0_TablaAntigüedad_Sub!V41</f>
        <v>264.41000000000003</v>
      </c>
      <c r="K41" s="200">
        <f t="shared" si="13"/>
        <v>1480.2258047887999</v>
      </c>
      <c r="L41" s="200">
        <f t="shared" si="14"/>
        <v>1480.2258047887999</v>
      </c>
      <c r="M41" s="200">
        <v>461.42333333333301</v>
      </c>
      <c r="N41" s="200">
        <f t="shared" si="18"/>
        <v>0</v>
      </c>
      <c r="O41" s="200"/>
      <c r="P41" s="200">
        <v>0</v>
      </c>
      <c r="Q41" s="200">
        <f t="shared" si="7"/>
        <v>22664.810405165324</v>
      </c>
      <c r="R41" s="200">
        <v>118.63</v>
      </c>
      <c r="S41" s="200">
        <v>35.593333333333298</v>
      </c>
      <c r="T41" s="200"/>
      <c r="U41" s="200">
        <f t="shared" si="17"/>
        <v>1696.456666666666</v>
      </c>
      <c r="V41" s="200">
        <f t="shared" si="16"/>
        <v>24361.26707183199</v>
      </c>
      <c r="W41" s="200">
        <f t="shared" si="9"/>
        <v>24361.26707183199</v>
      </c>
      <c r="X41" s="201">
        <v>0.33800000000000002</v>
      </c>
      <c r="Y41" s="200">
        <f t="shared" si="10"/>
        <v>8234.1082702792137</v>
      </c>
      <c r="Z41" s="200">
        <f t="shared" si="11"/>
        <v>32595.375342111205</v>
      </c>
      <c r="AA41" s="194"/>
    </row>
    <row r="42" spans="1:27">
      <c r="A42" s="187">
        <v>1</v>
      </c>
      <c r="B42" s="54" t="s">
        <v>240</v>
      </c>
      <c r="C42" s="54" t="s">
        <v>241</v>
      </c>
      <c r="D42" s="54"/>
      <c r="E42" s="179">
        <v>38749</v>
      </c>
      <c r="F42" s="198">
        <f>A.1.0_TablaAntigüedad_Sub!K42</f>
        <v>19</v>
      </c>
      <c r="G42" s="54"/>
      <c r="H42" s="199">
        <v>1</v>
      </c>
      <c r="I42" s="200">
        <f>'A.0_Tablas salariales SC'!$V$10</f>
        <v>1215.8158047887998</v>
      </c>
      <c r="J42" s="200">
        <f>A.1.0_TablaAntigüedad_Sub!V42</f>
        <v>264.41000000000003</v>
      </c>
      <c r="K42" s="200">
        <f t="shared" si="13"/>
        <v>1480.2258047887999</v>
      </c>
      <c r="L42" s="200">
        <f t="shared" si="14"/>
        <v>1480.2258047887999</v>
      </c>
      <c r="M42" s="200">
        <v>461.42333333333301</v>
      </c>
      <c r="N42" s="200">
        <f t="shared" si="18"/>
        <v>0</v>
      </c>
      <c r="O42" s="200"/>
      <c r="P42" s="200">
        <v>0</v>
      </c>
      <c r="Q42" s="200">
        <f t="shared" si="7"/>
        <v>22664.810405165324</v>
      </c>
      <c r="R42" s="200">
        <v>118.63</v>
      </c>
      <c r="S42" s="200">
        <v>35.593333333333298</v>
      </c>
      <c r="T42" s="200"/>
      <c r="U42" s="200">
        <f t="shared" si="17"/>
        <v>1696.456666666666</v>
      </c>
      <c r="V42" s="200">
        <f t="shared" si="16"/>
        <v>24361.26707183199</v>
      </c>
      <c r="W42" s="200">
        <f t="shared" si="9"/>
        <v>24361.26707183199</v>
      </c>
      <c r="X42" s="201">
        <v>0.33800000000000002</v>
      </c>
      <c r="Y42" s="200">
        <f t="shared" si="10"/>
        <v>8234.1082702792137</v>
      </c>
      <c r="Z42" s="200">
        <f t="shared" si="11"/>
        <v>32595.375342111205</v>
      </c>
      <c r="AA42" s="194"/>
    </row>
    <row r="43" spans="1:27">
      <c r="A43" s="187">
        <v>1</v>
      </c>
      <c r="B43" s="54" t="s">
        <v>240</v>
      </c>
      <c r="C43" s="54" t="s">
        <v>35</v>
      </c>
      <c r="D43" s="54"/>
      <c r="E43" s="179">
        <v>35827</v>
      </c>
      <c r="F43" s="198">
        <f>A.1.0_TablaAntigüedad_Sub!K43</f>
        <v>27</v>
      </c>
      <c r="G43" s="54"/>
      <c r="H43" s="199">
        <v>0.33</v>
      </c>
      <c r="I43" s="200">
        <f>'A.0_Tablas salariales SC'!$V$10</f>
        <v>1215.8158047887998</v>
      </c>
      <c r="J43" s="200">
        <f>A.1.0_TablaAntigüedad_Sub!V43</f>
        <v>421.15</v>
      </c>
      <c r="K43" s="200">
        <f t="shared" si="13"/>
        <v>1636.9658047887997</v>
      </c>
      <c r="L43" s="200">
        <f t="shared" si="14"/>
        <v>1636.9658047887997</v>
      </c>
      <c r="M43" s="200">
        <v>461.42333333333301</v>
      </c>
      <c r="N43" s="200">
        <f t="shared" si="18"/>
        <v>0</v>
      </c>
      <c r="O43" s="200"/>
      <c r="P43" s="200">
        <v>0</v>
      </c>
      <c r="Q43" s="200">
        <f t="shared" si="7"/>
        <v>25015.910405165327</v>
      </c>
      <c r="R43" s="200">
        <v>118.63</v>
      </c>
      <c r="S43" s="200">
        <v>35.593333333333298</v>
      </c>
      <c r="T43" s="200"/>
      <c r="U43" s="200">
        <f t="shared" si="17"/>
        <v>1696.456666666666</v>
      </c>
      <c r="V43" s="200">
        <f t="shared" si="16"/>
        <v>26712.367071831992</v>
      </c>
      <c r="W43" s="200">
        <f t="shared" si="9"/>
        <v>8815.0811337045579</v>
      </c>
      <c r="X43" s="201">
        <v>0.33800000000000002</v>
      </c>
      <c r="Y43" s="200">
        <f t="shared" si="10"/>
        <v>2979.4974231921406</v>
      </c>
      <c r="Z43" s="200">
        <f t="shared" si="11"/>
        <v>11794.578556896699</v>
      </c>
      <c r="AA43" s="194"/>
    </row>
    <row r="44" spans="1:27">
      <c r="A44" s="187">
        <v>1</v>
      </c>
      <c r="B44" s="54" t="s">
        <v>240</v>
      </c>
      <c r="C44" s="54" t="s">
        <v>35</v>
      </c>
      <c r="D44" s="54"/>
      <c r="E44" s="179">
        <v>38749</v>
      </c>
      <c r="F44" s="198">
        <f>A.1.0_TablaAntigüedad_Sub!K44</f>
        <v>19</v>
      </c>
      <c r="G44" s="54"/>
      <c r="H44" s="199">
        <v>1</v>
      </c>
      <c r="I44" s="200">
        <f>'A.0_Tablas salariales SC'!$V$10</f>
        <v>1215.8158047887998</v>
      </c>
      <c r="J44" s="200">
        <f>A.1.0_TablaAntigüedad_Sub!V44</f>
        <v>264.41000000000003</v>
      </c>
      <c r="K44" s="200">
        <f t="shared" si="13"/>
        <v>1480.2258047887999</v>
      </c>
      <c r="L44" s="200">
        <f t="shared" si="14"/>
        <v>1480.2258047887999</v>
      </c>
      <c r="M44" s="200">
        <v>461.42333333333301</v>
      </c>
      <c r="N44" s="200">
        <f t="shared" si="18"/>
        <v>0</v>
      </c>
      <c r="O44" s="200"/>
      <c r="P44" s="200">
        <v>0</v>
      </c>
      <c r="Q44" s="200">
        <f t="shared" si="7"/>
        <v>22664.810405165324</v>
      </c>
      <c r="R44" s="200">
        <v>118.63</v>
      </c>
      <c r="S44" s="200">
        <v>35.593333333333298</v>
      </c>
      <c r="T44" s="200"/>
      <c r="U44" s="200">
        <f t="shared" si="17"/>
        <v>1696.456666666666</v>
      </c>
      <c r="V44" s="200">
        <f t="shared" si="16"/>
        <v>24361.26707183199</v>
      </c>
      <c r="W44" s="200">
        <f t="shared" si="9"/>
        <v>24361.26707183199</v>
      </c>
      <c r="X44" s="201">
        <v>0.33800000000000002</v>
      </c>
      <c r="Y44" s="200">
        <f t="shared" si="10"/>
        <v>8234.1082702792137</v>
      </c>
      <c r="Z44" s="200">
        <f t="shared" si="11"/>
        <v>32595.375342111205</v>
      </c>
      <c r="AA44" s="194"/>
    </row>
    <row r="45" spans="1:27">
      <c r="A45" s="187">
        <v>1</v>
      </c>
      <c r="B45" s="54" t="s">
        <v>240</v>
      </c>
      <c r="C45" s="54" t="s">
        <v>241</v>
      </c>
      <c r="D45" s="54"/>
      <c r="E45" s="179">
        <v>38932</v>
      </c>
      <c r="F45" s="198">
        <f>A.1.0_TablaAntigüedad_Sub!K45</f>
        <v>19</v>
      </c>
      <c r="G45" s="54"/>
      <c r="H45" s="199">
        <v>1</v>
      </c>
      <c r="I45" s="200">
        <f>'A.0_Tablas salariales SC'!$V$10</f>
        <v>1215.8158047887998</v>
      </c>
      <c r="J45" s="200">
        <f>A.1.0_TablaAntigüedad_Sub!V45</f>
        <v>264.41000000000003</v>
      </c>
      <c r="K45" s="200">
        <f t="shared" si="13"/>
        <v>1480.2258047887999</v>
      </c>
      <c r="L45" s="200">
        <f t="shared" si="14"/>
        <v>1480.2258047887999</v>
      </c>
      <c r="M45" s="200">
        <v>461.42333333333301</v>
      </c>
      <c r="N45" s="200">
        <f t="shared" si="18"/>
        <v>0</v>
      </c>
      <c r="O45" s="200"/>
      <c r="P45" s="200">
        <v>0</v>
      </c>
      <c r="Q45" s="200">
        <f t="shared" si="7"/>
        <v>22664.810405165324</v>
      </c>
      <c r="R45" s="200">
        <v>118.63</v>
      </c>
      <c r="S45" s="200">
        <v>35.593333333333298</v>
      </c>
      <c r="T45" s="200"/>
      <c r="U45" s="200">
        <f t="shared" si="17"/>
        <v>1696.456666666666</v>
      </c>
      <c r="V45" s="200">
        <f t="shared" si="16"/>
        <v>24361.26707183199</v>
      </c>
      <c r="W45" s="200">
        <f t="shared" si="9"/>
        <v>24361.26707183199</v>
      </c>
      <c r="X45" s="201">
        <v>0.33800000000000002</v>
      </c>
      <c r="Y45" s="200">
        <f t="shared" si="10"/>
        <v>8234.1082702792137</v>
      </c>
      <c r="Z45" s="200">
        <f t="shared" si="11"/>
        <v>32595.375342111205</v>
      </c>
      <c r="AA45" s="194"/>
    </row>
    <row r="46" spans="1:27">
      <c r="A46" s="187">
        <v>1</v>
      </c>
      <c r="B46" s="54" t="s">
        <v>240</v>
      </c>
      <c r="C46" s="54" t="s">
        <v>241</v>
      </c>
      <c r="D46" s="54"/>
      <c r="E46" s="179">
        <v>38749</v>
      </c>
      <c r="F46" s="198">
        <f>A.1.0_TablaAntigüedad_Sub!K46</f>
        <v>19</v>
      </c>
      <c r="G46" s="54"/>
      <c r="H46" s="199">
        <v>1</v>
      </c>
      <c r="I46" s="200">
        <f>'A.0_Tablas salariales SC'!$V$10</f>
        <v>1215.8158047887998</v>
      </c>
      <c r="J46" s="200">
        <f>A.1.0_TablaAntigüedad_Sub!V46</f>
        <v>264.41000000000003</v>
      </c>
      <c r="K46" s="200">
        <f t="shared" si="13"/>
        <v>1480.2258047887999</v>
      </c>
      <c r="L46" s="200">
        <f t="shared" si="14"/>
        <v>1480.2258047887999</v>
      </c>
      <c r="M46" s="200">
        <v>461.42333333333301</v>
      </c>
      <c r="N46" s="200">
        <f>I46*0.25*1</f>
        <v>303.95395119719996</v>
      </c>
      <c r="O46" s="200"/>
      <c r="P46" s="200">
        <v>0</v>
      </c>
      <c r="Q46" s="200">
        <f t="shared" si="7"/>
        <v>26312.257819531726</v>
      </c>
      <c r="R46" s="200">
        <v>118.63</v>
      </c>
      <c r="S46" s="200">
        <v>35.593333333333298</v>
      </c>
      <c r="T46" s="200"/>
      <c r="U46" s="200">
        <f t="shared" ref="U46:U64" si="19">(R46*R$4)+(S46*S$4)+T46</f>
        <v>1696.456666666666</v>
      </c>
      <c r="V46" s="200">
        <f t="shared" si="16"/>
        <v>28008.714486198391</v>
      </c>
      <c r="W46" s="200">
        <f t="shared" si="9"/>
        <v>28008.714486198391</v>
      </c>
      <c r="X46" s="201">
        <v>0.33800000000000002</v>
      </c>
      <c r="Y46" s="200">
        <f t="shared" si="10"/>
        <v>9466.9454963350563</v>
      </c>
      <c r="Z46" s="200">
        <f t="shared" si="11"/>
        <v>37475.659982533449</v>
      </c>
      <c r="AA46" s="194"/>
    </row>
    <row r="47" spans="1:27">
      <c r="A47" s="187">
        <v>1</v>
      </c>
      <c r="B47" s="54" t="s">
        <v>240</v>
      </c>
      <c r="C47" s="54" t="s">
        <v>35</v>
      </c>
      <c r="D47" s="54"/>
      <c r="E47" s="179">
        <v>38749</v>
      </c>
      <c r="F47" s="198">
        <f>A.1.0_TablaAntigüedad_Sub!K47</f>
        <v>19</v>
      </c>
      <c r="G47" s="54"/>
      <c r="H47" s="199">
        <v>0.6</v>
      </c>
      <c r="I47" s="200">
        <f>'A.0_Tablas salariales SC'!$V$10</f>
        <v>1215.8158047887998</v>
      </c>
      <c r="J47" s="200">
        <f>A.1.0_TablaAntigüedad_Sub!V47</f>
        <v>264.41000000000003</v>
      </c>
      <c r="K47" s="200">
        <f t="shared" si="13"/>
        <v>1480.2258047887999</v>
      </c>
      <c r="L47" s="200">
        <f t="shared" si="14"/>
        <v>1480.2258047887999</v>
      </c>
      <c r="M47" s="200">
        <v>461.42333333333301</v>
      </c>
      <c r="N47" s="200">
        <f t="shared" ref="N47:N64" si="20">I47*0.25*0</f>
        <v>0</v>
      </c>
      <c r="O47" s="200"/>
      <c r="P47" s="200">
        <v>0</v>
      </c>
      <c r="Q47" s="200">
        <f t="shared" si="7"/>
        <v>22664.810405165324</v>
      </c>
      <c r="R47" s="200">
        <v>118.63</v>
      </c>
      <c r="S47" s="200">
        <v>35.593333333333298</v>
      </c>
      <c r="T47" s="200"/>
      <c r="U47" s="200">
        <f t="shared" si="19"/>
        <v>1696.456666666666</v>
      </c>
      <c r="V47" s="200">
        <f t="shared" si="16"/>
        <v>24361.26707183199</v>
      </c>
      <c r="W47" s="200">
        <f t="shared" si="9"/>
        <v>14616.760243099194</v>
      </c>
      <c r="X47" s="201">
        <v>0.33800000000000002</v>
      </c>
      <c r="Y47" s="200">
        <f t="shared" si="10"/>
        <v>4940.464962167528</v>
      </c>
      <c r="Z47" s="200">
        <f t="shared" si="11"/>
        <v>19557.225205266721</v>
      </c>
      <c r="AA47" s="194"/>
    </row>
    <row r="48" spans="1:27">
      <c r="A48" s="187">
        <v>1</v>
      </c>
      <c r="B48" s="54" t="s">
        <v>240</v>
      </c>
      <c r="C48" s="54" t="s">
        <v>35</v>
      </c>
      <c r="D48" s="54"/>
      <c r="E48" s="179">
        <v>38932</v>
      </c>
      <c r="F48" s="198">
        <f>A.1.0_TablaAntigüedad_Sub!K48</f>
        <v>19</v>
      </c>
      <c r="G48" s="54"/>
      <c r="H48" s="199">
        <v>1</v>
      </c>
      <c r="I48" s="200">
        <f>'A.0_Tablas salariales SC'!$V$10</f>
        <v>1215.8158047887998</v>
      </c>
      <c r="J48" s="200">
        <f>A.1.0_TablaAntigüedad_Sub!V48</f>
        <v>264.41000000000003</v>
      </c>
      <c r="K48" s="200">
        <f t="shared" si="13"/>
        <v>1480.2258047887999</v>
      </c>
      <c r="L48" s="200">
        <f t="shared" si="14"/>
        <v>1480.2258047887999</v>
      </c>
      <c r="M48" s="200">
        <v>461.42333333333301</v>
      </c>
      <c r="N48" s="200">
        <f t="shared" si="20"/>
        <v>0</v>
      </c>
      <c r="O48" s="200"/>
      <c r="P48" s="200">
        <v>0</v>
      </c>
      <c r="Q48" s="200">
        <f t="shared" si="7"/>
        <v>22664.810405165324</v>
      </c>
      <c r="R48" s="200">
        <v>118.63</v>
      </c>
      <c r="S48" s="200">
        <v>35.593333333333298</v>
      </c>
      <c r="T48" s="200"/>
      <c r="U48" s="200">
        <f t="shared" si="19"/>
        <v>1696.456666666666</v>
      </c>
      <c r="V48" s="200">
        <f t="shared" si="16"/>
        <v>24361.26707183199</v>
      </c>
      <c r="W48" s="200">
        <f t="shared" si="9"/>
        <v>24361.26707183199</v>
      </c>
      <c r="X48" s="201">
        <v>0.33800000000000002</v>
      </c>
      <c r="Y48" s="200">
        <f t="shared" si="10"/>
        <v>8234.1082702792137</v>
      </c>
      <c r="Z48" s="200">
        <f t="shared" si="11"/>
        <v>32595.375342111205</v>
      </c>
      <c r="AA48" s="194"/>
    </row>
    <row r="49" spans="1:27">
      <c r="A49" s="187">
        <v>1</v>
      </c>
      <c r="B49" s="54" t="s">
        <v>240</v>
      </c>
      <c r="C49" s="54" t="s">
        <v>35</v>
      </c>
      <c r="D49" s="54"/>
      <c r="E49" s="179">
        <v>42036</v>
      </c>
      <c r="F49" s="198">
        <f>A.1.0_TablaAntigüedad_Sub!K49</f>
        <v>10</v>
      </c>
      <c r="G49" s="54"/>
      <c r="H49" s="199">
        <v>1</v>
      </c>
      <c r="I49" s="200">
        <f>'A.0_Tablas salariales SC'!$V$10</f>
        <v>1215.8158047887998</v>
      </c>
      <c r="J49" s="200">
        <f>A.1.0_TablaAntigüedad_Sub!V49</f>
        <v>122.83</v>
      </c>
      <c r="K49" s="200">
        <f t="shared" si="13"/>
        <v>1338.6458047887998</v>
      </c>
      <c r="L49" s="200">
        <f t="shared" si="14"/>
        <v>1338.6458047887998</v>
      </c>
      <c r="M49" s="200">
        <v>461.42333333333301</v>
      </c>
      <c r="N49" s="200">
        <f t="shared" si="20"/>
        <v>0</v>
      </c>
      <c r="O49" s="200"/>
      <c r="P49" s="200">
        <v>0</v>
      </c>
      <c r="Q49" s="200">
        <f t="shared" si="7"/>
        <v>20541.110405165327</v>
      </c>
      <c r="R49" s="200">
        <v>118.63</v>
      </c>
      <c r="S49" s="200">
        <v>35.593333333333298</v>
      </c>
      <c r="T49" s="200"/>
      <c r="U49" s="200">
        <f t="shared" si="19"/>
        <v>1696.456666666666</v>
      </c>
      <c r="V49" s="200">
        <f t="shared" si="16"/>
        <v>22237.567071831993</v>
      </c>
      <c r="W49" s="200">
        <f t="shared" si="9"/>
        <v>22237.567071831993</v>
      </c>
      <c r="X49" s="201">
        <v>0.33800000000000002</v>
      </c>
      <c r="Y49" s="200">
        <f t="shared" si="10"/>
        <v>7516.2976702792139</v>
      </c>
      <c r="Z49" s="200">
        <f t="shared" si="11"/>
        <v>29753.864742111207</v>
      </c>
      <c r="AA49" s="194"/>
    </row>
    <row r="50" spans="1:27">
      <c r="A50" s="187">
        <v>1</v>
      </c>
      <c r="B50" s="54" t="s">
        <v>240</v>
      </c>
      <c r="C50" s="54" t="s">
        <v>35</v>
      </c>
      <c r="D50" s="54"/>
      <c r="E50" s="179">
        <v>38749</v>
      </c>
      <c r="F50" s="198">
        <f>A.1.0_TablaAntigüedad_Sub!K50</f>
        <v>19</v>
      </c>
      <c r="G50" s="54"/>
      <c r="H50" s="199">
        <v>1</v>
      </c>
      <c r="I50" s="200">
        <f>'A.0_Tablas salariales SC'!$V$10</f>
        <v>1215.8158047887998</v>
      </c>
      <c r="J50" s="200">
        <f>A.1.0_TablaAntigüedad_Sub!V50</f>
        <v>264.41000000000003</v>
      </c>
      <c r="K50" s="200">
        <f t="shared" si="13"/>
        <v>1480.2258047887999</v>
      </c>
      <c r="L50" s="200">
        <f t="shared" si="14"/>
        <v>1480.2258047887999</v>
      </c>
      <c r="M50" s="200">
        <v>461.42333333333301</v>
      </c>
      <c r="N50" s="200">
        <f t="shared" si="20"/>
        <v>0</v>
      </c>
      <c r="O50" s="200"/>
      <c r="P50" s="200">
        <v>0</v>
      </c>
      <c r="Q50" s="200">
        <f t="shared" si="7"/>
        <v>22664.810405165324</v>
      </c>
      <c r="R50" s="200">
        <v>118.63</v>
      </c>
      <c r="S50" s="200">
        <v>35.593333333333298</v>
      </c>
      <c r="T50" s="200"/>
      <c r="U50" s="200">
        <f t="shared" si="19"/>
        <v>1696.456666666666</v>
      </c>
      <c r="V50" s="200">
        <f t="shared" si="16"/>
        <v>24361.26707183199</v>
      </c>
      <c r="W50" s="200">
        <f t="shared" si="9"/>
        <v>24361.26707183199</v>
      </c>
      <c r="X50" s="201">
        <v>0.33800000000000002</v>
      </c>
      <c r="Y50" s="200">
        <f t="shared" si="10"/>
        <v>8234.1082702792137</v>
      </c>
      <c r="Z50" s="200">
        <f t="shared" si="11"/>
        <v>32595.375342111205</v>
      </c>
      <c r="AA50" s="194"/>
    </row>
    <row r="51" spans="1:27">
      <c r="A51" s="187">
        <v>1</v>
      </c>
      <c r="B51" s="54" t="s">
        <v>240</v>
      </c>
      <c r="C51" s="54" t="s">
        <v>35</v>
      </c>
      <c r="D51" s="54"/>
      <c r="E51" s="179">
        <v>40250</v>
      </c>
      <c r="F51" s="198">
        <f>A.1.0_TablaAntigüedad_Sub!K51</f>
        <v>15</v>
      </c>
      <c r="G51" s="54"/>
      <c r="H51" s="199">
        <v>1</v>
      </c>
      <c r="I51" s="200">
        <f>'A.0_Tablas salariales SC'!$V$10</f>
        <v>1215.8158047887998</v>
      </c>
      <c r="J51" s="200">
        <f>A.1.0_TablaAntigüedad_Sub!V51</f>
        <v>219.94</v>
      </c>
      <c r="K51" s="200">
        <f t="shared" si="13"/>
        <v>1435.7558047887999</v>
      </c>
      <c r="L51" s="200">
        <f t="shared" si="14"/>
        <v>1435.7558047887999</v>
      </c>
      <c r="M51" s="200">
        <v>461.42333333333301</v>
      </c>
      <c r="N51" s="200">
        <f t="shared" si="20"/>
        <v>0</v>
      </c>
      <c r="O51" s="200"/>
      <c r="P51" s="200">
        <v>0</v>
      </c>
      <c r="Q51" s="200">
        <f t="shared" si="7"/>
        <v>21997.760405165329</v>
      </c>
      <c r="R51" s="200">
        <v>118.63</v>
      </c>
      <c r="S51" s="200">
        <v>35.593333333333298</v>
      </c>
      <c r="T51" s="200"/>
      <c r="U51" s="200">
        <f t="shared" si="19"/>
        <v>1696.456666666666</v>
      </c>
      <c r="V51" s="200">
        <f t="shared" si="16"/>
        <v>23694.217071831994</v>
      </c>
      <c r="W51" s="200">
        <f t="shared" si="9"/>
        <v>23694.217071831994</v>
      </c>
      <c r="X51" s="201">
        <v>0.33800000000000002</v>
      </c>
      <c r="Y51" s="200">
        <f t="shared" si="10"/>
        <v>8008.6453702792141</v>
      </c>
      <c r="Z51" s="200">
        <f t="shared" si="11"/>
        <v>31702.862442111207</v>
      </c>
      <c r="AA51" s="194"/>
    </row>
    <row r="52" spans="1:27">
      <c r="A52" s="187">
        <v>1</v>
      </c>
      <c r="B52" s="54" t="s">
        <v>240</v>
      </c>
      <c r="C52" s="54" t="s">
        <v>35</v>
      </c>
      <c r="D52" s="54"/>
      <c r="E52" s="179">
        <v>39038</v>
      </c>
      <c r="F52" s="198">
        <f>A.1.0_TablaAntigüedad_Sub!K52</f>
        <v>19</v>
      </c>
      <c r="G52" s="54"/>
      <c r="H52" s="199">
        <v>1</v>
      </c>
      <c r="I52" s="200">
        <f>'A.0_Tablas salariales SC'!$V$10</f>
        <v>1215.8158047887998</v>
      </c>
      <c r="J52" s="200">
        <f>A.1.0_TablaAntigüedad_Sub!V52</f>
        <v>264.41000000000003</v>
      </c>
      <c r="K52" s="200">
        <f t="shared" si="13"/>
        <v>1480.2258047887999</v>
      </c>
      <c r="L52" s="200">
        <f t="shared" si="14"/>
        <v>1480.2258047887999</v>
      </c>
      <c r="M52" s="200">
        <v>461.42333333333301</v>
      </c>
      <c r="N52" s="200">
        <f t="shared" si="20"/>
        <v>0</v>
      </c>
      <c r="O52" s="200"/>
      <c r="P52" s="200">
        <v>0</v>
      </c>
      <c r="Q52" s="200">
        <f t="shared" si="7"/>
        <v>22664.810405165324</v>
      </c>
      <c r="R52" s="200">
        <v>118.63</v>
      </c>
      <c r="S52" s="200">
        <v>35.593333333333298</v>
      </c>
      <c r="T52" s="200"/>
      <c r="U52" s="200">
        <f t="shared" si="19"/>
        <v>1696.456666666666</v>
      </c>
      <c r="V52" s="200">
        <f t="shared" si="16"/>
        <v>24361.26707183199</v>
      </c>
      <c r="W52" s="200">
        <f t="shared" si="9"/>
        <v>24361.26707183199</v>
      </c>
      <c r="X52" s="201">
        <v>0.33800000000000002</v>
      </c>
      <c r="Y52" s="200">
        <f t="shared" si="10"/>
        <v>8234.1082702792137</v>
      </c>
      <c r="Z52" s="200">
        <f t="shared" si="11"/>
        <v>32595.375342111205</v>
      </c>
      <c r="AA52" s="194"/>
    </row>
    <row r="53" spans="1:27">
      <c r="A53" s="187">
        <v>1</v>
      </c>
      <c r="B53" s="54" t="s">
        <v>240</v>
      </c>
      <c r="C53" s="54" t="s">
        <v>35</v>
      </c>
      <c r="D53" s="54"/>
      <c r="E53" s="179">
        <v>39663</v>
      </c>
      <c r="F53" s="198">
        <f>A.1.0_TablaAntigüedad_Sub!K53</f>
        <v>17</v>
      </c>
      <c r="G53" s="54"/>
      <c r="H53" s="199">
        <v>1</v>
      </c>
      <c r="I53" s="200">
        <f>'A.0_Tablas salariales SC'!$V$10</f>
        <v>1215.8158047887998</v>
      </c>
      <c r="J53" s="200">
        <f>A.1.0_TablaAntigüedad_Sub!V53</f>
        <v>219.94</v>
      </c>
      <c r="K53" s="200">
        <f t="shared" si="13"/>
        <v>1435.7558047887999</v>
      </c>
      <c r="L53" s="200">
        <f t="shared" si="14"/>
        <v>1435.7558047887999</v>
      </c>
      <c r="M53" s="200">
        <v>461.42333333333301</v>
      </c>
      <c r="N53" s="200">
        <f t="shared" si="20"/>
        <v>0</v>
      </c>
      <c r="O53" s="200"/>
      <c r="P53" s="200">
        <v>0</v>
      </c>
      <c r="Q53" s="200">
        <f t="shared" si="7"/>
        <v>21997.760405165329</v>
      </c>
      <c r="R53" s="200">
        <v>118.63</v>
      </c>
      <c r="S53" s="200">
        <v>35.593333333333298</v>
      </c>
      <c r="T53" s="200"/>
      <c r="U53" s="200">
        <f t="shared" si="19"/>
        <v>1696.456666666666</v>
      </c>
      <c r="V53" s="200">
        <f t="shared" si="16"/>
        <v>23694.217071831994</v>
      </c>
      <c r="W53" s="200">
        <f t="shared" si="9"/>
        <v>23694.217071831994</v>
      </c>
      <c r="X53" s="201">
        <v>0.33800000000000002</v>
      </c>
      <c r="Y53" s="200">
        <f t="shared" si="10"/>
        <v>8008.6453702792141</v>
      </c>
      <c r="Z53" s="200">
        <f t="shared" si="11"/>
        <v>31702.862442111207</v>
      </c>
      <c r="AA53" s="194"/>
    </row>
    <row r="54" spans="1:27">
      <c r="A54" s="187">
        <v>1</v>
      </c>
      <c r="B54" s="54" t="s">
        <v>240</v>
      </c>
      <c r="C54" s="54" t="s">
        <v>35</v>
      </c>
      <c r="D54" s="54"/>
      <c r="E54" s="179">
        <v>39650</v>
      </c>
      <c r="F54" s="198">
        <f>A.1.0_TablaAntigüedad_Sub!K54</f>
        <v>17</v>
      </c>
      <c r="G54" s="54"/>
      <c r="H54" s="199">
        <v>1</v>
      </c>
      <c r="I54" s="200">
        <f>'A.0_Tablas salariales SC'!$V$10</f>
        <v>1215.8158047887998</v>
      </c>
      <c r="J54" s="200">
        <f>A.1.0_TablaAntigüedad_Sub!V54</f>
        <v>219.94</v>
      </c>
      <c r="K54" s="200">
        <f t="shared" si="13"/>
        <v>1435.7558047887999</v>
      </c>
      <c r="L54" s="200">
        <f t="shared" si="14"/>
        <v>1435.7558047887999</v>
      </c>
      <c r="M54" s="200">
        <v>461.42333333333301</v>
      </c>
      <c r="N54" s="200">
        <f t="shared" si="20"/>
        <v>0</v>
      </c>
      <c r="O54" s="200"/>
      <c r="P54" s="200">
        <v>0</v>
      </c>
      <c r="Q54" s="200">
        <f t="shared" si="7"/>
        <v>21997.760405165329</v>
      </c>
      <c r="R54" s="200">
        <v>118.63</v>
      </c>
      <c r="S54" s="200">
        <v>35.593333333333298</v>
      </c>
      <c r="T54" s="200"/>
      <c r="U54" s="200">
        <f t="shared" si="19"/>
        <v>1696.456666666666</v>
      </c>
      <c r="V54" s="200">
        <f t="shared" si="16"/>
        <v>23694.217071831994</v>
      </c>
      <c r="W54" s="200">
        <f t="shared" si="9"/>
        <v>23694.217071831994</v>
      </c>
      <c r="X54" s="201">
        <v>0.33800000000000002</v>
      </c>
      <c r="Y54" s="200">
        <f t="shared" si="10"/>
        <v>8008.6453702792141</v>
      </c>
      <c r="Z54" s="200">
        <f t="shared" si="11"/>
        <v>31702.862442111207</v>
      </c>
      <c r="AA54" s="194"/>
    </row>
    <row r="55" spans="1:27">
      <c r="A55" s="187">
        <v>1</v>
      </c>
      <c r="B55" s="54" t="s">
        <v>240</v>
      </c>
      <c r="C55" s="54" t="s">
        <v>35</v>
      </c>
      <c r="D55" s="54"/>
      <c r="E55" s="179">
        <v>38749</v>
      </c>
      <c r="F55" s="198">
        <f>A.1.0_TablaAntigüedad_Sub!K55</f>
        <v>19</v>
      </c>
      <c r="G55" s="54"/>
      <c r="H55" s="199">
        <v>1</v>
      </c>
      <c r="I55" s="200">
        <f>'A.0_Tablas salariales SC'!$V$10</f>
        <v>1215.8158047887998</v>
      </c>
      <c r="J55" s="200">
        <f>A.1.0_TablaAntigüedad_Sub!V55</f>
        <v>264.41000000000003</v>
      </c>
      <c r="K55" s="200">
        <f t="shared" si="13"/>
        <v>1480.2258047887999</v>
      </c>
      <c r="L55" s="200">
        <f t="shared" si="14"/>
        <v>1480.2258047887999</v>
      </c>
      <c r="M55" s="200">
        <v>461.42333333333301</v>
      </c>
      <c r="N55" s="200">
        <f t="shared" si="20"/>
        <v>0</v>
      </c>
      <c r="O55" s="200"/>
      <c r="P55" s="200">
        <v>0</v>
      </c>
      <c r="Q55" s="200">
        <f t="shared" si="7"/>
        <v>22664.810405165324</v>
      </c>
      <c r="R55" s="200">
        <v>118.63</v>
      </c>
      <c r="S55" s="200">
        <v>35.593333333333298</v>
      </c>
      <c r="T55" s="200"/>
      <c r="U55" s="200">
        <f t="shared" si="19"/>
        <v>1696.456666666666</v>
      </c>
      <c r="V55" s="200">
        <f t="shared" si="16"/>
        <v>24361.26707183199</v>
      </c>
      <c r="W55" s="200">
        <f t="shared" si="9"/>
        <v>24361.26707183199</v>
      </c>
      <c r="X55" s="201">
        <v>0.33800000000000002</v>
      </c>
      <c r="Y55" s="200">
        <f t="shared" si="10"/>
        <v>8234.1082702792137</v>
      </c>
      <c r="Z55" s="200">
        <f t="shared" si="11"/>
        <v>32595.375342111205</v>
      </c>
      <c r="AA55" s="194"/>
    </row>
    <row r="56" spans="1:27">
      <c r="A56" s="187">
        <v>1</v>
      </c>
      <c r="B56" s="54" t="s">
        <v>240</v>
      </c>
      <c r="C56" s="54" t="s">
        <v>35</v>
      </c>
      <c r="D56" s="54"/>
      <c r="E56" s="179">
        <v>38749</v>
      </c>
      <c r="F56" s="198">
        <f>A.1.0_TablaAntigüedad_Sub!K56</f>
        <v>19</v>
      </c>
      <c r="G56" s="54"/>
      <c r="H56" s="199">
        <v>1</v>
      </c>
      <c r="I56" s="200">
        <f>'A.0_Tablas salariales SC'!$V$10</f>
        <v>1215.8158047887998</v>
      </c>
      <c r="J56" s="200">
        <f>A.1.0_TablaAntigüedad_Sub!V56</f>
        <v>264.41000000000003</v>
      </c>
      <c r="K56" s="200">
        <f t="shared" si="13"/>
        <v>1480.2258047887999</v>
      </c>
      <c r="L56" s="200">
        <f t="shared" si="14"/>
        <v>1480.2258047887999</v>
      </c>
      <c r="M56" s="200">
        <v>461.42333333333301</v>
      </c>
      <c r="N56" s="200">
        <f t="shared" si="20"/>
        <v>0</v>
      </c>
      <c r="O56" s="200"/>
      <c r="P56" s="200">
        <v>0</v>
      </c>
      <c r="Q56" s="200">
        <f t="shared" si="7"/>
        <v>22664.810405165324</v>
      </c>
      <c r="R56" s="200">
        <v>118.63</v>
      </c>
      <c r="S56" s="200">
        <v>35.593333333333298</v>
      </c>
      <c r="T56" s="200"/>
      <c r="U56" s="200">
        <f t="shared" si="19"/>
        <v>1696.456666666666</v>
      </c>
      <c r="V56" s="200">
        <f t="shared" si="16"/>
        <v>24361.26707183199</v>
      </c>
      <c r="W56" s="200">
        <f t="shared" si="9"/>
        <v>24361.26707183199</v>
      </c>
      <c r="X56" s="201">
        <v>0.33800000000000002</v>
      </c>
      <c r="Y56" s="200">
        <f t="shared" si="10"/>
        <v>8234.1082702792137</v>
      </c>
      <c r="Z56" s="200">
        <f t="shared" si="11"/>
        <v>32595.375342111205</v>
      </c>
      <c r="AA56" s="194"/>
    </row>
    <row r="57" spans="1:27">
      <c r="A57" s="187">
        <v>1</v>
      </c>
      <c r="B57" s="54" t="s">
        <v>240</v>
      </c>
      <c r="C57" s="54" t="s">
        <v>35</v>
      </c>
      <c r="D57" s="54"/>
      <c r="E57" s="179">
        <v>40196</v>
      </c>
      <c r="F57" s="198">
        <f>A.1.0_TablaAntigüedad_Sub!K57</f>
        <v>15</v>
      </c>
      <c r="G57" s="54"/>
      <c r="H57" s="199">
        <v>0.6</v>
      </c>
      <c r="I57" s="200">
        <f>'A.0_Tablas salariales SC'!$V$10</f>
        <v>1215.8158047887998</v>
      </c>
      <c r="J57" s="200">
        <f>A.1.0_TablaAntigüedad_Sub!V57</f>
        <v>219.94</v>
      </c>
      <c r="K57" s="200">
        <f t="shared" si="13"/>
        <v>1435.7558047887999</v>
      </c>
      <c r="L57" s="200">
        <f t="shared" si="14"/>
        <v>1435.7558047887999</v>
      </c>
      <c r="M57" s="200">
        <v>461.42333333333301</v>
      </c>
      <c r="N57" s="200">
        <f t="shared" si="20"/>
        <v>0</v>
      </c>
      <c r="O57" s="200"/>
      <c r="P57" s="200">
        <v>0</v>
      </c>
      <c r="Q57" s="200">
        <f t="shared" si="7"/>
        <v>21997.760405165329</v>
      </c>
      <c r="R57" s="200">
        <v>118.63</v>
      </c>
      <c r="S57" s="200">
        <v>35.593333333333298</v>
      </c>
      <c r="T57" s="200"/>
      <c r="U57" s="200">
        <f t="shared" si="19"/>
        <v>1696.456666666666</v>
      </c>
      <c r="V57" s="200">
        <f t="shared" si="16"/>
        <v>23694.217071831994</v>
      </c>
      <c r="W57" s="200">
        <f t="shared" si="9"/>
        <v>14216.530243099196</v>
      </c>
      <c r="X57" s="201">
        <v>0.33800000000000002</v>
      </c>
      <c r="Y57" s="200">
        <f t="shared" si="10"/>
        <v>4805.1872221675285</v>
      </c>
      <c r="Z57" s="200">
        <f t="shared" si="11"/>
        <v>19021.717465266724</v>
      </c>
      <c r="AA57" s="194"/>
    </row>
    <row r="58" spans="1:27">
      <c r="A58" s="187">
        <v>1</v>
      </c>
      <c r="B58" s="54" t="s">
        <v>240</v>
      </c>
      <c r="C58" s="54" t="s">
        <v>35</v>
      </c>
      <c r="D58" s="54"/>
      <c r="E58" s="179">
        <v>39539</v>
      </c>
      <c r="F58" s="198">
        <f>A.1.0_TablaAntigüedad_Sub!K58</f>
        <v>17</v>
      </c>
      <c r="G58" s="54"/>
      <c r="H58" s="199">
        <v>1</v>
      </c>
      <c r="I58" s="200">
        <f>'A.0_Tablas salariales SC'!$V$10</f>
        <v>1215.8158047887998</v>
      </c>
      <c r="J58" s="200">
        <f>A.1.0_TablaAntigüedad_Sub!V58</f>
        <v>219.94</v>
      </c>
      <c r="K58" s="200">
        <f t="shared" si="13"/>
        <v>1435.7558047887999</v>
      </c>
      <c r="L58" s="200">
        <f t="shared" si="14"/>
        <v>1435.7558047887999</v>
      </c>
      <c r="M58" s="200">
        <v>461.42333333333301</v>
      </c>
      <c r="N58" s="200">
        <f t="shared" si="20"/>
        <v>0</v>
      </c>
      <c r="O58" s="200"/>
      <c r="P58" s="200">
        <v>0</v>
      </c>
      <c r="Q58" s="200">
        <f t="shared" si="7"/>
        <v>21997.760405165329</v>
      </c>
      <c r="R58" s="200">
        <v>118.63</v>
      </c>
      <c r="S58" s="200">
        <v>35.593333333333298</v>
      </c>
      <c r="T58" s="200"/>
      <c r="U58" s="200">
        <f t="shared" si="19"/>
        <v>1696.456666666666</v>
      </c>
      <c r="V58" s="200">
        <f t="shared" si="16"/>
        <v>23694.217071831994</v>
      </c>
      <c r="W58" s="200">
        <f t="shared" si="9"/>
        <v>23694.217071831994</v>
      </c>
      <c r="X58" s="201">
        <v>0.33800000000000002</v>
      </c>
      <c r="Y58" s="200">
        <f t="shared" si="10"/>
        <v>8008.6453702792141</v>
      </c>
      <c r="Z58" s="200">
        <f t="shared" si="11"/>
        <v>31702.862442111207</v>
      </c>
      <c r="AA58" s="194"/>
    </row>
    <row r="59" spans="1:27">
      <c r="A59" s="187">
        <v>1</v>
      </c>
      <c r="B59" s="54" t="s">
        <v>240</v>
      </c>
      <c r="C59" s="54" t="s">
        <v>35</v>
      </c>
      <c r="D59" s="54"/>
      <c r="E59" s="179">
        <v>38749</v>
      </c>
      <c r="F59" s="198">
        <f>A.1.0_TablaAntigüedad_Sub!K59</f>
        <v>19</v>
      </c>
      <c r="G59" s="54"/>
      <c r="H59" s="199">
        <v>1</v>
      </c>
      <c r="I59" s="200">
        <f>'A.0_Tablas salariales SC'!$V$10</f>
        <v>1215.8158047887998</v>
      </c>
      <c r="J59" s="200">
        <f>A.1.0_TablaAntigüedad_Sub!V59</f>
        <v>264.41000000000003</v>
      </c>
      <c r="K59" s="200">
        <f t="shared" si="13"/>
        <v>1480.2258047887999</v>
      </c>
      <c r="L59" s="200">
        <f t="shared" si="14"/>
        <v>1480.2258047887999</v>
      </c>
      <c r="M59" s="200">
        <v>461.42333333333301</v>
      </c>
      <c r="N59" s="200">
        <f t="shared" si="20"/>
        <v>0</v>
      </c>
      <c r="O59" s="200"/>
      <c r="P59" s="200">
        <v>0</v>
      </c>
      <c r="Q59" s="200">
        <f t="shared" si="7"/>
        <v>22664.810405165324</v>
      </c>
      <c r="R59" s="200">
        <v>118.63</v>
      </c>
      <c r="S59" s="200">
        <v>35.593333333333298</v>
      </c>
      <c r="T59" s="200"/>
      <c r="U59" s="200">
        <f t="shared" si="19"/>
        <v>1696.456666666666</v>
      </c>
      <c r="V59" s="200">
        <f t="shared" si="16"/>
        <v>24361.26707183199</v>
      </c>
      <c r="W59" s="200">
        <f t="shared" si="9"/>
        <v>24361.26707183199</v>
      </c>
      <c r="X59" s="201">
        <v>0.33800000000000002</v>
      </c>
      <c r="Y59" s="200">
        <f t="shared" si="10"/>
        <v>8234.1082702792137</v>
      </c>
      <c r="Z59" s="200">
        <f t="shared" si="11"/>
        <v>32595.375342111205</v>
      </c>
      <c r="AA59" s="194"/>
    </row>
    <row r="60" spans="1:27">
      <c r="A60" s="187">
        <v>1</v>
      </c>
      <c r="B60" s="54" t="s">
        <v>240</v>
      </c>
      <c r="C60" s="54" t="s">
        <v>241</v>
      </c>
      <c r="D60" s="54"/>
      <c r="E60" s="179">
        <v>38749</v>
      </c>
      <c r="F60" s="198">
        <f>A.1.0_TablaAntigüedad_Sub!K60</f>
        <v>19</v>
      </c>
      <c r="G60" s="54"/>
      <c r="H60" s="199">
        <v>1</v>
      </c>
      <c r="I60" s="200">
        <f>'A.0_Tablas salariales SC'!$V$10</f>
        <v>1215.8158047887998</v>
      </c>
      <c r="J60" s="200">
        <f>A.1.0_TablaAntigüedad_Sub!V60</f>
        <v>264.41000000000003</v>
      </c>
      <c r="K60" s="200">
        <f t="shared" si="13"/>
        <v>1480.2258047887999</v>
      </c>
      <c r="L60" s="200">
        <f t="shared" si="14"/>
        <v>1480.2258047887999</v>
      </c>
      <c r="M60" s="200">
        <v>461.42333333333301</v>
      </c>
      <c r="N60" s="200">
        <f t="shared" si="20"/>
        <v>0</v>
      </c>
      <c r="O60" s="200"/>
      <c r="P60" s="200">
        <v>0</v>
      </c>
      <c r="Q60" s="200">
        <f t="shared" si="7"/>
        <v>22664.810405165324</v>
      </c>
      <c r="R60" s="200">
        <v>118.63</v>
      </c>
      <c r="S60" s="200">
        <v>35.593333333333298</v>
      </c>
      <c r="T60" s="200"/>
      <c r="U60" s="200">
        <f t="shared" si="19"/>
        <v>1696.456666666666</v>
      </c>
      <c r="V60" s="200">
        <f t="shared" si="16"/>
        <v>24361.26707183199</v>
      </c>
      <c r="W60" s="200">
        <f t="shared" si="9"/>
        <v>24361.26707183199</v>
      </c>
      <c r="X60" s="201">
        <v>0.33800000000000002</v>
      </c>
      <c r="Y60" s="200">
        <f t="shared" si="10"/>
        <v>8234.1082702792137</v>
      </c>
      <c r="Z60" s="200">
        <f t="shared" si="11"/>
        <v>32595.375342111205</v>
      </c>
      <c r="AA60" s="194"/>
    </row>
    <row r="61" spans="1:27">
      <c r="A61" s="187">
        <v>1</v>
      </c>
      <c r="B61" s="54" t="s">
        <v>240</v>
      </c>
      <c r="C61" s="54" t="s">
        <v>35</v>
      </c>
      <c r="D61" s="54"/>
      <c r="E61" s="179">
        <v>35827</v>
      </c>
      <c r="F61" s="198">
        <f>A.1.0_TablaAntigüedad_Sub!K61</f>
        <v>27</v>
      </c>
      <c r="G61" s="54"/>
      <c r="H61" s="199">
        <v>0.33</v>
      </c>
      <c r="I61" s="200">
        <f>'A.0_Tablas salariales SC'!$V$10</f>
        <v>1215.8158047887998</v>
      </c>
      <c r="J61" s="200">
        <f>A.1.0_TablaAntigüedad_Sub!V61</f>
        <v>421.15</v>
      </c>
      <c r="K61" s="200">
        <f t="shared" si="13"/>
        <v>1636.9658047887997</v>
      </c>
      <c r="L61" s="200">
        <f t="shared" si="14"/>
        <v>1636.9658047887997</v>
      </c>
      <c r="M61" s="200">
        <v>461.42333333333301</v>
      </c>
      <c r="N61" s="200">
        <f t="shared" si="20"/>
        <v>0</v>
      </c>
      <c r="O61" s="200"/>
      <c r="P61" s="200">
        <v>0</v>
      </c>
      <c r="Q61" s="200">
        <f t="shared" si="7"/>
        <v>25015.910405165327</v>
      </c>
      <c r="R61" s="200">
        <v>118.63</v>
      </c>
      <c r="S61" s="200">
        <v>35.593333333333298</v>
      </c>
      <c r="T61" s="200"/>
      <c r="U61" s="200">
        <f t="shared" si="19"/>
        <v>1696.456666666666</v>
      </c>
      <c r="V61" s="200">
        <f t="shared" si="16"/>
        <v>26712.367071831992</v>
      </c>
      <c r="W61" s="200">
        <f t="shared" si="9"/>
        <v>8815.0811337045579</v>
      </c>
      <c r="X61" s="201">
        <v>0.33800000000000002</v>
      </c>
      <c r="Y61" s="200">
        <f t="shared" si="10"/>
        <v>2979.4974231921406</v>
      </c>
      <c r="Z61" s="200">
        <f t="shared" si="11"/>
        <v>11794.578556896699</v>
      </c>
      <c r="AA61" s="194"/>
    </row>
    <row r="62" spans="1:27">
      <c r="A62" s="187">
        <v>1</v>
      </c>
      <c r="B62" s="54" t="s">
        <v>240</v>
      </c>
      <c r="C62" s="54" t="s">
        <v>35</v>
      </c>
      <c r="D62" s="54"/>
      <c r="E62" s="179">
        <v>38749</v>
      </c>
      <c r="F62" s="198">
        <f>A.1.0_TablaAntigüedad_Sub!K62</f>
        <v>19</v>
      </c>
      <c r="G62" s="54"/>
      <c r="H62" s="199">
        <v>1</v>
      </c>
      <c r="I62" s="200">
        <f>'A.0_Tablas salariales SC'!$V$10</f>
        <v>1215.8158047887998</v>
      </c>
      <c r="J62" s="200">
        <f>A.1.0_TablaAntigüedad_Sub!V62</f>
        <v>264.41000000000003</v>
      </c>
      <c r="K62" s="200">
        <f t="shared" si="13"/>
        <v>1480.2258047887999</v>
      </c>
      <c r="L62" s="200">
        <f t="shared" si="14"/>
        <v>1480.2258047887999</v>
      </c>
      <c r="M62" s="200">
        <v>461.42333333333301</v>
      </c>
      <c r="N62" s="200">
        <f t="shared" si="20"/>
        <v>0</v>
      </c>
      <c r="O62" s="200"/>
      <c r="P62" s="200">
        <v>0</v>
      </c>
      <c r="Q62" s="200">
        <f t="shared" si="7"/>
        <v>22664.810405165324</v>
      </c>
      <c r="R62" s="200">
        <v>118.63</v>
      </c>
      <c r="S62" s="200">
        <v>35.593333333333298</v>
      </c>
      <c r="T62" s="200"/>
      <c r="U62" s="200">
        <f t="shared" si="19"/>
        <v>1696.456666666666</v>
      </c>
      <c r="V62" s="200">
        <f t="shared" si="16"/>
        <v>24361.26707183199</v>
      </c>
      <c r="W62" s="200">
        <f t="shared" si="9"/>
        <v>24361.26707183199</v>
      </c>
      <c r="X62" s="201">
        <v>0.33800000000000002</v>
      </c>
      <c r="Y62" s="200">
        <f t="shared" si="10"/>
        <v>8234.1082702792137</v>
      </c>
      <c r="Z62" s="200">
        <f t="shared" si="11"/>
        <v>32595.375342111205</v>
      </c>
      <c r="AA62" s="194"/>
    </row>
    <row r="63" spans="1:27">
      <c r="A63" s="187">
        <v>1</v>
      </c>
      <c r="B63" s="54" t="s">
        <v>240</v>
      </c>
      <c r="C63" s="54" t="s">
        <v>241</v>
      </c>
      <c r="D63" s="54"/>
      <c r="E63" s="179">
        <v>38932</v>
      </c>
      <c r="F63" s="198">
        <f>A.1.0_TablaAntigüedad_Sub!K63</f>
        <v>19</v>
      </c>
      <c r="G63" s="54"/>
      <c r="H63" s="199">
        <v>1</v>
      </c>
      <c r="I63" s="200">
        <f>'A.0_Tablas salariales SC'!$V$10</f>
        <v>1215.8158047887998</v>
      </c>
      <c r="J63" s="200">
        <f>A.1.0_TablaAntigüedad_Sub!V63</f>
        <v>264.41000000000003</v>
      </c>
      <c r="K63" s="200">
        <f t="shared" si="13"/>
        <v>1480.2258047887999</v>
      </c>
      <c r="L63" s="200">
        <f t="shared" si="14"/>
        <v>1480.2258047887999</v>
      </c>
      <c r="M63" s="200">
        <v>461.42333333333301</v>
      </c>
      <c r="N63" s="200">
        <f t="shared" ref="N63" si="21">I63*0.25*0</f>
        <v>0</v>
      </c>
      <c r="O63" s="200"/>
      <c r="P63" s="200">
        <v>0</v>
      </c>
      <c r="Q63" s="200">
        <f t="shared" si="7"/>
        <v>22664.810405165324</v>
      </c>
      <c r="R63" s="200">
        <v>118.63</v>
      </c>
      <c r="S63" s="200">
        <v>35.593333333333298</v>
      </c>
      <c r="T63" s="200"/>
      <c r="U63" s="200">
        <f t="shared" si="19"/>
        <v>1696.456666666666</v>
      </c>
      <c r="V63" s="200">
        <f t="shared" si="16"/>
        <v>24361.26707183199</v>
      </c>
      <c r="W63" s="200">
        <f t="shared" si="9"/>
        <v>24361.26707183199</v>
      </c>
      <c r="X63" s="201">
        <v>0.33800000000000002</v>
      </c>
      <c r="Y63" s="200">
        <f t="shared" si="10"/>
        <v>8234.1082702792137</v>
      </c>
      <c r="Z63" s="200">
        <f t="shared" si="11"/>
        <v>32595.375342111205</v>
      </c>
      <c r="AA63" s="194"/>
    </row>
    <row r="64" spans="1:27">
      <c r="A64" s="187">
        <v>1</v>
      </c>
      <c r="B64" s="54" t="s">
        <v>240</v>
      </c>
      <c r="C64" s="54" t="s">
        <v>241</v>
      </c>
      <c r="D64" s="54"/>
      <c r="E64" s="179">
        <v>38932</v>
      </c>
      <c r="F64" s="198">
        <f>A.1.0_TablaAntigüedad_Sub!K64</f>
        <v>19</v>
      </c>
      <c r="G64" s="54"/>
      <c r="H64" s="199">
        <v>1</v>
      </c>
      <c r="I64" s="200">
        <f>'A.0_Tablas salariales SC'!$V$10</f>
        <v>1215.8158047887998</v>
      </c>
      <c r="J64" s="200">
        <f>A.1.0_TablaAntigüedad_Sub!V64</f>
        <v>264.41000000000003</v>
      </c>
      <c r="K64" s="200">
        <f t="shared" ref="K64" si="22">I64+J64</f>
        <v>1480.2258047887999</v>
      </c>
      <c r="L64" s="200">
        <f t="shared" ref="L64" si="23">I64+J64</f>
        <v>1480.2258047887999</v>
      </c>
      <c r="M64" s="200">
        <v>461.42333333333301</v>
      </c>
      <c r="N64" s="200">
        <f t="shared" si="20"/>
        <v>0</v>
      </c>
      <c r="O64" s="200"/>
      <c r="P64" s="200">
        <v>0</v>
      </c>
      <c r="Q64" s="200">
        <f t="shared" si="7"/>
        <v>22664.810405165324</v>
      </c>
      <c r="R64" s="200">
        <v>118.63</v>
      </c>
      <c r="S64" s="200">
        <v>35.593333333333298</v>
      </c>
      <c r="T64" s="200"/>
      <c r="U64" s="200">
        <f t="shared" si="19"/>
        <v>1696.456666666666</v>
      </c>
      <c r="V64" s="200">
        <f t="shared" ref="V64" si="24">+Q64+U64</f>
        <v>24361.26707183199</v>
      </c>
      <c r="W64" s="200">
        <f t="shared" si="9"/>
        <v>24361.26707183199</v>
      </c>
      <c r="X64" s="201">
        <v>0.33800000000000002</v>
      </c>
      <c r="Y64" s="200">
        <f t="shared" si="10"/>
        <v>8234.1082702792137</v>
      </c>
      <c r="Z64" s="200">
        <f t="shared" si="11"/>
        <v>32595.375342111205</v>
      </c>
      <c r="AA64" s="194"/>
    </row>
    <row r="65" spans="1:27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92"/>
      <c r="O65" s="182"/>
      <c r="P65" s="182"/>
      <c r="Q65" s="191"/>
      <c r="R65" s="182"/>
      <c r="S65" s="182"/>
      <c r="T65" s="182"/>
      <c r="U65" s="191"/>
      <c r="V65" s="191"/>
      <c r="W65" s="191"/>
      <c r="X65" s="195"/>
      <c r="Y65" s="191"/>
      <c r="Z65" s="191"/>
      <c r="AA65" s="196">
        <f>+(SUM(Z9:Z64))</f>
        <v>1678509.3720827824</v>
      </c>
    </row>
    <row r="66" spans="1:27">
      <c r="A66" s="187">
        <v>1</v>
      </c>
      <c r="B66" s="54" t="s">
        <v>242</v>
      </c>
      <c r="C66" s="54" t="s">
        <v>35</v>
      </c>
      <c r="D66" s="54"/>
      <c r="E66" s="179">
        <v>42174</v>
      </c>
      <c r="F66" s="198">
        <f>A.1.0_TablaAntigüedad_Sub!K66</f>
        <v>10</v>
      </c>
      <c r="G66" s="54"/>
      <c r="H66" s="199">
        <v>1</v>
      </c>
      <c r="I66" s="200">
        <f>'A.0_Tablas salariales SC'!$V$13</f>
        <v>1267.3209439036666</v>
      </c>
      <c r="J66" s="200">
        <f>A.1.0_TablaAntigüedad_Sub!V66</f>
        <v>122.83</v>
      </c>
      <c r="K66" s="200">
        <f t="shared" ref="K66:K67" si="25">I66+J66</f>
        <v>1390.1509439036665</v>
      </c>
      <c r="L66" s="200">
        <f t="shared" ref="L66:L67" si="26">I66+J66</f>
        <v>1390.1509439036665</v>
      </c>
      <c r="M66" s="200">
        <v>461.42333333333301</v>
      </c>
      <c r="N66" s="200">
        <f t="shared" ref="N66:N67" si="27">I66*0.25*0</f>
        <v>0</v>
      </c>
      <c r="O66" s="200"/>
      <c r="P66" s="200">
        <v>0</v>
      </c>
      <c r="Q66" s="200">
        <f t="shared" ref="Q66:Q69" si="28">IF(A66&gt;0,((I66*I$4)+(J66*J$4)+(K66*K$4)+(P66*P$4)+(L66*L$4)+(M66*M$4)+(N66*N$4)+(O66*O$4)),0)</f>
        <v>21313.687491888333</v>
      </c>
      <c r="R66" s="200">
        <v>118.63</v>
      </c>
      <c r="S66" s="200">
        <v>35.593333333333298</v>
      </c>
      <c r="T66" s="200"/>
      <c r="U66" s="200">
        <f t="shared" ref="U66:U67" si="29">(R66*R$4)+(S66*S$4)+T66</f>
        <v>1696.456666666666</v>
      </c>
      <c r="V66" s="200">
        <f>+Q66+U66</f>
        <v>23010.144158554998</v>
      </c>
      <c r="W66" s="200">
        <f t="shared" ref="W66:W69" si="30">V66*H66*A66</f>
        <v>23010.144158554998</v>
      </c>
      <c r="X66" s="201">
        <v>0.33800000000000002</v>
      </c>
      <c r="Y66" s="200">
        <f t="shared" si="10"/>
        <v>7777.4287255915897</v>
      </c>
      <c r="Z66" s="200">
        <f t="shared" ref="Z66:Z69" si="31">W66+Y66</f>
        <v>30787.57288414659</v>
      </c>
      <c r="AA66" s="194"/>
    </row>
    <row r="67" spans="1:27">
      <c r="A67" s="187">
        <v>1</v>
      </c>
      <c r="B67" s="54" t="s">
        <v>242</v>
      </c>
      <c r="C67" s="54" t="s">
        <v>241</v>
      </c>
      <c r="D67" s="54"/>
      <c r="E67" s="179">
        <v>42174</v>
      </c>
      <c r="F67" s="198">
        <f>A.1.0_TablaAntigüedad_Sub!K67</f>
        <v>10</v>
      </c>
      <c r="G67" s="54"/>
      <c r="H67" s="199">
        <v>1</v>
      </c>
      <c r="I67" s="200">
        <f>'A.0_Tablas salariales SC'!$V$13</f>
        <v>1267.3209439036666</v>
      </c>
      <c r="J67" s="200">
        <f>A.1.0_TablaAntigüedad_Sub!V67</f>
        <v>122.83</v>
      </c>
      <c r="K67" s="200">
        <f t="shared" si="25"/>
        <v>1390.1509439036665</v>
      </c>
      <c r="L67" s="200">
        <f t="shared" si="26"/>
        <v>1390.1509439036665</v>
      </c>
      <c r="M67" s="200">
        <v>461.42333333333301</v>
      </c>
      <c r="N67" s="200">
        <f t="shared" si="27"/>
        <v>0</v>
      </c>
      <c r="O67" s="200"/>
      <c r="P67" s="200">
        <v>0</v>
      </c>
      <c r="Q67" s="200">
        <f t="shared" si="28"/>
        <v>21313.687491888333</v>
      </c>
      <c r="R67" s="200">
        <v>118.63</v>
      </c>
      <c r="S67" s="200">
        <v>35.593333333333298</v>
      </c>
      <c r="T67" s="200"/>
      <c r="U67" s="200">
        <f t="shared" si="29"/>
        <v>1696.456666666666</v>
      </c>
      <c r="V67" s="200">
        <f>+Q67+U67</f>
        <v>23010.144158554998</v>
      </c>
      <c r="W67" s="200">
        <f t="shared" si="30"/>
        <v>23010.144158554998</v>
      </c>
      <c r="X67" s="201">
        <v>0.33800000000000002</v>
      </c>
      <c r="Y67" s="200">
        <f t="shared" si="10"/>
        <v>7777.4287255915897</v>
      </c>
      <c r="Z67" s="200">
        <f t="shared" si="31"/>
        <v>30787.57288414659</v>
      </c>
      <c r="AA67" s="194"/>
    </row>
    <row r="68" spans="1:27">
      <c r="A68" s="187">
        <v>1</v>
      </c>
      <c r="B68" s="54" t="s">
        <v>242</v>
      </c>
      <c r="C68" s="54" t="s">
        <v>241</v>
      </c>
      <c r="D68" s="54"/>
      <c r="E68" s="179">
        <v>43270</v>
      </c>
      <c r="F68" s="198">
        <f>A.1.0_TablaAntigüedad_Sub!K68</f>
        <v>7</v>
      </c>
      <c r="G68" s="54"/>
      <c r="H68" s="199">
        <v>1</v>
      </c>
      <c r="I68" s="200">
        <f>'A.0_Tablas salariales SC'!$V$13</f>
        <v>1267.3209439036666</v>
      </c>
      <c r="J68" s="200">
        <f>A.1.0_TablaAntigüedad_Sub!V68</f>
        <v>122.83</v>
      </c>
      <c r="K68" s="200">
        <f t="shared" ref="K68:K69" si="32">I68+J68</f>
        <v>1390.1509439036665</v>
      </c>
      <c r="L68" s="200">
        <f t="shared" ref="L68:L69" si="33">I68+J68</f>
        <v>1390.1509439036665</v>
      </c>
      <c r="M68" s="200">
        <v>461.42333333333301</v>
      </c>
      <c r="N68" s="200">
        <f t="shared" ref="N68:N69" si="34">I68*0.25*0</f>
        <v>0</v>
      </c>
      <c r="O68" s="200"/>
      <c r="P68" s="200">
        <v>0</v>
      </c>
      <c r="Q68" s="200">
        <f t="shared" si="28"/>
        <v>21313.687491888333</v>
      </c>
      <c r="R68" s="200">
        <v>118.63</v>
      </c>
      <c r="S68" s="200">
        <v>35.593333333333298</v>
      </c>
      <c r="T68" s="200"/>
      <c r="U68" s="200">
        <f t="shared" ref="U68:U69" si="35">(R68*R$4)+(S68*S$4)+T68</f>
        <v>1696.456666666666</v>
      </c>
      <c r="V68" s="200">
        <f>+Q68+U68</f>
        <v>23010.144158554998</v>
      </c>
      <c r="W68" s="200">
        <f t="shared" si="30"/>
        <v>23010.144158554998</v>
      </c>
      <c r="X68" s="201">
        <v>0.33800000000000002</v>
      </c>
      <c r="Y68" s="200">
        <f t="shared" si="10"/>
        <v>7777.4287255915897</v>
      </c>
      <c r="Z68" s="200">
        <f t="shared" si="31"/>
        <v>30787.57288414659</v>
      </c>
      <c r="AA68" s="194"/>
    </row>
    <row r="69" spans="1:27">
      <c r="A69" s="187">
        <v>0</v>
      </c>
      <c r="B69" s="54" t="s">
        <v>242</v>
      </c>
      <c r="C69" s="54" t="s">
        <v>241</v>
      </c>
      <c r="D69" s="54"/>
      <c r="E69" s="179">
        <v>40348</v>
      </c>
      <c r="F69" s="198">
        <f>A.1.0_TablaAntigüedad_Sub!K69</f>
        <v>15</v>
      </c>
      <c r="G69" s="54"/>
      <c r="H69" s="199">
        <v>1</v>
      </c>
      <c r="I69" s="200">
        <f>'A.0_Tablas salariales SC'!$V$13</f>
        <v>1267.3209439036666</v>
      </c>
      <c r="J69" s="200">
        <f>A.1.0_TablaAntigüedad_Sub!V69</f>
        <v>0</v>
      </c>
      <c r="K69" s="200">
        <f t="shared" si="32"/>
        <v>1267.3209439036666</v>
      </c>
      <c r="L69" s="200">
        <f t="shared" si="33"/>
        <v>1267.3209439036666</v>
      </c>
      <c r="M69" s="200">
        <v>461.42333333333301</v>
      </c>
      <c r="N69" s="200">
        <f t="shared" si="34"/>
        <v>0</v>
      </c>
      <c r="O69" s="200"/>
      <c r="P69" s="200">
        <v>0</v>
      </c>
      <c r="Q69" s="200">
        <f t="shared" si="28"/>
        <v>0</v>
      </c>
      <c r="R69" s="200">
        <v>118.63</v>
      </c>
      <c r="S69" s="200">
        <v>35.593333333333298</v>
      </c>
      <c r="T69" s="200"/>
      <c r="U69" s="200">
        <f t="shared" si="35"/>
        <v>1696.456666666666</v>
      </c>
      <c r="V69" s="200">
        <f>+Q69+U69</f>
        <v>1696.456666666666</v>
      </c>
      <c r="W69" s="200">
        <f t="shared" si="30"/>
        <v>0</v>
      </c>
      <c r="X69" s="201">
        <v>0.33800000000000002</v>
      </c>
      <c r="Y69" s="200">
        <f t="shared" si="10"/>
        <v>0</v>
      </c>
      <c r="Z69" s="200">
        <f t="shared" si="31"/>
        <v>0</v>
      </c>
      <c r="AA69" s="194"/>
    </row>
    <row r="70" spans="1:27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92"/>
      <c r="O70" s="182"/>
      <c r="P70" s="182"/>
      <c r="Q70" s="191"/>
      <c r="R70" s="182"/>
      <c r="S70" s="182"/>
      <c r="T70" s="182"/>
      <c r="U70" s="191"/>
      <c r="V70" s="191"/>
      <c r="W70" s="191"/>
      <c r="X70" s="195"/>
      <c r="Y70" s="191"/>
      <c r="Z70" s="191"/>
      <c r="AA70" s="196">
        <f>+(SUM(Z66:Z69))</f>
        <v>92362.718652439769</v>
      </c>
    </row>
    <row r="71" spans="1:27">
      <c r="A71" s="187">
        <v>1</v>
      </c>
      <c r="B71" s="54" t="s">
        <v>243</v>
      </c>
      <c r="C71" s="54" t="s">
        <v>35</v>
      </c>
      <c r="D71" s="54"/>
      <c r="E71" s="179">
        <v>38749</v>
      </c>
      <c r="F71" s="198">
        <f>A.1.0_TablaAntigüedad_Sub!K71</f>
        <v>19</v>
      </c>
      <c r="G71" s="54"/>
      <c r="H71" s="199">
        <v>1</v>
      </c>
      <c r="I71" s="200">
        <f>'A.0_Tablas salariales SC'!$V$14</f>
        <v>1333.3865643132001</v>
      </c>
      <c r="J71" s="200">
        <f>A.1.0_TablaAntigüedad_Sub!V71</f>
        <v>264.41000000000003</v>
      </c>
      <c r="K71" s="200">
        <f t="shared" ref="K71:K84" si="36">I71+J71</f>
        <v>1597.7965643132002</v>
      </c>
      <c r="L71" s="200">
        <f t="shared" ref="L71:L84" si="37">I71+J71</f>
        <v>1597.7965643132002</v>
      </c>
      <c r="M71" s="200">
        <v>461.42333333333301</v>
      </c>
      <c r="N71" s="200">
        <f t="shared" ref="N71:N84" si="38">I71*0.25*0</f>
        <v>0</v>
      </c>
      <c r="O71" s="200"/>
      <c r="P71" s="200">
        <v>0</v>
      </c>
      <c r="Q71" s="200">
        <f t="shared" ref="Q71:Q84" si="39">IF(A71&gt;0,((I71*I$4)+(J71*J$4)+(K71*K$4)+(P71*P$4)+(L71*L$4)+(M71*M$4)+(N71*N$4)+(O71*O$4)),0)</f>
        <v>24428.371798031334</v>
      </c>
      <c r="R71" s="200">
        <v>118.63</v>
      </c>
      <c r="S71" s="200">
        <v>35.593333333333298</v>
      </c>
      <c r="T71" s="200"/>
      <c r="U71" s="200">
        <f t="shared" ref="U71:U84" si="40">(R71*R$4)+(S71*S$4)+T71</f>
        <v>1696.456666666666</v>
      </c>
      <c r="V71" s="200">
        <f t="shared" ref="V71:V84" si="41">+Q71+U71</f>
        <v>26124.828464697999</v>
      </c>
      <c r="W71" s="200">
        <f t="shared" ref="W71:W84" si="42">V71*H71*A71</f>
        <v>26124.828464697999</v>
      </c>
      <c r="X71" s="201">
        <v>0.33800000000000002</v>
      </c>
      <c r="Y71" s="200">
        <f t="shared" si="10"/>
        <v>8830.1920210679236</v>
      </c>
      <c r="Z71" s="200">
        <f t="shared" ref="Z71:Z84" si="43">W71+Y71</f>
        <v>34955.020485765926</v>
      </c>
      <c r="AA71" s="194"/>
    </row>
    <row r="72" spans="1:27">
      <c r="A72" s="187">
        <v>1</v>
      </c>
      <c r="B72" s="54" t="s">
        <v>243</v>
      </c>
      <c r="C72" s="54" t="s">
        <v>35</v>
      </c>
      <c r="D72" s="54"/>
      <c r="E72" s="179">
        <v>38932</v>
      </c>
      <c r="F72" s="198">
        <f>A.1.0_TablaAntigüedad_Sub!K72</f>
        <v>19</v>
      </c>
      <c r="G72" s="54"/>
      <c r="H72" s="199">
        <v>1</v>
      </c>
      <c r="I72" s="200">
        <f>'A.0_Tablas salariales SC'!$V$14</f>
        <v>1333.3865643132001</v>
      </c>
      <c r="J72" s="200">
        <f>A.1.0_TablaAntigüedad_Sub!V72</f>
        <v>264.41000000000003</v>
      </c>
      <c r="K72" s="200">
        <f t="shared" si="36"/>
        <v>1597.7965643132002</v>
      </c>
      <c r="L72" s="200">
        <f t="shared" si="37"/>
        <v>1597.7965643132002</v>
      </c>
      <c r="M72" s="200">
        <v>461.42333333333301</v>
      </c>
      <c r="N72" s="200">
        <f t="shared" si="38"/>
        <v>0</v>
      </c>
      <c r="O72" s="200"/>
      <c r="P72" s="200">
        <v>0</v>
      </c>
      <c r="Q72" s="200">
        <f t="shared" si="39"/>
        <v>24428.371798031334</v>
      </c>
      <c r="R72" s="200">
        <v>118.63</v>
      </c>
      <c r="S72" s="200">
        <v>35.593333333333298</v>
      </c>
      <c r="T72" s="200"/>
      <c r="U72" s="200">
        <f t="shared" si="40"/>
        <v>1696.456666666666</v>
      </c>
      <c r="V72" s="200">
        <f t="shared" si="41"/>
        <v>26124.828464697999</v>
      </c>
      <c r="W72" s="200">
        <f t="shared" si="42"/>
        <v>26124.828464697999</v>
      </c>
      <c r="X72" s="201">
        <v>0.33800000000000002</v>
      </c>
      <c r="Y72" s="200">
        <f t="shared" si="10"/>
        <v>8830.1920210679236</v>
      </c>
      <c r="Z72" s="200">
        <f t="shared" si="43"/>
        <v>34955.020485765926</v>
      </c>
      <c r="AA72" s="194"/>
    </row>
    <row r="73" spans="1:27">
      <c r="A73" s="187">
        <v>1</v>
      </c>
      <c r="B73" s="54" t="s">
        <v>243</v>
      </c>
      <c r="C73" s="54" t="s">
        <v>35</v>
      </c>
      <c r="D73" s="54"/>
      <c r="E73" s="179">
        <v>38932</v>
      </c>
      <c r="F73" s="198">
        <f>A.1.0_TablaAntigüedad_Sub!K73</f>
        <v>19</v>
      </c>
      <c r="G73" s="54"/>
      <c r="H73" s="199">
        <v>1</v>
      </c>
      <c r="I73" s="200">
        <f>'A.0_Tablas salariales SC'!$V$14</f>
        <v>1333.3865643132001</v>
      </c>
      <c r="J73" s="200">
        <f>A.1.0_TablaAntigüedad_Sub!V73</f>
        <v>264.41000000000003</v>
      </c>
      <c r="K73" s="200">
        <f t="shared" si="36"/>
        <v>1597.7965643132002</v>
      </c>
      <c r="L73" s="200">
        <f t="shared" si="37"/>
        <v>1597.7965643132002</v>
      </c>
      <c r="M73" s="200">
        <v>461.42333333333301</v>
      </c>
      <c r="N73" s="200">
        <f>I73*0.25*1</f>
        <v>333.34664107830002</v>
      </c>
      <c r="O73" s="200"/>
      <c r="P73" s="200">
        <v>0</v>
      </c>
      <c r="Q73" s="200">
        <f t="shared" si="39"/>
        <v>28428.531490970934</v>
      </c>
      <c r="R73" s="200">
        <v>118.63</v>
      </c>
      <c r="S73" s="200">
        <v>35.593333333333298</v>
      </c>
      <c r="T73" s="200"/>
      <c r="U73" s="200">
        <f t="shared" si="40"/>
        <v>1696.456666666666</v>
      </c>
      <c r="V73" s="200">
        <f t="shared" si="41"/>
        <v>30124.988157637599</v>
      </c>
      <c r="W73" s="200">
        <f t="shared" si="42"/>
        <v>30124.988157637599</v>
      </c>
      <c r="X73" s="201">
        <v>0.33800000000000002</v>
      </c>
      <c r="Y73" s="200">
        <f t="shared" ref="Y73:Y93" si="44">V73*A73*H73*X73</f>
        <v>10182.245997281509</v>
      </c>
      <c r="Z73" s="200">
        <f t="shared" si="43"/>
        <v>40307.234154919104</v>
      </c>
      <c r="AA73" s="194"/>
    </row>
    <row r="74" spans="1:27">
      <c r="A74" s="187">
        <v>1</v>
      </c>
      <c r="B74" s="54" t="s">
        <v>243</v>
      </c>
      <c r="C74" s="54" t="s">
        <v>35</v>
      </c>
      <c r="D74" s="54"/>
      <c r="E74" s="179">
        <v>38838</v>
      </c>
      <c r="F74" s="198">
        <f>A.1.0_TablaAntigüedad_Sub!K74</f>
        <v>19</v>
      </c>
      <c r="G74" s="54"/>
      <c r="H74" s="199">
        <v>0.6</v>
      </c>
      <c r="I74" s="200">
        <f>'A.0_Tablas salariales SC'!$V$14</f>
        <v>1333.3865643132001</v>
      </c>
      <c r="J74" s="200">
        <f>A.1.0_TablaAntigüedad_Sub!V74</f>
        <v>264.41000000000003</v>
      </c>
      <c r="K74" s="200">
        <f t="shared" si="36"/>
        <v>1597.7965643132002</v>
      </c>
      <c r="L74" s="200">
        <f t="shared" si="37"/>
        <v>1597.7965643132002</v>
      </c>
      <c r="M74" s="200">
        <v>461.42333333333301</v>
      </c>
      <c r="N74" s="200">
        <f t="shared" si="38"/>
        <v>0</v>
      </c>
      <c r="O74" s="200"/>
      <c r="P74" s="200">
        <v>0</v>
      </c>
      <c r="Q74" s="200">
        <f t="shared" si="39"/>
        <v>24428.371798031334</v>
      </c>
      <c r="R74" s="200">
        <v>118.63</v>
      </c>
      <c r="S74" s="200">
        <v>35.593333333333298</v>
      </c>
      <c r="T74" s="200"/>
      <c r="U74" s="200">
        <f t="shared" si="40"/>
        <v>1696.456666666666</v>
      </c>
      <c r="V74" s="200">
        <f t="shared" si="41"/>
        <v>26124.828464697999</v>
      </c>
      <c r="W74" s="200">
        <f t="shared" si="42"/>
        <v>15674.897078818798</v>
      </c>
      <c r="X74" s="201">
        <v>0.33800000000000002</v>
      </c>
      <c r="Y74" s="200">
        <f t="shared" si="44"/>
        <v>5298.1152126407542</v>
      </c>
      <c r="Z74" s="200">
        <f t="shared" si="43"/>
        <v>20973.012291459552</v>
      </c>
      <c r="AA74" s="194"/>
    </row>
    <row r="75" spans="1:27">
      <c r="A75" s="187">
        <v>1</v>
      </c>
      <c r="B75" s="54" t="s">
        <v>243</v>
      </c>
      <c r="C75" s="54" t="s">
        <v>241</v>
      </c>
      <c r="D75" s="54"/>
      <c r="E75" s="179">
        <v>39038</v>
      </c>
      <c r="F75" s="198">
        <f>A.1.0_TablaAntigüedad_Sub!K75</f>
        <v>19</v>
      </c>
      <c r="G75" s="54"/>
      <c r="H75" s="199">
        <v>1</v>
      </c>
      <c r="I75" s="200">
        <f>'A.0_Tablas salariales SC'!$V$14</f>
        <v>1333.3865643132001</v>
      </c>
      <c r="J75" s="200">
        <f>A.1.0_TablaAntigüedad_Sub!V75</f>
        <v>264.41000000000003</v>
      </c>
      <c r="K75" s="200">
        <f t="shared" si="36"/>
        <v>1597.7965643132002</v>
      </c>
      <c r="L75" s="200">
        <f t="shared" si="37"/>
        <v>1597.7965643132002</v>
      </c>
      <c r="M75" s="200">
        <v>461.42333333333301</v>
      </c>
      <c r="N75" s="200">
        <f t="shared" si="38"/>
        <v>0</v>
      </c>
      <c r="O75" s="200"/>
      <c r="P75" s="200">
        <v>0</v>
      </c>
      <c r="Q75" s="200">
        <f t="shared" si="39"/>
        <v>24428.371798031334</v>
      </c>
      <c r="R75" s="200">
        <v>118.63</v>
      </c>
      <c r="S75" s="200">
        <v>35.593333333333298</v>
      </c>
      <c r="T75" s="200"/>
      <c r="U75" s="200">
        <f t="shared" si="40"/>
        <v>1696.456666666666</v>
      </c>
      <c r="V75" s="200">
        <f t="shared" si="41"/>
        <v>26124.828464697999</v>
      </c>
      <c r="W75" s="200">
        <f t="shared" si="42"/>
        <v>26124.828464697999</v>
      </c>
      <c r="X75" s="201">
        <v>0.33800000000000002</v>
      </c>
      <c r="Y75" s="200">
        <f t="shared" si="44"/>
        <v>8830.1920210679236</v>
      </c>
      <c r="Z75" s="200">
        <f t="shared" si="43"/>
        <v>34955.020485765926</v>
      </c>
      <c r="AA75" s="194"/>
    </row>
    <row r="76" spans="1:27">
      <c r="A76" s="187">
        <v>1</v>
      </c>
      <c r="B76" s="54" t="s">
        <v>243</v>
      </c>
      <c r="C76" s="54" t="s">
        <v>35</v>
      </c>
      <c r="D76" s="54"/>
      <c r="E76" s="179">
        <v>38749</v>
      </c>
      <c r="F76" s="198">
        <f>A.1.0_TablaAntigüedad_Sub!K76</f>
        <v>19</v>
      </c>
      <c r="G76" s="54"/>
      <c r="H76" s="199">
        <v>1</v>
      </c>
      <c r="I76" s="200">
        <f>'A.0_Tablas salariales SC'!$V$14</f>
        <v>1333.3865643132001</v>
      </c>
      <c r="J76" s="200">
        <f>A.1.0_TablaAntigüedad_Sub!V76</f>
        <v>264.41000000000003</v>
      </c>
      <c r="K76" s="200">
        <f t="shared" si="36"/>
        <v>1597.7965643132002</v>
      </c>
      <c r="L76" s="200">
        <f t="shared" si="37"/>
        <v>1597.7965643132002</v>
      </c>
      <c r="M76" s="200">
        <v>461.42333333333301</v>
      </c>
      <c r="N76" s="200">
        <f t="shared" si="38"/>
        <v>0</v>
      </c>
      <c r="O76" s="200"/>
      <c r="P76" s="200">
        <v>0</v>
      </c>
      <c r="Q76" s="200">
        <f t="shared" si="39"/>
        <v>24428.371798031334</v>
      </c>
      <c r="R76" s="200">
        <v>118.63</v>
      </c>
      <c r="S76" s="200">
        <v>35.593333333333298</v>
      </c>
      <c r="T76" s="200"/>
      <c r="U76" s="200">
        <f t="shared" si="40"/>
        <v>1696.456666666666</v>
      </c>
      <c r="V76" s="200">
        <f t="shared" si="41"/>
        <v>26124.828464697999</v>
      </c>
      <c r="W76" s="200">
        <f t="shared" si="42"/>
        <v>26124.828464697999</v>
      </c>
      <c r="X76" s="201">
        <v>0.33800000000000002</v>
      </c>
      <c r="Y76" s="200">
        <f t="shared" si="44"/>
        <v>8830.1920210679236</v>
      </c>
      <c r="Z76" s="200">
        <f t="shared" si="43"/>
        <v>34955.020485765926</v>
      </c>
      <c r="AA76" s="194"/>
    </row>
    <row r="77" spans="1:27">
      <c r="A77" s="187">
        <v>1</v>
      </c>
      <c r="B77" s="54" t="s">
        <v>243</v>
      </c>
      <c r="C77" s="54" t="s">
        <v>35</v>
      </c>
      <c r="D77" s="54"/>
      <c r="E77" s="179">
        <v>35966</v>
      </c>
      <c r="F77" s="198">
        <f>A.1.0_TablaAntigüedad_Sub!K77</f>
        <v>27</v>
      </c>
      <c r="G77" s="54"/>
      <c r="H77" s="199">
        <v>1</v>
      </c>
      <c r="I77" s="200">
        <f>'A.0_Tablas salariales SC'!$V$14</f>
        <v>1333.3865643132001</v>
      </c>
      <c r="J77" s="200">
        <f>A.1.0_TablaAntigüedad_Sub!V77</f>
        <v>421.15</v>
      </c>
      <c r="K77" s="200">
        <f t="shared" si="36"/>
        <v>1754.5365643132</v>
      </c>
      <c r="L77" s="200">
        <f t="shared" si="37"/>
        <v>1754.5365643132</v>
      </c>
      <c r="M77" s="200">
        <v>461.42333333333301</v>
      </c>
      <c r="N77" s="200">
        <f t="shared" si="38"/>
        <v>0</v>
      </c>
      <c r="O77" s="200"/>
      <c r="P77" s="200">
        <v>0</v>
      </c>
      <c r="Q77" s="200">
        <f t="shared" si="39"/>
        <v>26779.471798031333</v>
      </c>
      <c r="R77" s="200">
        <v>118.63</v>
      </c>
      <c r="S77" s="200">
        <v>35.593333333333298</v>
      </c>
      <c r="T77" s="200"/>
      <c r="U77" s="200">
        <f t="shared" si="40"/>
        <v>1696.456666666666</v>
      </c>
      <c r="V77" s="200">
        <f t="shared" si="41"/>
        <v>28475.928464697998</v>
      </c>
      <c r="W77" s="200">
        <f t="shared" si="42"/>
        <v>28475.928464697998</v>
      </c>
      <c r="X77" s="201">
        <v>0.33800000000000002</v>
      </c>
      <c r="Y77" s="200">
        <f t="shared" si="44"/>
        <v>9624.8638210679237</v>
      </c>
      <c r="Z77" s="200">
        <f t="shared" si="43"/>
        <v>38100.792285765921</v>
      </c>
      <c r="AA77" s="194"/>
    </row>
    <row r="78" spans="1:27">
      <c r="A78" s="187">
        <v>1</v>
      </c>
      <c r="B78" s="54" t="s">
        <v>243</v>
      </c>
      <c r="C78" s="54" t="s">
        <v>35</v>
      </c>
      <c r="D78" s="54"/>
      <c r="E78" s="179">
        <v>38827</v>
      </c>
      <c r="F78" s="198">
        <f>A.1.0_TablaAntigüedad_Sub!K78</f>
        <v>19</v>
      </c>
      <c r="G78" s="54"/>
      <c r="H78" s="199">
        <v>1</v>
      </c>
      <c r="I78" s="200">
        <f>'A.0_Tablas salariales SC'!$V$14</f>
        <v>1333.3865643132001</v>
      </c>
      <c r="J78" s="200">
        <f>A.1.0_TablaAntigüedad_Sub!V78</f>
        <v>264.41000000000003</v>
      </c>
      <c r="K78" s="200">
        <f t="shared" si="36"/>
        <v>1597.7965643132002</v>
      </c>
      <c r="L78" s="200">
        <f t="shared" si="37"/>
        <v>1597.7965643132002</v>
      </c>
      <c r="M78" s="200">
        <v>461.42333333333301</v>
      </c>
      <c r="N78" s="200">
        <f t="shared" si="38"/>
        <v>0</v>
      </c>
      <c r="O78" s="200"/>
      <c r="P78" s="200">
        <v>0</v>
      </c>
      <c r="Q78" s="200">
        <f t="shared" si="39"/>
        <v>24428.371798031334</v>
      </c>
      <c r="R78" s="200">
        <v>118.63</v>
      </c>
      <c r="S78" s="200">
        <v>35.593333333333298</v>
      </c>
      <c r="T78" s="200"/>
      <c r="U78" s="200">
        <f t="shared" si="40"/>
        <v>1696.456666666666</v>
      </c>
      <c r="V78" s="200">
        <f t="shared" si="41"/>
        <v>26124.828464697999</v>
      </c>
      <c r="W78" s="200">
        <f t="shared" si="42"/>
        <v>26124.828464697999</v>
      </c>
      <c r="X78" s="201">
        <v>0.33800000000000002</v>
      </c>
      <c r="Y78" s="200">
        <f t="shared" si="44"/>
        <v>8830.1920210679236</v>
      </c>
      <c r="Z78" s="200">
        <f t="shared" si="43"/>
        <v>34955.020485765926</v>
      </c>
      <c r="AA78" s="194"/>
    </row>
    <row r="79" spans="1:27">
      <c r="A79" s="187">
        <v>1</v>
      </c>
      <c r="B79" s="54" t="s">
        <v>243</v>
      </c>
      <c r="C79" s="54" t="s">
        <v>35</v>
      </c>
      <c r="D79" s="54"/>
      <c r="E79" s="179">
        <v>38749</v>
      </c>
      <c r="F79" s="198">
        <f>A.1.0_TablaAntigüedad_Sub!K79</f>
        <v>19</v>
      </c>
      <c r="G79" s="54"/>
      <c r="H79" s="199">
        <v>1</v>
      </c>
      <c r="I79" s="200">
        <f>'A.0_Tablas salariales SC'!$V$14</f>
        <v>1333.3865643132001</v>
      </c>
      <c r="J79" s="200">
        <f>A.1.0_TablaAntigüedad_Sub!V79</f>
        <v>264.41000000000003</v>
      </c>
      <c r="K79" s="200">
        <f t="shared" si="36"/>
        <v>1597.7965643132002</v>
      </c>
      <c r="L79" s="200">
        <f t="shared" si="37"/>
        <v>1597.7965643132002</v>
      </c>
      <c r="M79" s="200">
        <v>461.42333333333301</v>
      </c>
      <c r="N79" s="200">
        <f t="shared" si="38"/>
        <v>0</v>
      </c>
      <c r="O79" s="200"/>
      <c r="P79" s="200">
        <v>0</v>
      </c>
      <c r="Q79" s="200">
        <f t="shared" si="39"/>
        <v>24428.371798031334</v>
      </c>
      <c r="R79" s="200">
        <v>118.63</v>
      </c>
      <c r="S79" s="200">
        <v>35.593333333333298</v>
      </c>
      <c r="T79" s="200"/>
      <c r="U79" s="200">
        <f t="shared" si="40"/>
        <v>1696.456666666666</v>
      </c>
      <c r="V79" s="200">
        <f t="shared" si="41"/>
        <v>26124.828464697999</v>
      </c>
      <c r="W79" s="200">
        <f t="shared" si="42"/>
        <v>26124.828464697999</v>
      </c>
      <c r="X79" s="201">
        <v>0.33800000000000002</v>
      </c>
      <c r="Y79" s="200">
        <f t="shared" si="44"/>
        <v>8830.1920210679236</v>
      </c>
      <c r="Z79" s="200">
        <f t="shared" si="43"/>
        <v>34955.020485765926</v>
      </c>
      <c r="AA79" s="194"/>
    </row>
    <row r="80" spans="1:27">
      <c r="A80" s="187">
        <v>1</v>
      </c>
      <c r="B80" s="54" t="s">
        <v>243</v>
      </c>
      <c r="C80" s="54" t="s">
        <v>241</v>
      </c>
      <c r="D80" s="54"/>
      <c r="E80" s="179">
        <v>37653</v>
      </c>
      <c r="F80" s="198">
        <f>A.1.0_TablaAntigüedad_Sub!K80</f>
        <v>22</v>
      </c>
      <c r="G80" s="54"/>
      <c r="H80" s="199">
        <v>1</v>
      </c>
      <c r="I80" s="200">
        <f>'A.0_Tablas salariales SC'!$V$14</f>
        <v>1333.3865643132001</v>
      </c>
      <c r="J80" s="200">
        <f>A.1.0_TablaAntigüedad_Sub!V80</f>
        <v>280.79000000000002</v>
      </c>
      <c r="K80" s="200">
        <f t="shared" si="36"/>
        <v>1614.1765643132001</v>
      </c>
      <c r="L80" s="200">
        <f t="shared" si="37"/>
        <v>1614.1765643132001</v>
      </c>
      <c r="M80" s="200">
        <v>461.42333333333301</v>
      </c>
      <c r="N80" s="200">
        <f t="shared" si="38"/>
        <v>0</v>
      </c>
      <c r="O80" s="200"/>
      <c r="P80" s="200">
        <v>0</v>
      </c>
      <c r="Q80" s="200">
        <f t="shared" si="39"/>
        <v>24674.071798031331</v>
      </c>
      <c r="R80" s="200">
        <v>118.63</v>
      </c>
      <c r="S80" s="200">
        <v>35.593333333333298</v>
      </c>
      <c r="T80" s="200"/>
      <c r="U80" s="200">
        <f t="shared" si="40"/>
        <v>1696.456666666666</v>
      </c>
      <c r="V80" s="200">
        <f t="shared" si="41"/>
        <v>26370.528464697996</v>
      </c>
      <c r="W80" s="200">
        <f t="shared" si="42"/>
        <v>26370.528464697996</v>
      </c>
      <c r="X80" s="201">
        <v>0.33800000000000002</v>
      </c>
      <c r="Y80" s="200">
        <f t="shared" si="44"/>
        <v>8913.2386210679233</v>
      </c>
      <c r="Z80" s="200">
        <f t="shared" si="43"/>
        <v>35283.767085765918</v>
      </c>
      <c r="AA80" s="194"/>
    </row>
    <row r="81" spans="1:27">
      <c r="A81" s="187">
        <v>1</v>
      </c>
      <c r="B81" s="54" t="s">
        <v>244</v>
      </c>
      <c r="C81" s="54" t="s">
        <v>35</v>
      </c>
      <c r="D81" s="54"/>
      <c r="E81" s="179">
        <v>39618</v>
      </c>
      <c r="F81" s="198">
        <f>A.1.0_TablaAntigüedad_Sub!K81</f>
        <v>17</v>
      </c>
      <c r="G81" s="54"/>
      <c r="H81" s="199">
        <v>0.4</v>
      </c>
      <c r="I81" s="200">
        <f>'A.0_Tablas salariales SC'!$V$14</f>
        <v>1333.3865643132001</v>
      </c>
      <c r="J81" s="200">
        <f>A.1.0_TablaAntigüedad_Sub!V81</f>
        <v>219.94</v>
      </c>
      <c r="K81" s="200">
        <f t="shared" si="36"/>
        <v>1553.3265643132002</v>
      </c>
      <c r="L81" s="200">
        <f t="shared" si="37"/>
        <v>1553.3265643132002</v>
      </c>
      <c r="M81" s="200">
        <v>461.42333333333301</v>
      </c>
      <c r="N81" s="200">
        <f t="shared" si="38"/>
        <v>0</v>
      </c>
      <c r="O81" s="200"/>
      <c r="P81" s="200">
        <v>0</v>
      </c>
      <c r="Q81" s="200">
        <f t="shared" si="39"/>
        <v>23761.321798031331</v>
      </c>
      <c r="R81" s="200">
        <v>118.63</v>
      </c>
      <c r="S81" s="200">
        <v>35.593333333333298</v>
      </c>
      <c r="T81" s="200"/>
      <c r="U81" s="200">
        <f t="shared" si="40"/>
        <v>1696.456666666666</v>
      </c>
      <c r="V81" s="200">
        <f t="shared" si="41"/>
        <v>25457.778464697996</v>
      </c>
      <c r="W81" s="200">
        <f t="shared" si="42"/>
        <v>10183.1113858792</v>
      </c>
      <c r="X81" s="201">
        <v>0.33800000000000002</v>
      </c>
      <c r="Y81" s="200">
        <f t="shared" si="44"/>
        <v>3441.8916484271699</v>
      </c>
      <c r="Z81" s="200">
        <f t="shared" si="43"/>
        <v>13625.00303430637</v>
      </c>
      <c r="AA81" s="194"/>
    </row>
    <row r="82" spans="1:27">
      <c r="A82" s="187">
        <v>0</v>
      </c>
      <c r="B82" s="54" t="s">
        <v>243</v>
      </c>
      <c r="C82" s="54" t="s">
        <v>35</v>
      </c>
      <c r="D82" s="54"/>
      <c r="E82" s="179">
        <v>38880</v>
      </c>
      <c r="F82" s="198">
        <f>A.1.0_TablaAntigüedad_Sub!K82</f>
        <v>19</v>
      </c>
      <c r="G82" s="54"/>
      <c r="H82" s="199">
        <v>1</v>
      </c>
      <c r="I82" s="200">
        <f>'A.0_Tablas salariales SC'!$V$14</f>
        <v>1333.3865643132001</v>
      </c>
      <c r="J82" s="200">
        <f>A.1.0_TablaAntigüedad_Sub!V82</f>
        <v>0</v>
      </c>
      <c r="K82" s="200">
        <f t="shared" si="36"/>
        <v>1333.3865643132001</v>
      </c>
      <c r="L82" s="200">
        <f t="shared" si="37"/>
        <v>1333.3865643132001</v>
      </c>
      <c r="M82" s="200">
        <v>461.42333333333301</v>
      </c>
      <c r="N82" s="200">
        <f t="shared" si="38"/>
        <v>0</v>
      </c>
      <c r="O82" s="200"/>
      <c r="P82" s="200">
        <v>0</v>
      </c>
      <c r="Q82" s="200">
        <f t="shared" si="39"/>
        <v>0</v>
      </c>
      <c r="R82" s="200">
        <v>118.63</v>
      </c>
      <c r="S82" s="200">
        <v>35.593333333333298</v>
      </c>
      <c r="T82" s="200"/>
      <c r="U82" s="200">
        <f t="shared" si="40"/>
        <v>1696.456666666666</v>
      </c>
      <c r="V82" s="200">
        <f t="shared" si="41"/>
        <v>1696.456666666666</v>
      </c>
      <c r="W82" s="200">
        <f t="shared" si="42"/>
        <v>0</v>
      </c>
      <c r="X82" s="201">
        <v>0.33800000000000002</v>
      </c>
      <c r="Y82" s="200">
        <f t="shared" si="44"/>
        <v>0</v>
      </c>
      <c r="Z82" s="200">
        <f t="shared" si="43"/>
        <v>0</v>
      </c>
      <c r="AA82" s="194"/>
    </row>
    <row r="83" spans="1:27">
      <c r="A83" s="187">
        <v>0</v>
      </c>
      <c r="B83" s="54" t="s">
        <v>243</v>
      </c>
      <c r="C83" s="54" t="s">
        <v>35</v>
      </c>
      <c r="D83" s="54"/>
      <c r="E83" s="179">
        <v>38908</v>
      </c>
      <c r="F83" s="198">
        <f>A.1.0_TablaAntigüedad_Sub!K83</f>
        <v>19</v>
      </c>
      <c r="G83" s="54"/>
      <c r="H83" s="199">
        <v>1</v>
      </c>
      <c r="I83" s="200">
        <f>'A.0_Tablas salariales SC'!$V$14</f>
        <v>1333.3865643132001</v>
      </c>
      <c r="J83" s="200">
        <f>A.1.0_TablaAntigüedad_Sub!V83</f>
        <v>0</v>
      </c>
      <c r="K83" s="200">
        <f t="shared" si="36"/>
        <v>1333.3865643132001</v>
      </c>
      <c r="L83" s="200">
        <f t="shared" si="37"/>
        <v>1333.3865643132001</v>
      </c>
      <c r="M83" s="200">
        <v>461.42333333333301</v>
      </c>
      <c r="N83" s="200">
        <f t="shared" si="38"/>
        <v>0</v>
      </c>
      <c r="O83" s="200"/>
      <c r="P83" s="200">
        <v>0</v>
      </c>
      <c r="Q83" s="200">
        <f t="shared" si="39"/>
        <v>0</v>
      </c>
      <c r="R83" s="200">
        <v>118.63</v>
      </c>
      <c r="S83" s="200">
        <v>35.593333333333298</v>
      </c>
      <c r="T83" s="200"/>
      <c r="U83" s="200">
        <f t="shared" si="40"/>
        <v>1696.456666666666</v>
      </c>
      <c r="V83" s="200">
        <f t="shared" si="41"/>
        <v>1696.456666666666</v>
      </c>
      <c r="W83" s="200">
        <f t="shared" si="42"/>
        <v>0</v>
      </c>
      <c r="X83" s="201">
        <v>0.33800000000000002</v>
      </c>
      <c r="Y83" s="200">
        <f t="shared" si="44"/>
        <v>0</v>
      </c>
      <c r="Z83" s="200">
        <f t="shared" si="43"/>
        <v>0</v>
      </c>
      <c r="AA83" s="194"/>
    </row>
    <row r="84" spans="1:27">
      <c r="A84" s="187">
        <v>0</v>
      </c>
      <c r="B84" s="54" t="s">
        <v>243</v>
      </c>
      <c r="C84" s="54" t="s">
        <v>35</v>
      </c>
      <c r="D84" s="54"/>
      <c r="E84" s="179">
        <v>38972</v>
      </c>
      <c r="F84" s="198">
        <f>A.1.0_TablaAntigüedad_Sub!K84</f>
        <v>19</v>
      </c>
      <c r="G84" s="54"/>
      <c r="H84" s="199">
        <v>1</v>
      </c>
      <c r="I84" s="200">
        <f>'A.0_Tablas salariales SC'!$V$14</f>
        <v>1333.3865643132001</v>
      </c>
      <c r="J84" s="200">
        <f>A.1.0_TablaAntigüedad_Sub!V84</f>
        <v>0</v>
      </c>
      <c r="K84" s="200">
        <f t="shared" si="36"/>
        <v>1333.3865643132001</v>
      </c>
      <c r="L84" s="200">
        <f t="shared" si="37"/>
        <v>1333.3865643132001</v>
      </c>
      <c r="M84" s="200">
        <v>461.42333333333301</v>
      </c>
      <c r="N84" s="200">
        <f t="shared" si="38"/>
        <v>0</v>
      </c>
      <c r="O84" s="200"/>
      <c r="P84" s="200">
        <v>0</v>
      </c>
      <c r="Q84" s="200">
        <f t="shared" si="39"/>
        <v>0</v>
      </c>
      <c r="R84" s="200">
        <v>118.63</v>
      </c>
      <c r="S84" s="200">
        <v>35.593333333333298</v>
      </c>
      <c r="T84" s="200"/>
      <c r="U84" s="200">
        <f t="shared" si="40"/>
        <v>1696.456666666666</v>
      </c>
      <c r="V84" s="200">
        <f t="shared" si="41"/>
        <v>1696.456666666666</v>
      </c>
      <c r="W84" s="200">
        <f t="shared" si="42"/>
        <v>0</v>
      </c>
      <c r="X84" s="201">
        <v>0.33800000000000002</v>
      </c>
      <c r="Y84" s="200">
        <f t="shared" si="44"/>
        <v>0</v>
      </c>
      <c r="Z84" s="200">
        <f t="shared" si="43"/>
        <v>0</v>
      </c>
      <c r="AA84" s="194"/>
    </row>
    <row r="85" spans="1:27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9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96">
        <f>+(SUM(Z71:Z84))</f>
        <v>358019.93176681246</v>
      </c>
    </row>
    <row r="86" spans="1:27">
      <c r="A86" s="187">
        <v>1</v>
      </c>
      <c r="B86" s="54" t="s">
        <v>245</v>
      </c>
      <c r="C86" s="54" t="s">
        <v>35</v>
      </c>
      <c r="D86" s="54"/>
      <c r="E86" s="179">
        <v>39284</v>
      </c>
      <c r="F86" s="198">
        <f>A.1.0_TablaAntigüedad_Sub!K86</f>
        <v>18</v>
      </c>
      <c r="G86" s="54"/>
      <c r="H86" s="199">
        <v>1</v>
      </c>
      <c r="I86" s="200">
        <f>'A.0_Tablas salariales SC'!$V$17</f>
        <v>1393.8740848464668</v>
      </c>
      <c r="J86" s="200">
        <f>A.1.0_TablaAntigüedad_Sub!V86</f>
        <v>219.94</v>
      </c>
      <c r="K86" s="200">
        <f>I86+J86</f>
        <v>1613.8140848464668</v>
      </c>
      <c r="L86" s="200">
        <f>I86+J86</f>
        <v>1613.8140848464668</v>
      </c>
      <c r="M86" s="200">
        <v>461.42333333333301</v>
      </c>
      <c r="N86" s="200">
        <f>I86*0.25*0</f>
        <v>0</v>
      </c>
      <c r="O86" s="200"/>
      <c r="P86" s="200">
        <v>0</v>
      </c>
      <c r="Q86" s="200">
        <f t="shared" ref="Q86:Q87" si="45">IF(A86&gt;0,((I86*I$4)+(J86*J$4)+(K86*K$4)+(P86*P$4)+(L86*L$4)+(M86*M$4)+(N86*N$4)+(O86*O$4)),0)</f>
        <v>24668.634606030333</v>
      </c>
      <c r="R86" s="200">
        <v>118.63</v>
      </c>
      <c r="S86" s="200">
        <v>35.593333333333298</v>
      </c>
      <c r="T86" s="200"/>
      <c r="U86" s="200">
        <f>(R86*R$4)+(S86*S$4)+T86</f>
        <v>1696.456666666666</v>
      </c>
      <c r="V86" s="200">
        <f>+Q86+U86</f>
        <v>26365.091272696998</v>
      </c>
      <c r="W86" s="200">
        <f t="shared" ref="W86:W87" si="46">V86*H86*A86</f>
        <v>26365.091272696998</v>
      </c>
      <c r="X86" s="201">
        <v>0.33800000000000002</v>
      </c>
      <c r="Y86" s="200">
        <f t="shared" si="44"/>
        <v>8911.4008501715853</v>
      </c>
      <c r="Z86" s="200">
        <f t="shared" ref="Z86:Z87" si="47">W86+Y86</f>
        <v>35276.492122868585</v>
      </c>
      <c r="AA86" s="194"/>
    </row>
    <row r="87" spans="1:27">
      <c r="A87" s="187">
        <v>1</v>
      </c>
      <c r="B87" s="54" t="s">
        <v>245</v>
      </c>
      <c r="C87" s="54" t="s">
        <v>35</v>
      </c>
      <c r="D87" s="54"/>
      <c r="E87" s="179">
        <v>39284</v>
      </c>
      <c r="F87" s="198">
        <f>A.1.0_TablaAntigüedad_Sub!K87</f>
        <v>18</v>
      </c>
      <c r="G87" s="54"/>
      <c r="H87" s="199">
        <v>1</v>
      </c>
      <c r="I87" s="200">
        <f>'A.0_Tablas salariales SC'!$V$17</f>
        <v>1393.8740848464668</v>
      </c>
      <c r="J87" s="200">
        <f>A.1.0_TablaAntigüedad_Sub!V87</f>
        <v>219.94</v>
      </c>
      <c r="K87" s="200">
        <f>I87+J87</f>
        <v>1613.8140848464668</v>
      </c>
      <c r="L87" s="200">
        <f>I87+J87</f>
        <v>1613.8140848464668</v>
      </c>
      <c r="M87" s="200">
        <v>461.42333333333301</v>
      </c>
      <c r="N87" s="200">
        <f>I87*0.25*0</f>
        <v>0</v>
      </c>
      <c r="O87" s="200"/>
      <c r="P87" s="200">
        <v>0</v>
      </c>
      <c r="Q87" s="200">
        <f t="shared" si="45"/>
        <v>24668.634606030333</v>
      </c>
      <c r="R87" s="200">
        <v>118.63</v>
      </c>
      <c r="S87" s="200">
        <v>35.593333333333298</v>
      </c>
      <c r="T87" s="200"/>
      <c r="U87" s="200">
        <f>(R87*R$4)+(S87*S$4)+T87</f>
        <v>1696.456666666666</v>
      </c>
      <c r="V87" s="200">
        <f>+Q87+U87</f>
        <v>26365.091272696998</v>
      </c>
      <c r="W87" s="200">
        <f t="shared" si="46"/>
        <v>26365.091272696998</v>
      </c>
      <c r="X87" s="201">
        <v>0.33800000000000002</v>
      </c>
      <c r="Y87" s="200">
        <f t="shared" si="44"/>
        <v>8911.4008501715853</v>
      </c>
      <c r="Z87" s="200">
        <f t="shared" si="47"/>
        <v>35276.492122868585</v>
      </c>
      <c r="AA87" s="194"/>
    </row>
    <row r="88" spans="1:27">
      <c r="A88" s="182"/>
      <c r="B88" s="182"/>
      <c r="C88" s="182"/>
      <c r="D88" s="182"/>
      <c r="E88" s="182"/>
      <c r="F88" s="182"/>
      <c r="G88" s="182"/>
      <c r="H88" s="182"/>
      <c r="I88" s="191"/>
      <c r="J88" s="182"/>
      <c r="K88" s="191"/>
      <c r="L88" s="191"/>
      <c r="M88" s="191"/>
      <c r="N88" s="192"/>
      <c r="O88" s="191"/>
      <c r="P88" s="182"/>
      <c r="Q88" s="191"/>
      <c r="R88" s="182"/>
      <c r="S88" s="182"/>
      <c r="T88" s="182"/>
      <c r="U88" s="191"/>
      <c r="V88" s="191"/>
      <c r="W88" s="191"/>
      <c r="X88" s="195"/>
      <c r="Y88" s="191"/>
      <c r="Z88" s="191"/>
      <c r="AA88" s="196">
        <f>+Z86+Z87</f>
        <v>70552.984245737171</v>
      </c>
    </row>
    <row r="89" spans="1:27">
      <c r="A89" s="187">
        <v>1</v>
      </c>
      <c r="B89" s="54" t="s">
        <v>246</v>
      </c>
      <c r="C89" s="54" t="s">
        <v>241</v>
      </c>
      <c r="D89" s="54"/>
      <c r="E89" s="179">
        <v>40198</v>
      </c>
      <c r="F89" s="198">
        <f>A.1.0_TablaAntigüedad_Sub!K89</f>
        <v>15</v>
      </c>
      <c r="G89" s="54"/>
      <c r="H89" s="199">
        <v>1</v>
      </c>
      <c r="I89" s="200">
        <f>'A.0_Tablas salariales SC'!$V$27</f>
        <v>1786.8840334816668</v>
      </c>
      <c r="J89" s="200">
        <f>A.1.0_TablaAntigüedad_Sub!V89</f>
        <v>302.73</v>
      </c>
      <c r="K89" s="200">
        <f>I89+J89</f>
        <v>2089.6140334816669</v>
      </c>
      <c r="L89" s="200">
        <f>I89+J89</f>
        <v>2089.6140334816669</v>
      </c>
      <c r="M89" s="200">
        <v>461.42333333333301</v>
      </c>
      <c r="N89" s="200">
        <f>I89*0.25*0</f>
        <v>0</v>
      </c>
      <c r="O89" s="200"/>
      <c r="P89" s="200">
        <v>0</v>
      </c>
      <c r="Q89" s="200">
        <f t="shared" ref="Q89:Q91" si="48">IF(A89&gt;0,((I89*I$4)+(J89*J$4)+(K89*K$4)+(P89*P$4)+(L89*L$4)+(M89*M$4)+(N89*N$4)+(O89*O$4)),0)</f>
        <v>31805.633835558336</v>
      </c>
      <c r="R89" s="200">
        <v>118.63</v>
      </c>
      <c r="S89" s="200">
        <v>35.593333333333298</v>
      </c>
      <c r="T89" s="200"/>
      <c r="U89" s="200">
        <f>(R89*R$4)+(S89*S$4)+T89</f>
        <v>1696.456666666666</v>
      </c>
      <c r="V89" s="200">
        <f>+Q89+U89</f>
        <v>33502.090502225001</v>
      </c>
      <c r="W89" s="200">
        <f t="shared" ref="W89:W91" si="49">V89*H89*A89</f>
        <v>33502.090502225001</v>
      </c>
      <c r="X89" s="201">
        <v>0.33800000000000002</v>
      </c>
      <c r="Y89" s="200">
        <f t="shared" si="44"/>
        <v>11323.706589752052</v>
      </c>
      <c r="Z89" s="200">
        <f t="shared" ref="Z89:Z91" si="50">W89+Y89</f>
        <v>44825.797091977052</v>
      </c>
      <c r="AA89" s="194"/>
    </row>
    <row r="90" spans="1:27">
      <c r="A90" s="187">
        <v>0</v>
      </c>
      <c r="B90" s="54" t="s">
        <v>246</v>
      </c>
      <c r="C90" s="54" t="s">
        <v>241</v>
      </c>
      <c r="D90" s="54"/>
      <c r="E90" s="179">
        <v>37641</v>
      </c>
      <c r="F90" s="198">
        <f>A.1.0_TablaAntigüedad_Sub!K90</f>
        <v>22</v>
      </c>
      <c r="G90" s="54"/>
      <c r="H90" s="199">
        <v>1</v>
      </c>
      <c r="I90" s="200">
        <f>'A.0_Tablas salariales SC'!$V$27</f>
        <v>1786.8840334816668</v>
      </c>
      <c r="J90" s="200">
        <f>A.1.0_TablaAntigüedad_Sub!V90</f>
        <v>0</v>
      </c>
      <c r="K90" s="200">
        <f>I90+J90</f>
        <v>1786.8840334816668</v>
      </c>
      <c r="L90" s="200">
        <f>I90+J90</f>
        <v>1786.8840334816668</v>
      </c>
      <c r="M90" s="200">
        <v>461.42333333333301</v>
      </c>
      <c r="N90" s="200">
        <f>I90*0.25*0</f>
        <v>0</v>
      </c>
      <c r="O90" s="200"/>
      <c r="P90" s="200">
        <v>0</v>
      </c>
      <c r="Q90" s="200">
        <f t="shared" si="48"/>
        <v>0</v>
      </c>
      <c r="R90" s="200">
        <v>118.63</v>
      </c>
      <c r="S90" s="200">
        <v>35.593333333333298</v>
      </c>
      <c r="T90" s="200"/>
      <c r="U90" s="200">
        <f>(R90*R$4)+(S90*S$4)+T90</f>
        <v>1696.456666666666</v>
      </c>
      <c r="V90" s="200">
        <f>+Q90+U90</f>
        <v>1696.456666666666</v>
      </c>
      <c r="W90" s="200">
        <f t="shared" si="49"/>
        <v>0</v>
      </c>
      <c r="X90" s="201">
        <v>0.33800000000000002</v>
      </c>
      <c r="Y90" s="200">
        <f t="shared" si="44"/>
        <v>0</v>
      </c>
      <c r="Z90" s="200">
        <f t="shared" si="50"/>
        <v>0</v>
      </c>
      <c r="AA90" s="194"/>
    </row>
    <row r="91" spans="1:27">
      <c r="A91" s="187">
        <v>1</v>
      </c>
      <c r="B91" s="54" t="s">
        <v>247</v>
      </c>
      <c r="C91" s="54" t="s">
        <v>241</v>
      </c>
      <c r="D91" s="54"/>
      <c r="E91" s="179">
        <v>37641</v>
      </c>
      <c r="F91" s="198">
        <f>A.1.0_TablaAntigüedad_Sub!K91</f>
        <v>22</v>
      </c>
      <c r="G91" s="54"/>
      <c r="H91" s="199">
        <v>1</v>
      </c>
      <c r="I91" s="200">
        <f>'A.0_Tablas salariales SC'!$V$28</f>
        <v>2044.4199829160668</v>
      </c>
      <c r="J91" s="200">
        <f>A.1.0_TablaAntigüedad_Sub!V91</f>
        <v>384.49</v>
      </c>
      <c r="K91" s="200">
        <f>I91+J91</f>
        <v>2428.9099829160668</v>
      </c>
      <c r="L91" s="200">
        <f>I91+J91</f>
        <v>2428.9099829160668</v>
      </c>
      <c r="M91" s="200">
        <v>461.42333333333301</v>
      </c>
      <c r="N91" s="200">
        <f>I91*0.25*0</f>
        <v>0</v>
      </c>
      <c r="O91" s="200"/>
      <c r="P91" s="200">
        <v>0</v>
      </c>
      <c r="Q91" s="200">
        <f t="shared" si="48"/>
        <v>36895.073077074339</v>
      </c>
      <c r="R91" s="200">
        <v>118.63</v>
      </c>
      <c r="S91" s="200">
        <v>35.593333333333298</v>
      </c>
      <c r="T91" s="200"/>
      <c r="U91" s="200">
        <f>(R91*R$4)+(S91*S$4)+T91</f>
        <v>1696.456666666666</v>
      </c>
      <c r="V91" s="200">
        <f>+Q91+U91</f>
        <v>38591.529743741004</v>
      </c>
      <c r="W91" s="200">
        <f t="shared" si="49"/>
        <v>38591.529743741004</v>
      </c>
      <c r="X91" s="201">
        <v>0.33800000000000002</v>
      </c>
      <c r="Y91" s="200">
        <f t="shared" si="44"/>
        <v>13043.937053384461</v>
      </c>
      <c r="Z91" s="200">
        <f t="shared" si="50"/>
        <v>51635.466797125468</v>
      </c>
      <c r="AA91" s="194"/>
    </row>
    <row r="92" spans="1:27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92"/>
      <c r="O92" s="182"/>
      <c r="P92" s="182"/>
      <c r="Q92" s="191"/>
      <c r="R92" s="182"/>
      <c r="S92" s="182"/>
      <c r="T92" s="182"/>
      <c r="U92" s="191"/>
      <c r="V92" s="191"/>
      <c r="W92" s="191"/>
      <c r="X92" s="195"/>
      <c r="Y92" s="191"/>
      <c r="Z92" s="191"/>
      <c r="AA92" s="196">
        <f>+Z89+Z90+Z91</f>
        <v>96461.263889102527</v>
      </c>
    </row>
    <row r="93" spans="1:27">
      <c r="A93" s="187">
        <v>1</v>
      </c>
      <c r="B93" s="54" t="s">
        <v>248</v>
      </c>
      <c r="C93" s="54" t="s">
        <v>35</v>
      </c>
      <c r="D93" s="54"/>
      <c r="E93" s="179">
        <v>39482</v>
      </c>
      <c r="F93" s="198">
        <f>A.1.0_TablaAntigüedad_Sub!K93</f>
        <v>17</v>
      </c>
      <c r="G93" s="54"/>
      <c r="H93" s="199">
        <v>0.9</v>
      </c>
      <c r="I93" s="200">
        <f>'A.0_Tablas salariales SC'!V21</f>
        <v>1328.1263340989999</v>
      </c>
      <c r="J93" s="200">
        <f>A.1.0_TablaAntigüedad_Sub!V93</f>
        <v>238.04</v>
      </c>
      <c r="K93" s="200">
        <f>I93+J93</f>
        <v>1566.1663340989999</v>
      </c>
      <c r="L93" s="200">
        <f>I93+J93</f>
        <v>1566.1663340989999</v>
      </c>
      <c r="M93" s="200">
        <v>461.42333333333301</v>
      </c>
      <c r="N93" s="200">
        <f>I93*0.25*0</f>
        <v>0</v>
      </c>
      <c r="O93" s="200"/>
      <c r="P93" s="200">
        <v>0</v>
      </c>
      <c r="Q93" s="200">
        <f>IF(A93&gt;0,((I93*I$4)+(J93*J$4)+(K93*K$4)+(P93*P$4)+(L93*L$4)+(M93*M$4)+(N93*N$4)+(O93*O$4)),0)</f>
        <v>23953.918344818332</v>
      </c>
      <c r="R93" s="200">
        <v>118.63</v>
      </c>
      <c r="S93" s="200">
        <v>35.593333333333298</v>
      </c>
      <c r="T93" s="200"/>
      <c r="U93" s="200">
        <f>(R93*R$4)+(S93*S$4)+T93</f>
        <v>1696.456666666666</v>
      </c>
      <c r="V93" s="200">
        <f>+Q93+U93</f>
        <v>25650.375011484997</v>
      </c>
      <c r="W93" s="200">
        <f>V93*H93*A93</f>
        <v>23085.3375103365</v>
      </c>
      <c r="X93" s="201">
        <v>0.33800000000000002</v>
      </c>
      <c r="Y93" s="200">
        <f t="shared" si="44"/>
        <v>7802.8440784937375</v>
      </c>
      <c r="Z93" s="200">
        <f>W93+Y93</f>
        <v>30888.181588830237</v>
      </c>
      <c r="AA93" s="194"/>
    </row>
    <row r="94" spans="1:27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96">
        <f>+Z93</f>
        <v>30888.181588830237</v>
      </c>
    </row>
    <row r="95" spans="1:27" ht="6" customHeight="1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337"/>
      <c r="X95" s="52"/>
      <c r="Y95" s="52"/>
      <c r="Z95" s="52"/>
      <c r="AA95" s="53"/>
    </row>
    <row r="96" spans="1:27">
      <c r="A96" s="288"/>
      <c r="B96" s="672" t="s">
        <v>249</v>
      </c>
      <c r="C96" s="672"/>
      <c r="D96" s="672"/>
      <c r="E96" s="672"/>
      <c r="F96" s="672"/>
      <c r="G96" s="672"/>
      <c r="H96" s="672"/>
      <c r="I96" s="672"/>
      <c r="J96" s="672"/>
      <c r="K96" s="672"/>
      <c r="L96" s="672"/>
      <c r="M96" s="672"/>
      <c r="N96" s="672"/>
      <c r="O96" s="672"/>
      <c r="P96" s="672"/>
      <c r="Q96" s="672"/>
      <c r="R96" s="672"/>
      <c r="S96" s="672"/>
      <c r="T96" s="672"/>
      <c r="U96" s="672"/>
      <c r="V96" s="672"/>
      <c r="W96" s="672"/>
      <c r="X96" s="672"/>
      <c r="Y96" s="672"/>
      <c r="Z96" s="291"/>
      <c r="AA96" s="292">
        <f>SUM(AA5:AA94)</f>
        <v>2408908.1789471805</v>
      </c>
    </row>
    <row r="97" spans="2:26">
      <c r="B97" s="50" t="s">
        <v>250</v>
      </c>
      <c r="E97" s="50" t="s">
        <v>250</v>
      </c>
      <c r="F97" s="50" t="s">
        <v>250</v>
      </c>
      <c r="I97" s="50" t="s">
        <v>250</v>
      </c>
      <c r="J97" s="50" t="s">
        <v>250</v>
      </c>
      <c r="K97" s="50" t="s">
        <v>250</v>
      </c>
      <c r="P97" s="50" t="s">
        <v>250</v>
      </c>
      <c r="Q97" s="50" t="s">
        <v>250</v>
      </c>
      <c r="R97" s="50" t="s">
        <v>250</v>
      </c>
      <c r="S97" s="50" t="s">
        <v>250</v>
      </c>
      <c r="U97" s="50" t="s">
        <v>250</v>
      </c>
      <c r="V97" s="50" t="s">
        <v>250</v>
      </c>
      <c r="X97" s="50" t="s">
        <v>250</v>
      </c>
      <c r="Y97" s="50" t="s">
        <v>250</v>
      </c>
      <c r="Z97" s="50" t="s">
        <v>250</v>
      </c>
    </row>
  </sheetData>
  <mergeCells count="3">
    <mergeCell ref="A1:AA1"/>
    <mergeCell ref="C4:H4"/>
    <mergeCell ref="B96:Y96"/>
  </mergeCells>
  <conditionalFormatting sqref="F5:Z93">
    <cfRule type="cellIs" dxfId="43" priority="1" operator="equal">
      <formula>0</formula>
    </cfRule>
  </conditionalFormatting>
  <pageMargins left="0.74803149606299202" right="0.74803149606299202" top="0.98425196850393704" bottom="0.98425196850393704" header="0" footer="0"/>
  <pageSetup paperSize="9" scale="51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V101"/>
  <sheetViews>
    <sheetView zoomScale="90" zoomScaleNormal="90" workbookViewId="0">
      <pane xSplit="2" ySplit="3" topLeftCell="C4" activePane="bottomRight" state="frozen"/>
      <selection pane="topRight"/>
      <selection pane="bottomLeft"/>
      <selection pane="bottomRight" activeCell="U19" sqref="U19"/>
    </sheetView>
  </sheetViews>
  <sheetFormatPr baseColWidth="10" defaultColWidth="11.44140625" defaultRowHeight="14.4"/>
  <cols>
    <col min="1" max="1" width="4.88671875" style="50" customWidth="1"/>
    <col min="2" max="2" width="22.5546875" style="50" customWidth="1"/>
    <col min="3" max="3" width="4.6640625" style="50" customWidth="1"/>
    <col min="4" max="4" width="5.109375" style="50" customWidth="1"/>
    <col min="5" max="5" width="11.44140625" style="50" customWidth="1"/>
    <col min="6" max="6" width="14.88671875" style="50" customWidth="1"/>
    <col min="7" max="7" width="18.88671875" style="51" customWidth="1"/>
    <col min="8" max="8" width="9.44140625" style="51" customWidth="1"/>
    <col min="9" max="10" width="11.44140625" style="51"/>
    <col min="11" max="11" width="11.88671875" style="51" customWidth="1"/>
    <col min="12" max="13" width="11.44140625" style="51"/>
    <col min="14" max="14" width="11.88671875" style="51" customWidth="1"/>
    <col min="15" max="16384" width="11.44140625" style="51"/>
  </cols>
  <sheetData>
    <row r="1" spans="1:22" ht="24" customHeight="1">
      <c r="A1" s="670" t="s">
        <v>251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</row>
    <row r="2" spans="1:22" s="53" customFormat="1" ht="3.75" customHeight="1">
      <c r="A2" s="52"/>
      <c r="B2" s="176"/>
      <c r="C2" s="176"/>
      <c r="D2" s="176"/>
      <c r="E2" s="176"/>
      <c r="F2" s="176"/>
    </row>
    <row r="3" spans="1:22" ht="90" customHeight="1">
      <c r="A3" s="288"/>
      <c r="B3" s="289" t="s">
        <v>152</v>
      </c>
      <c r="C3" s="293" t="s">
        <v>216</v>
      </c>
      <c r="D3" s="293" t="s">
        <v>217</v>
      </c>
      <c r="E3" s="289" t="s">
        <v>218</v>
      </c>
      <c r="F3" s="294" t="s">
        <v>252</v>
      </c>
      <c r="G3" s="294" t="s">
        <v>253</v>
      </c>
      <c r="H3" s="294" t="s">
        <v>254</v>
      </c>
      <c r="I3" s="294" t="s">
        <v>255</v>
      </c>
      <c r="J3" s="294" t="s">
        <v>256</v>
      </c>
      <c r="K3" s="294" t="s">
        <v>257</v>
      </c>
      <c r="L3" s="183" t="s">
        <v>182</v>
      </c>
      <c r="M3" s="183" t="s">
        <v>184</v>
      </c>
      <c r="N3" s="183" t="s">
        <v>185</v>
      </c>
      <c r="O3" s="183" t="s">
        <v>186</v>
      </c>
      <c r="P3" s="183" t="s">
        <v>187</v>
      </c>
      <c r="Q3" s="183" t="s">
        <v>188</v>
      </c>
      <c r="R3" s="183" t="s">
        <v>189</v>
      </c>
      <c r="S3" s="183" t="s">
        <v>190</v>
      </c>
      <c r="T3" s="183" t="s">
        <v>191</v>
      </c>
      <c r="U3" s="183" t="s">
        <v>192</v>
      </c>
      <c r="V3" s="449" t="s">
        <v>965</v>
      </c>
    </row>
    <row r="4" spans="1:22" ht="19.5" customHeight="1">
      <c r="A4" s="177"/>
      <c r="B4" s="98"/>
      <c r="C4" s="671" t="s">
        <v>238</v>
      </c>
      <c r="D4" s="671"/>
      <c r="E4" s="671"/>
      <c r="F4" s="98"/>
      <c r="G4" s="178">
        <f>'A. Resumen Costes Personal'!D19</f>
        <v>2023</v>
      </c>
      <c r="H4" s="101"/>
      <c r="I4" s="178">
        <f>'A. Resumen Costes Personal'!D20</f>
        <v>2027</v>
      </c>
      <c r="J4" s="101"/>
      <c r="K4" s="101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2">
      <c r="A5" s="338">
        <f>'A.1_Tabla Costes Subrogación'!A5</f>
        <v>1</v>
      </c>
      <c r="B5" s="54" t="str">
        <f>'A.1_Tabla Costes Subrogación'!B5</f>
        <v xml:space="preserve"> PEÓN  </v>
      </c>
      <c r="C5" s="54"/>
      <c r="D5" s="54"/>
      <c r="E5" s="179">
        <f>'A.1_Tabla Costes Subrogación'!E5</f>
        <v>44858</v>
      </c>
      <c r="F5" s="180">
        <f>YEAR(E5)</f>
        <v>2022</v>
      </c>
      <c r="G5" s="181">
        <f>G$4</f>
        <v>2023</v>
      </c>
      <c r="H5" s="181">
        <f>G5-F5</f>
        <v>1</v>
      </c>
      <c r="I5" s="181">
        <f>I$4</f>
        <v>2027</v>
      </c>
      <c r="J5" s="181">
        <f>I5-F5</f>
        <v>5</v>
      </c>
      <c r="K5" s="181">
        <f t="shared" ref="K5:K26" si="0">(H5+J5)/2</f>
        <v>3</v>
      </c>
      <c r="L5" s="185">
        <f>IF(AND(K5&gt;0,K5&lt;3),L$99,0)</f>
        <v>0</v>
      </c>
      <c r="M5" s="185">
        <f>IF(AND(K5&gt;2,K5&lt;7),M$99,0)</f>
        <v>70.180000000000007</v>
      </c>
      <c r="N5" s="185">
        <f>IF(AND(K5&gt;6,K5&lt;11),N$99,0)</f>
        <v>0</v>
      </c>
      <c r="O5" s="185">
        <f>IF(AND(K5&gt;10,K5&lt;15),O$99,0)</f>
        <v>0</v>
      </c>
      <c r="P5" s="185">
        <f>IF(AND(K5&gt;14,K5&lt;19),P$99,0)</f>
        <v>0</v>
      </c>
      <c r="Q5" s="185">
        <f>IF(AND(K5&gt;18,K5&lt;21),Q$99,0)</f>
        <v>0</v>
      </c>
      <c r="R5" s="185">
        <f>IF(AND(K5&gt;20,K5&lt;23),R$99,0)</f>
        <v>0</v>
      </c>
      <c r="S5" s="185">
        <f>IF(AND(K5&gt;22,K5&lt;25),S$99,0)</f>
        <v>0</v>
      </c>
      <c r="T5" s="185">
        <f>IF(AND(K5&gt;24,K5&lt;27),T$99,0)</f>
        <v>0</v>
      </c>
      <c r="U5" s="185">
        <f>IF(K5&gt;26,U$99,0)</f>
        <v>0</v>
      </c>
      <c r="V5" s="185">
        <f>IF(A5&gt;0,(SUM(L5:U5)),0)</f>
        <v>70.180000000000007</v>
      </c>
    </row>
    <row r="6" spans="1:22">
      <c r="A6" s="50">
        <f>'A.1_Tabla Costes Subrogación'!A6</f>
        <v>1</v>
      </c>
      <c r="B6" s="54" t="str">
        <f>'A.1_Tabla Costes Subrogación'!B6</f>
        <v xml:space="preserve"> PEÓN  </v>
      </c>
      <c r="C6" s="54"/>
      <c r="D6" s="54"/>
      <c r="E6" s="179">
        <f>'A.1_Tabla Costes Subrogación'!E6</f>
        <v>44858</v>
      </c>
      <c r="F6" s="180">
        <f>YEAR(E6)</f>
        <v>2022</v>
      </c>
      <c r="G6" s="181">
        <f>G$4</f>
        <v>2023</v>
      </c>
      <c r="H6" s="181">
        <f>G6-F6</f>
        <v>1</v>
      </c>
      <c r="I6" s="181">
        <f>I$4</f>
        <v>2027</v>
      </c>
      <c r="J6" s="181">
        <f>I6-F6</f>
        <v>5</v>
      </c>
      <c r="K6" s="181">
        <f t="shared" ref="K6" si="1">(H6+J6)/2</f>
        <v>3</v>
      </c>
      <c r="L6" s="185">
        <f t="shared" ref="L6:L7" si="2">IF(AND(K6&gt;0,K6&lt;3),L$99,0)</f>
        <v>0</v>
      </c>
      <c r="M6" s="185">
        <f t="shared" ref="M6:M7" si="3">IF(AND(K6&gt;2,K6&lt;7),M$99,0)</f>
        <v>70.180000000000007</v>
      </c>
      <c r="N6" s="185">
        <f t="shared" ref="N6:N7" si="4">IF(AND(K6&gt;6,K6&lt;11),N$99,0)</f>
        <v>0</v>
      </c>
      <c r="O6" s="185">
        <f t="shared" ref="O6:O7" si="5">IF(AND(K6&gt;10,K6&lt;15),O$99,0)</f>
        <v>0</v>
      </c>
      <c r="P6" s="185">
        <f t="shared" ref="P6:P7" si="6">IF(AND(K6&gt;14,K6&lt;19),P$99,0)</f>
        <v>0</v>
      </c>
      <c r="Q6" s="185">
        <f t="shared" ref="Q6:Q7" si="7">IF(AND(K6&gt;18,K6&lt;21),Q$99,0)</f>
        <v>0</v>
      </c>
      <c r="R6" s="185">
        <f t="shared" ref="R6:R7" si="8">IF(AND(K6&gt;20,K6&lt;23),R$99,0)</f>
        <v>0</v>
      </c>
      <c r="S6" s="185">
        <f t="shared" ref="S6:S7" si="9">IF(AND(K6&gt;22,K6&lt;25),S$99,0)</f>
        <v>0</v>
      </c>
      <c r="T6" s="185">
        <f t="shared" ref="T6:T7" si="10">IF(AND(K6&gt;24,K6&lt;27),T$99,0)</f>
        <v>0</v>
      </c>
      <c r="U6" s="185">
        <f t="shared" ref="U6:U7" si="11">IF(K6&gt;26,U$99,0)</f>
        <v>0</v>
      </c>
      <c r="V6" s="185">
        <f t="shared" ref="V6:V7" si="12">IF(A6&gt;0,(SUM(L6:U6)),0)</f>
        <v>70.180000000000007</v>
      </c>
    </row>
    <row r="7" spans="1:22">
      <c r="A7" s="50">
        <f>'A.1_Tabla Costes Subrogación'!A7</f>
        <v>1</v>
      </c>
      <c r="B7" s="54" t="str">
        <f>'A.1_Tabla Costes Subrogación'!B7</f>
        <v xml:space="preserve"> PEÓN  </v>
      </c>
      <c r="C7" s="54"/>
      <c r="D7" s="54"/>
      <c r="E7" s="179">
        <f>'A.1_Tabla Costes Subrogación'!E7</f>
        <v>44858</v>
      </c>
      <c r="F7" s="180">
        <f>YEAR(E7)</f>
        <v>2022</v>
      </c>
      <c r="G7" s="181">
        <f>G$4</f>
        <v>2023</v>
      </c>
      <c r="H7" s="181">
        <f>G7-F7</f>
        <v>1</v>
      </c>
      <c r="I7" s="181">
        <f>I$4</f>
        <v>2027</v>
      </c>
      <c r="J7" s="181">
        <f>I7-F7</f>
        <v>5</v>
      </c>
      <c r="K7" s="181">
        <f t="shared" ref="K7" si="13">(H7+J7)/2</f>
        <v>3</v>
      </c>
      <c r="L7" s="185">
        <f t="shared" si="2"/>
        <v>0</v>
      </c>
      <c r="M7" s="185">
        <f t="shared" si="3"/>
        <v>70.180000000000007</v>
      </c>
      <c r="N7" s="185">
        <f t="shared" si="4"/>
        <v>0</v>
      </c>
      <c r="O7" s="185">
        <f t="shared" si="5"/>
        <v>0</v>
      </c>
      <c r="P7" s="185">
        <f t="shared" si="6"/>
        <v>0</v>
      </c>
      <c r="Q7" s="185">
        <f t="shared" si="7"/>
        <v>0</v>
      </c>
      <c r="R7" s="185">
        <f t="shared" si="8"/>
        <v>0</v>
      </c>
      <c r="S7" s="185">
        <f t="shared" si="9"/>
        <v>0</v>
      </c>
      <c r="T7" s="185">
        <f t="shared" si="10"/>
        <v>0</v>
      </c>
      <c r="U7" s="185">
        <f t="shared" si="11"/>
        <v>0</v>
      </c>
      <c r="V7" s="185">
        <f t="shared" si="12"/>
        <v>70.180000000000007</v>
      </c>
    </row>
    <row r="8" spans="1:22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</row>
    <row r="9" spans="1:22">
      <c r="A9" s="50">
        <f>'A.1_Tabla Costes Subrogación'!A9</f>
        <v>1</v>
      </c>
      <c r="B9" s="54" t="str">
        <f>'A.1_Tabla Costes Subrogación'!B9</f>
        <v xml:space="preserve"> AUXILIAR JARD.  </v>
      </c>
      <c r="C9" s="54"/>
      <c r="D9" s="54"/>
      <c r="E9" s="179">
        <f>'A.1_Tabla Costes Subrogación'!E9</f>
        <v>38932</v>
      </c>
      <c r="F9" s="180">
        <f t="shared" ref="F9:F26" si="14">YEAR(E9)</f>
        <v>2006</v>
      </c>
      <c r="G9" s="181">
        <f t="shared" ref="G9:I27" si="15">G$4</f>
        <v>2023</v>
      </c>
      <c r="H9" s="181">
        <f t="shared" ref="H9:H26" si="16">G9-F9</f>
        <v>17</v>
      </c>
      <c r="I9" s="181">
        <f t="shared" si="15"/>
        <v>2027</v>
      </c>
      <c r="J9" s="181">
        <f t="shared" ref="J9:J26" si="17">I9-F9</f>
        <v>21</v>
      </c>
      <c r="K9" s="181">
        <f t="shared" si="0"/>
        <v>19</v>
      </c>
      <c r="L9" s="185">
        <f>IF(AND(K9&gt;0,K9&lt;3),L$99,0)</f>
        <v>0</v>
      </c>
      <c r="M9" s="185">
        <f>IF(AND(K9&gt;2,K9&lt;7),M$99,0)</f>
        <v>0</v>
      </c>
      <c r="N9" s="185">
        <f>IF(AND(K9&gt;6,K9&lt;11),N$99,0)</f>
        <v>0</v>
      </c>
      <c r="O9" s="185">
        <f>IF(AND(K9&gt;10,K9&lt;15),O$99,0)</f>
        <v>0</v>
      </c>
      <c r="P9" s="185">
        <f>IF(AND(K9&gt;14,K9&lt;19),P$99,0)</f>
        <v>0</v>
      </c>
      <c r="Q9" s="185">
        <f>IF(AND(K9&gt;18,K9&lt;21),Q$99,0)</f>
        <v>264.41000000000003</v>
      </c>
      <c r="R9" s="185">
        <f>IF(AND(K9&gt;20,K9&lt;23),R$99,0)</f>
        <v>0</v>
      </c>
      <c r="S9" s="185">
        <f>IF(AND(K9&gt;22,K9&lt;25),S$99,0)</f>
        <v>0</v>
      </c>
      <c r="T9" s="185">
        <f>IF(AND(K9&gt;24,K9&lt;27),T$99,0)</f>
        <v>0</v>
      </c>
      <c r="U9" s="185">
        <f>IF(K9&gt;26,U$99,0)</f>
        <v>0</v>
      </c>
      <c r="V9" s="185">
        <f t="shared" ref="V9:V64" si="18">IF(A9&gt;0,(SUM(L9:U9)),0)</f>
        <v>264.41000000000003</v>
      </c>
    </row>
    <row r="10" spans="1:22">
      <c r="A10" s="50">
        <f>'A.1_Tabla Costes Subrogación'!A10</f>
        <v>1</v>
      </c>
      <c r="B10" s="54" t="str">
        <f>'A.1_Tabla Costes Subrogación'!B10</f>
        <v xml:space="preserve"> AUXILIAR JARD.  </v>
      </c>
      <c r="C10" s="54"/>
      <c r="D10" s="54"/>
      <c r="E10" s="179">
        <f>'A.1_Tabla Costes Subrogación'!E10</f>
        <v>38749</v>
      </c>
      <c r="F10" s="180">
        <f t="shared" si="14"/>
        <v>2006</v>
      </c>
      <c r="G10" s="181">
        <f t="shared" si="15"/>
        <v>2023</v>
      </c>
      <c r="H10" s="181">
        <f t="shared" si="16"/>
        <v>17</v>
      </c>
      <c r="I10" s="181">
        <f t="shared" si="15"/>
        <v>2027</v>
      </c>
      <c r="J10" s="181">
        <f t="shared" si="17"/>
        <v>21</v>
      </c>
      <c r="K10" s="181">
        <f t="shared" si="0"/>
        <v>19</v>
      </c>
      <c r="L10" s="185">
        <f t="shared" ref="L10:L64" si="19">IF(AND(K10&gt;0,K10&lt;3),L$99,0)</f>
        <v>0</v>
      </c>
      <c r="M10" s="185">
        <f t="shared" ref="M10:M64" si="20">IF(AND(K10&gt;2,K10&lt;7),M$99,0)</f>
        <v>0</v>
      </c>
      <c r="N10" s="185">
        <f t="shared" ref="N10:N64" si="21">IF(AND(K10&gt;6,K10&lt;11),N$99,0)</f>
        <v>0</v>
      </c>
      <c r="O10" s="185">
        <f t="shared" ref="O10:O64" si="22">IF(AND(K10&gt;10,K10&lt;15),O$99,0)</f>
        <v>0</v>
      </c>
      <c r="P10" s="185">
        <f t="shared" ref="P10:P64" si="23">IF(AND(K10&gt;14,K10&lt;19),P$99,0)</f>
        <v>0</v>
      </c>
      <c r="Q10" s="185">
        <f t="shared" ref="Q10:Q64" si="24">IF(AND(K10&gt;18,K10&lt;21),Q$99,0)</f>
        <v>264.41000000000003</v>
      </c>
      <c r="R10" s="185">
        <f t="shared" ref="R10:R64" si="25">IF(AND(K10&gt;20,K10&lt;23),R$99,0)</f>
        <v>0</v>
      </c>
      <c r="S10" s="185">
        <f t="shared" ref="S10:S64" si="26">IF(AND(K10&gt;22,K10&lt;25),S$99,0)</f>
        <v>0</v>
      </c>
      <c r="T10" s="185">
        <f t="shared" ref="T10:T64" si="27">IF(AND(K10&gt;24,K10&lt;27),T$99,0)</f>
        <v>0</v>
      </c>
      <c r="U10" s="185">
        <f t="shared" ref="U10:U64" si="28">IF(K10&gt;26,U$99,0)</f>
        <v>0</v>
      </c>
      <c r="V10" s="185">
        <f t="shared" si="18"/>
        <v>264.41000000000003</v>
      </c>
    </row>
    <row r="11" spans="1:22">
      <c r="A11" s="50">
        <f>'A.1_Tabla Costes Subrogación'!A11</f>
        <v>1</v>
      </c>
      <c r="B11" s="54" t="str">
        <f>'A.1_Tabla Costes Subrogación'!B11</f>
        <v xml:space="preserve"> AUXILIAR JARD.  </v>
      </c>
      <c r="C11" s="54"/>
      <c r="D11" s="54"/>
      <c r="E11" s="179">
        <f>'A.1_Tabla Costes Subrogación'!E11</f>
        <v>38749</v>
      </c>
      <c r="F11" s="180">
        <f t="shared" si="14"/>
        <v>2006</v>
      </c>
      <c r="G11" s="181">
        <f t="shared" si="15"/>
        <v>2023</v>
      </c>
      <c r="H11" s="181">
        <f t="shared" si="16"/>
        <v>17</v>
      </c>
      <c r="I11" s="181">
        <f t="shared" si="15"/>
        <v>2027</v>
      </c>
      <c r="J11" s="181">
        <f t="shared" si="17"/>
        <v>21</v>
      </c>
      <c r="K11" s="181">
        <f t="shared" si="0"/>
        <v>19</v>
      </c>
      <c r="L11" s="185">
        <f t="shared" si="19"/>
        <v>0</v>
      </c>
      <c r="M11" s="185">
        <f t="shared" si="20"/>
        <v>0</v>
      </c>
      <c r="N11" s="185">
        <f t="shared" si="21"/>
        <v>0</v>
      </c>
      <c r="O11" s="185">
        <f t="shared" si="22"/>
        <v>0</v>
      </c>
      <c r="P11" s="185">
        <f t="shared" si="23"/>
        <v>0</v>
      </c>
      <c r="Q11" s="185">
        <f t="shared" si="24"/>
        <v>264.41000000000003</v>
      </c>
      <c r="R11" s="185">
        <f t="shared" si="25"/>
        <v>0</v>
      </c>
      <c r="S11" s="185">
        <f t="shared" si="26"/>
        <v>0</v>
      </c>
      <c r="T11" s="185">
        <f t="shared" si="27"/>
        <v>0</v>
      </c>
      <c r="U11" s="185">
        <f t="shared" si="28"/>
        <v>0</v>
      </c>
      <c r="V11" s="185">
        <f t="shared" si="18"/>
        <v>264.41000000000003</v>
      </c>
    </row>
    <row r="12" spans="1:22">
      <c r="A12" s="50">
        <f>'A.1_Tabla Costes Subrogación'!A12</f>
        <v>1</v>
      </c>
      <c r="B12" s="54" t="str">
        <f>'A.1_Tabla Costes Subrogación'!B12</f>
        <v xml:space="preserve"> AUXILIAR JARD.  </v>
      </c>
      <c r="C12" s="54"/>
      <c r="D12" s="54"/>
      <c r="E12" s="179">
        <f>'A.1_Tabla Costes Subrogación'!E12</f>
        <v>38932</v>
      </c>
      <c r="F12" s="180">
        <f t="shared" si="14"/>
        <v>2006</v>
      </c>
      <c r="G12" s="181">
        <f t="shared" si="15"/>
        <v>2023</v>
      </c>
      <c r="H12" s="181">
        <f t="shared" si="16"/>
        <v>17</v>
      </c>
      <c r="I12" s="181">
        <f t="shared" si="15"/>
        <v>2027</v>
      </c>
      <c r="J12" s="181">
        <f t="shared" si="17"/>
        <v>21</v>
      </c>
      <c r="K12" s="181">
        <f t="shared" si="0"/>
        <v>19</v>
      </c>
      <c r="L12" s="185">
        <f t="shared" si="19"/>
        <v>0</v>
      </c>
      <c r="M12" s="185">
        <f t="shared" si="20"/>
        <v>0</v>
      </c>
      <c r="N12" s="185">
        <f t="shared" si="21"/>
        <v>0</v>
      </c>
      <c r="O12" s="185">
        <f t="shared" si="22"/>
        <v>0</v>
      </c>
      <c r="P12" s="185">
        <f t="shared" si="23"/>
        <v>0</v>
      </c>
      <c r="Q12" s="185">
        <f t="shared" si="24"/>
        <v>264.41000000000003</v>
      </c>
      <c r="R12" s="185">
        <f t="shared" si="25"/>
        <v>0</v>
      </c>
      <c r="S12" s="185">
        <f t="shared" si="26"/>
        <v>0</v>
      </c>
      <c r="T12" s="185">
        <f t="shared" si="27"/>
        <v>0</v>
      </c>
      <c r="U12" s="185">
        <f t="shared" si="28"/>
        <v>0</v>
      </c>
      <c r="V12" s="185">
        <f t="shared" si="18"/>
        <v>264.41000000000003</v>
      </c>
    </row>
    <row r="13" spans="1:22">
      <c r="A13" s="50">
        <f>'A.1_Tabla Costes Subrogación'!A13</f>
        <v>1</v>
      </c>
      <c r="B13" s="54" t="str">
        <f>'A.1_Tabla Costes Subrogación'!B13</f>
        <v xml:space="preserve"> AUXILIAR JARD.  </v>
      </c>
      <c r="C13" s="54"/>
      <c r="D13" s="54"/>
      <c r="E13" s="179">
        <f>'A.1_Tabla Costes Subrogación'!E13</f>
        <v>42036</v>
      </c>
      <c r="F13" s="180">
        <f t="shared" si="14"/>
        <v>2015</v>
      </c>
      <c r="G13" s="181">
        <f t="shared" si="15"/>
        <v>2023</v>
      </c>
      <c r="H13" s="181">
        <f t="shared" si="16"/>
        <v>8</v>
      </c>
      <c r="I13" s="181">
        <f t="shared" si="15"/>
        <v>2027</v>
      </c>
      <c r="J13" s="181">
        <f t="shared" si="17"/>
        <v>12</v>
      </c>
      <c r="K13" s="181">
        <f t="shared" si="0"/>
        <v>10</v>
      </c>
      <c r="L13" s="185">
        <f t="shared" si="19"/>
        <v>0</v>
      </c>
      <c r="M13" s="185">
        <f t="shared" si="20"/>
        <v>0</v>
      </c>
      <c r="N13" s="185">
        <f t="shared" si="21"/>
        <v>122.83</v>
      </c>
      <c r="O13" s="185">
        <f t="shared" si="22"/>
        <v>0</v>
      </c>
      <c r="P13" s="185">
        <f t="shared" si="23"/>
        <v>0</v>
      </c>
      <c r="Q13" s="185">
        <f t="shared" si="24"/>
        <v>0</v>
      </c>
      <c r="R13" s="185">
        <f t="shared" si="25"/>
        <v>0</v>
      </c>
      <c r="S13" s="185">
        <f t="shared" si="26"/>
        <v>0</v>
      </c>
      <c r="T13" s="185">
        <f t="shared" si="27"/>
        <v>0</v>
      </c>
      <c r="U13" s="185">
        <f t="shared" si="28"/>
        <v>0</v>
      </c>
      <c r="V13" s="185">
        <f t="shared" si="18"/>
        <v>122.83</v>
      </c>
    </row>
    <row r="14" spans="1:22">
      <c r="A14" s="50">
        <f>'A.1_Tabla Costes Subrogación'!A14</f>
        <v>1</v>
      </c>
      <c r="B14" s="54" t="str">
        <f>'A.1_Tabla Costes Subrogación'!B14</f>
        <v xml:space="preserve"> AUXILIAR JARD.  </v>
      </c>
      <c r="C14" s="54"/>
      <c r="D14" s="54"/>
      <c r="E14" s="179">
        <f>'A.1_Tabla Costes Subrogación'!E14</f>
        <v>38749</v>
      </c>
      <c r="F14" s="180">
        <f t="shared" si="14"/>
        <v>2006</v>
      </c>
      <c r="G14" s="181">
        <f t="shared" si="15"/>
        <v>2023</v>
      </c>
      <c r="H14" s="181">
        <f t="shared" si="16"/>
        <v>17</v>
      </c>
      <c r="I14" s="181">
        <f t="shared" si="15"/>
        <v>2027</v>
      </c>
      <c r="J14" s="181">
        <f t="shared" si="17"/>
        <v>21</v>
      </c>
      <c r="K14" s="181">
        <f t="shared" si="0"/>
        <v>19</v>
      </c>
      <c r="L14" s="185">
        <f t="shared" si="19"/>
        <v>0</v>
      </c>
      <c r="M14" s="185">
        <f t="shared" si="20"/>
        <v>0</v>
      </c>
      <c r="N14" s="185">
        <f t="shared" si="21"/>
        <v>0</v>
      </c>
      <c r="O14" s="185">
        <f t="shared" si="22"/>
        <v>0</v>
      </c>
      <c r="P14" s="185">
        <f t="shared" si="23"/>
        <v>0</v>
      </c>
      <c r="Q14" s="185">
        <f t="shared" si="24"/>
        <v>264.41000000000003</v>
      </c>
      <c r="R14" s="185">
        <f t="shared" si="25"/>
        <v>0</v>
      </c>
      <c r="S14" s="185">
        <f t="shared" si="26"/>
        <v>0</v>
      </c>
      <c r="T14" s="185">
        <f t="shared" si="27"/>
        <v>0</v>
      </c>
      <c r="U14" s="185">
        <f t="shared" si="28"/>
        <v>0</v>
      </c>
      <c r="V14" s="185">
        <f t="shared" si="18"/>
        <v>264.41000000000003</v>
      </c>
    </row>
    <row r="15" spans="1:22">
      <c r="A15" s="50">
        <f>'A.1_Tabla Costes Subrogación'!A15</f>
        <v>1</v>
      </c>
      <c r="B15" s="54" t="str">
        <f>'A.1_Tabla Costes Subrogación'!B15</f>
        <v xml:space="preserve"> AUXILIAR JARD.  </v>
      </c>
      <c r="C15" s="54"/>
      <c r="D15" s="54"/>
      <c r="E15" s="179">
        <f>'A.1_Tabla Costes Subrogación'!E15</f>
        <v>40250</v>
      </c>
      <c r="F15" s="180">
        <f t="shared" si="14"/>
        <v>2010</v>
      </c>
      <c r="G15" s="181">
        <f t="shared" si="15"/>
        <v>2023</v>
      </c>
      <c r="H15" s="181">
        <f t="shared" si="16"/>
        <v>13</v>
      </c>
      <c r="I15" s="181">
        <f t="shared" si="15"/>
        <v>2027</v>
      </c>
      <c r="J15" s="181">
        <f t="shared" si="17"/>
        <v>17</v>
      </c>
      <c r="K15" s="181">
        <f t="shared" si="0"/>
        <v>15</v>
      </c>
      <c r="L15" s="185">
        <f t="shared" si="19"/>
        <v>0</v>
      </c>
      <c r="M15" s="185">
        <f t="shared" si="20"/>
        <v>0</v>
      </c>
      <c r="N15" s="185">
        <f t="shared" si="21"/>
        <v>0</v>
      </c>
      <c r="O15" s="185">
        <f t="shared" si="22"/>
        <v>0</v>
      </c>
      <c r="P15" s="185">
        <f t="shared" si="23"/>
        <v>219.94</v>
      </c>
      <c r="Q15" s="185">
        <f t="shared" si="24"/>
        <v>0</v>
      </c>
      <c r="R15" s="185">
        <f t="shared" si="25"/>
        <v>0</v>
      </c>
      <c r="S15" s="185">
        <f t="shared" si="26"/>
        <v>0</v>
      </c>
      <c r="T15" s="185">
        <f t="shared" si="27"/>
        <v>0</v>
      </c>
      <c r="U15" s="185">
        <f t="shared" si="28"/>
        <v>0</v>
      </c>
      <c r="V15" s="185">
        <f t="shared" si="18"/>
        <v>219.94</v>
      </c>
    </row>
    <row r="16" spans="1:22">
      <c r="A16" s="50">
        <f>'A.1_Tabla Costes Subrogación'!A16</f>
        <v>1</v>
      </c>
      <c r="B16" s="54" t="str">
        <f>'A.1_Tabla Costes Subrogación'!B16</f>
        <v xml:space="preserve"> AUXILIAR JARD.  </v>
      </c>
      <c r="C16" s="54"/>
      <c r="D16" s="54"/>
      <c r="E16" s="179">
        <f>'A.1_Tabla Costes Subrogación'!E16</f>
        <v>39038</v>
      </c>
      <c r="F16" s="180">
        <f t="shared" si="14"/>
        <v>2006</v>
      </c>
      <c r="G16" s="181">
        <f t="shared" si="15"/>
        <v>2023</v>
      </c>
      <c r="H16" s="181">
        <f t="shared" si="16"/>
        <v>17</v>
      </c>
      <c r="I16" s="181">
        <f t="shared" si="15"/>
        <v>2027</v>
      </c>
      <c r="J16" s="181">
        <f t="shared" si="17"/>
        <v>21</v>
      </c>
      <c r="K16" s="181">
        <f t="shared" si="0"/>
        <v>19</v>
      </c>
      <c r="L16" s="185">
        <f t="shared" si="19"/>
        <v>0</v>
      </c>
      <c r="M16" s="185">
        <f t="shared" si="20"/>
        <v>0</v>
      </c>
      <c r="N16" s="185">
        <f t="shared" si="21"/>
        <v>0</v>
      </c>
      <c r="O16" s="185">
        <f t="shared" si="22"/>
        <v>0</v>
      </c>
      <c r="P16" s="185">
        <f t="shared" si="23"/>
        <v>0</v>
      </c>
      <c r="Q16" s="185">
        <f t="shared" si="24"/>
        <v>264.41000000000003</v>
      </c>
      <c r="R16" s="185">
        <f t="shared" si="25"/>
        <v>0</v>
      </c>
      <c r="S16" s="185">
        <f t="shared" si="26"/>
        <v>0</v>
      </c>
      <c r="T16" s="185">
        <f t="shared" si="27"/>
        <v>0</v>
      </c>
      <c r="U16" s="185">
        <f t="shared" si="28"/>
        <v>0</v>
      </c>
      <c r="V16" s="185">
        <f t="shared" si="18"/>
        <v>264.41000000000003</v>
      </c>
    </row>
    <row r="17" spans="1:22">
      <c r="A17" s="50">
        <f>'A.1_Tabla Costes Subrogación'!A17</f>
        <v>1</v>
      </c>
      <c r="B17" s="54" t="str">
        <f>'A.1_Tabla Costes Subrogación'!B17</f>
        <v xml:space="preserve"> AUXILIAR JARD.  </v>
      </c>
      <c r="C17" s="54"/>
      <c r="D17" s="54"/>
      <c r="E17" s="179">
        <f>'A.1_Tabla Costes Subrogación'!E17</f>
        <v>39663</v>
      </c>
      <c r="F17" s="180">
        <f t="shared" si="14"/>
        <v>2008</v>
      </c>
      <c r="G17" s="181">
        <f t="shared" si="15"/>
        <v>2023</v>
      </c>
      <c r="H17" s="181">
        <f t="shared" si="16"/>
        <v>15</v>
      </c>
      <c r="I17" s="181">
        <f t="shared" si="15"/>
        <v>2027</v>
      </c>
      <c r="J17" s="181">
        <f t="shared" si="17"/>
        <v>19</v>
      </c>
      <c r="K17" s="181">
        <f t="shared" si="0"/>
        <v>17</v>
      </c>
      <c r="L17" s="185">
        <f t="shared" si="19"/>
        <v>0</v>
      </c>
      <c r="M17" s="185">
        <f t="shared" si="20"/>
        <v>0</v>
      </c>
      <c r="N17" s="185">
        <f t="shared" si="21"/>
        <v>0</v>
      </c>
      <c r="O17" s="185">
        <f t="shared" si="22"/>
        <v>0</v>
      </c>
      <c r="P17" s="185">
        <f t="shared" si="23"/>
        <v>219.94</v>
      </c>
      <c r="Q17" s="185">
        <f t="shared" si="24"/>
        <v>0</v>
      </c>
      <c r="R17" s="185">
        <f t="shared" si="25"/>
        <v>0</v>
      </c>
      <c r="S17" s="185">
        <f t="shared" si="26"/>
        <v>0</v>
      </c>
      <c r="T17" s="185">
        <f t="shared" si="27"/>
        <v>0</v>
      </c>
      <c r="U17" s="185">
        <f t="shared" si="28"/>
        <v>0</v>
      </c>
      <c r="V17" s="185">
        <f t="shared" si="18"/>
        <v>219.94</v>
      </c>
    </row>
    <row r="18" spans="1:22">
      <c r="A18" s="50">
        <f>'A.1_Tabla Costes Subrogación'!A18</f>
        <v>1</v>
      </c>
      <c r="B18" s="54" t="str">
        <f>'A.1_Tabla Costes Subrogación'!B18</f>
        <v xml:space="preserve"> AUXILIAR JARD.  </v>
      </c>
      <c r="C18" s="54"/>
      <c r="D18" s="54"/>
      <c r="E18" s="179">
        <f>'A.1_Tabla Costes Subrogación'!E18</f>
        <v>39650</v>
      </c>
      <c r="F18" s="180">
        <f t="shared" si="14"/>
        <v>2008</v>
      </c>
      <c r="G18" s="181">
        <f t="shared" si="15"/>
        <v>2023</v>
      </c>
      <c r="H18" s="181">
        <f t="shared" si="16"/>
        <v>15</v>
      </c>
      <c r="I18" s="181">
        <f t="shared" si="15"/>
        <v>2027</v>
      </c>
      <c r="J18" s="181">
        <f t="shared" si="17"/>
        <v>19</v>
      </c>
      <c r="K18" s="181">
        <f t="shared" si="0"/>
        <v>17</v>
      </c>
      <c r="L18" s="185">
        <f t="shared" si="19"/>
        <v>0</v>
      </c>
      <c r="M18" s="185">
        <f t="shared" si="20"/>
        <v>0</v>
      </c>
      <c r="N18" s="185">
        <f t="shared" si="21"/>
        <v>0</v>
      </c>
      <c r="O18" s="185">
        <f t="shared" si="22"/>
        <v>0</v>
      </c>
      <c r="P18" s="185">
        <f t="shared" si="23"/>
        <v>219.94</v>
      </c>
      <c r="Q18" s="185">
        <f t="shared" si="24"/>
        <v>0</v>
      </c>
      <c r="R18" s="185">
        <f t="shared" si="25"/>
        <v>0</v>
      </c>
      <c r="S18" s="185">
        <f t="shared" si="26"/>
        <v>0</v>
      </c>
      <c r="T18" s="185">
        <f t="shared" si="27"/>
        <v>0</v>
      </c>
      <c r="U18" s="185">
        <f t="shared" si="28"/>
        <v>0</v>
      </c>
      <c r="V18" s="185">
        <f t="shared" si="18"/>
        <v>219.94</v>
      </c>
    </row>
    <row r="19" spans="1:22">
      <c r="A19" s="50">
        <f>'A.1_Tabla Costes Subrogación'!A19</f>
        <v>1</v>
      </c>
      <c r="B19" s="54" t="str">
        <f>'A.1_Tabla Costes Subrogación'!B19</f>
        <v xml:space="preserve"> AUXILIAR JARD.  </v>
      </c>
      <c r="C19" s="54"/>
      <c r="D19" s="54"/>
      <c r="E19" s="179">
        <f>'A.1_Tabla Costes Subrogación'!E19</f>
        <v>38749</v>
      </c>
      <c r="F19" s="180">
        <f t="shared" si="14"/>
        <v>2006</v>
      </c>
      <c r="G19" s="181">
        <f t="shared" si="15"/>
        <v>2023</v>
      </c>
      <c r="H19" s="181">
        <f t="shared" si="16"/>
        <v>17</v>
      </c>
      <c r="I19" s="181">
        <f t="shared" si="15"/>
        <v>2027</v>
      </c>
      <c r="J19" s="181">
        <f t="shared" si="17"/>
        <v>21</v>
      </c>
      <c r="K19" s="181">
        <f t="shared" si="0"/>
        <v>19</v>
      </c>
      <c r="L19" s="185">
        <f t="shared" si="19"/>
        <v>0</v>
      </c>
      <c r="M19" s="185">
        <f t="shared" si="20"/>
        <v>0</v>
      </c>
      <c r="N19" s="185">
        <f t="shared" si="21"/>
        <v>0</v>
      </c>
      <c r="O19" s="185">
        <f t="shared" si="22"/>
        <v>0</v>
      </c>
      <c r="P19" s="185">
        <f t="shared" si="23"/>
        <v>0</v>
      </c>
      <c r="Q19" s="185">
        <f t="shared" si="24"/>
        <v>264.41000000000003</v>
      </c>
      <c r="R19" s="185">
        <f t="shared" si="25"/>
        <v>0</v>
      </c>
      <c r="S19" s="185">
        <f t="shared" si="26"/>
        <v>0</v>
      </c>
      <c r="T19" s="185">
        <f t="shared" si="27"/>
        <v>0</v>
      </c>
      <c r="U19" s="185">
        <f t="shared" si="28"/>
        <v>0</v>
      </c>
      <c r="V19" s="185">
        <f t="shared" si="18"/>
        <v>264.41000000000003</v>
      </c>
    </row>
    <row r="20" spans="1:22">
      <c r="A20" s="50">
        <f>'A.1_Tabla Costes Subrogación'!A20</f>
        <v>1</v>
      </c>
      <c r="B20" s="54" t="str">
        <f>'A.1_Tabla Costes Subrogación'!B20</f>
        <v xml:space="preserve"> AUXILIAR JARD.  </v>
      </c>
      <c r="C20" s="54"/>
      <c r="D20" s="54"/>
      <c r="E20" s="179">
        <f>'A.1_Tabla Costes Subrogación'!E20</f>
        <v>38749</v>
      </c>
      <c r="F20" s="180">
        <f t="shared" si="14"/>
        <v>2006</v>
      </c>
      <c r="G20" s="181">
        <f t="shared" si="15"/>
        <v>2023</v>
      </c>
      <c r="H20" s="181">
        <f t="shared" si="16"/>
        <v>17</v>
      </c>
      <c r="I20" s="181">
        <f t="shared" si="15"/>
        <v>2027</v>
      </c>
      <c r="J20" s="181">
        <f t="shared" si="17"/>
        <v>21</v>
      </c>
      <c r="K20" s="181">
        <f t="shared" si="0"/>
        <v>19</v>
      </c>
      <c r="L20" s="185">
        <f t="shared" si="19"/>
        <v>0</v>
      </c>
      <c r="M20" s="185">
        <f t="shared" si="20"/>
        <v>0</v>
      </c>
      <c r="N20" s="185">
        <f t="shared" si="21"/>
        <v>0</v>
      </c>
      <c r="O20" s="185">
        <f t="shared" si="22"/>
        <v>0</v>
      </c>
      <c r="P20" s="185">
        <f t="shared" si="23"/>
        <v>0</v>
      </c>
      <c r="Q20" s="185">
        <f t="shared" si="24"/>
        <v>264.41000000000003</v>
      </c>
      <c r="R20" s="185">
        <f t="shared" si="25"/>
        <v>0</v>
      </c>
      <c r="S20" s="185">
        <f t="shared" si="26"/>
        <v>0</v>
      </c>
      <c r="T20" s="185">
        <f t="shared" si="27"/>
        <v>0</v>
      </c>
      <c r="U20" s="185">
        <f t="shared" si="28"/>
        <v>0</v>
      </c>
      <c r="V20" s="185">
        <f t="shared" si="18"/>
        <v>264.41000000000003</v>
      </c>
    </row>
    <row r="21" spans="1:22">
      <c r="A21" s="50">
        <f>'A.1_Tabla Costes Subrogación'!A21</f>
        <v>1</v>
      </c>
      <c r="B21" s="54" t="str">
        <f>'A.1_Tabla Costes Subrogación'!B21</f>
        <v xml:space="preserve"> AUXILIAR JARD.  </v>
      </c>
      <c r="C21" s="54"/>
      <c r="D21" s="54"/>
      <c r="E21" s="179">
        <f>'A.1_Tabla Costes Subrogación'!E21</f>
        <v>40196</v>
      </c>
      <c r="F21" s="180">
        <f t="shared" si="14"/>
        <v>2010</v>
      </c>
      <c r="G21" s="181">
        <f t="shared" si="15"/>
        <v>2023</v>
      </c>
      <c r="H21" s="181">
        <f t="shared" si="16"/>
        <v>13</v>
      </c>
      <c r="I21" s="181">
        <f t="shared" si="15"/>
        <v>2027</v>
      </c>
      <c r="J21" s="181">
        <f t="shared" si="17"/>
        <v>17</v>
      </c>
      <c r="K21" s="181">
        <f t="shared" si="0"/>
        <v>15</v>
      </c>
      <c r="L21" s="185">
        <f t="shared" si="19"/>
        <v>0</v>
      </c>
      <c r="M21" s="185">
        <f t="shared" si="20"/>
        <v>0</v>
      </c>
      <c r="N21" s="185">
        <f t="shared" si="21"/>
        <v>0</v>
      </c>
      <c r="O21" s="185">
        <f t="shared" si="22"/>
        <v>0</v>
      </c>
      <c r="P21" s="185">
        <f t="shared" si="23"/>
        <v>219.94</v>
      </c>
      <c r="Q21" s="185">
        <f t="shared" si="24"/>
        <v>0</v>
      </c>
      <c r="R21" s="185">
        <f t="shared" si="25"/>
        <v>0</v>
      </c>
      <c r="S21" s="185">
        <f t="shared" si="26"/>
        <v>0</v>
      </c>
      <c r="T21" s="185">
        <f t="shared" si="27"/>
        <v>0</v>
      </c>
      <c r="U21" s="185">
        <f t="shared" si="28"/>
        <v>0</v>
      </c>
      <c r="V21" s="185">
        <f t="shared" si="18"/>
        <v>219.94</v>
      </c>
    </row>
    <row r="22" spans="1:22">
      <c r="A22" s="50">
        <f>'A.1_Tabla Costes Subrogación'!A22</f>
        <v>1</v>
      </c>
      <c r="B22" s="54" t="str">
        <f>'A.1_Tabla Costes Subrogación'!B22</f>
        <v xml:space="preserve"> AUXILIAR JARD.  </v>
      </c>
      <c r="C22" s="54"/>
      <c r="D22" s="54"/>
      <c r="E22" s="179">
        <f>'A.1_Tabla Costes Subrogación'!E22</f>
        <v>39539</v>
      </c>
      <c r="F22" s="180">
        <f t="shared" si="14"/>
        <v>2008</v>
      </c>
      <c r="G22" s="181">
        <f t="shared" si="15"/>
        <v>2023</v>
      </c>
      <c r="H22" s="181">
        <f t="shared" si="16"/>
        <v>15</v>
      </c>
      <c r="I22" s="181">
        <f t="shared" si="15"/>
        <v>2027</v>
      </c>
      <c r="J22" s="181">
        <f t="shared" si="17"/>
        <v>19</v>
      </c>
      <c r="K22" s="181">
        <f t="shared" si="0"/>
        <v>17</v>
      </c>
      <c r="L22" s="185">
        <f t="shared" si="19"/>
        <v>0</v>
      </c>
      <c r="M22" s="185">
        <f t="shared" si="20"/>
        <v>0</v>
      </c>
      <c r="N22" s="185">
        <f t="shared" si="21"/>
        <v>0</v>
      </c>
      <c r="O22" s="185">
        <f t="shared" si="22"/>
        <v>0</v>
      </c>
      <c r="P22" s="185">
        <f t="shared" si="23"/>
        <v>219.94</v>
      </c>
      <c r="Q22" s="185">
        <f t="shared" si="24"/>
        <v>0</v>
      </c>
      <c r="R22" s="185">
        <f t="shared" si="25"/>
        <v>0</v>
      </c>
      <c r="S22" s="185">
        <f t="shared" si="26"/>
        <v>0</v>
      </c>
      <c r="T22" s="185">
        <f t="shared" si="27"/>
        <v>0</v>
      </c>
      <c r="U22" s="185">
        <f t="shared" si="28"/>
        <v>0</v>
      </c>
      <c r="V22" s="185">
        <f t="shared" si="18"/>
        <v>219.94</v>
      </c>
    </row>
    <row r="23" spans="1:22">
      <c r="A23" s="50">
        <f>'A.1_Tabla Costes Subrogación'!A23</f>
        <v>1</v>
      </c>
      <c r="B23" s="54" t="str">
        <f>'A.1_Tabla Costes Subrogación'!B23</f>
        <v xml:space="preserve"> AUXILIAR JARD.  </v>
      </c>
      <c r="C23" s="54"/>
      <c r="D23" s="54"/>
      <c r="E23" s="179">
        <f>'A.1_Tabla Costes Subrogación'!E23</f>
        <v>38749</v>
      </c>
      <c r="F23" s="180">
        <f t="shared" si="14"/>
        <v>2006</v>
      </c>
      <c r="G23" s="181">
        <f t="shared" si="15"/>
        <v>2023</v>
      </c>
      <c r="H23" s="181">
        <f t="shared" si="16"/>
        <v>17</v>
      </c>
      <c r="I23" s="181">
        <f t="shared" si="15"/>
        <v>2027</v>
      </c>
      <c r="J23" s="181">
        <f t="shared" si="17"/>
        <v>21</v>
      </c>
      <c r="K23" s="181">
        <f t="shared" si="0"/>
        <v>19</v>
      </c>
      <c r="L23" s="185">
        <f t="shared" si="19"/>
        <v>0</v>
      </c>
      <c r="M23" s="185">
        <f t="shared" si="20"/>
        <v>0</v>
      </c>
      <c r="N23" s="185">
        <f t="shared" si="21"/>
        <v>0</v>
      </c>
      <c r="O23" s="185">
        <f t="shared" si="22"/>
        <v>0</v>
      </c>
      <c r="P23" s="185">
        <f t="shared" si="23"/>
        <v>0</v>
      </c>
      <c r="Q23" s="185">
        <f t="shared" si="24"/>
        <v>264.41000000000003</v>
      </c>
      <c r="R23" s="185">
        <f t="shared" si="25"/>
        <v>0</v>
      </c>
      <c r="S23" s="185">
        <f t="shared" si="26"/>
        <v>0</v>
      </c>
      <c r="T23" s="185">
        <f t="shared" si="27"/>
        <v>0</v>
      </c>
      <c r="U23" s="185">
        <f t="shared" si="28"/>
        <v>0</v>
      </c>
      <c r="V23" s="185">
        <f t="shared" si="18"/>
        <v>264.41000000000003</v>
      </c>
    </row>
    <row r="24" spans="1:22">
      <c r="A24" s="50">
        <f>'A.1_Tabla Costes Subrogación'!A24</f>
        <v>1</v>
      </c>
      <c r="B24" s="54" t="str">
        <f>'A.1_Tabla Costes Subrogación'!B24</f>
        <v xml:space="preserve"> AUXILIAR JARD.  </v>
      </c>
      <c r="C24" s="54"/>
      <c r="D24" s="54"/>
      <c r="E24" s="179">
        <f>'A.1_Tabla Costes Subrogación'!E24</f>
        <v>38749</v>
      </c>
      <c r="F24" s="180">
        <f t="shared" si="14"/>
        <v>2006</v>
      </c>
      <c r="G24" s="181">
        <f t="shared" si="15"/>
        <v>2023</v>
      </c>
      <c r="H24" s="181">
        <f t="shared" si="16"/>
        <v>17</v>
      </c>
      <c r="I24" s="181">
        <f t="shared" si="15"/>
        <v>2027</v>
      </c>
      <c r="J24" s="181">
        <f t="shared" si="17"/>
        <v>21</v>
      </c>
      <c r="K24" s="181">
        <f t="shared" si="0"/>
        <v>19</v>
      </c>
      <c r="L24" s="185">
        <f t="shared" si="19"/>
        <v>0</v>
      </c>
      <c r="M24" s="185">
        <f t="shared" si="20"/>
        <v>0</v>
      </c>
      <c r="N24" s="185">
        <f t="shared" si="21"/>
        <v>0</v>
      </c>
      <c r="O24" s="185">
        <f t="shared" si="22"/>
        <v>0</v>
      </c>
      <c r="P24" s="185">
        <f t="shared" si="23"/>
        <v>0</v>
      </c>
      <c r="Q24" s="185">
        <f t="shared" si="24"/>
        <v>264.41000000000003</v>
      </c>
      <c r="R24" s="185">
        <f t="shared" si="25"/>
        <v>0</v>
      </c>
      <c r="S24" s="185">
        <f t="shared" si="26"/>
        <v>0</v>
      </c>
      <c r="T24" s="185">
        <f t="shared" si="27"/>
        <v>0</v>
      </c>
      <c r="U24" s="185">
        <f t="shared" si="28"/>
        <v>0</v>
      </c>
      <c r="V24" s="185">
        <f t="shared" si="18"/>
        <v>264.41000000000003</v>
      </c>
    </row>
    <row r="25" spans="1:22">
      <c r="A25" s="50">
        <f>'A.1_Tabla Costes Subrogación'!A25</f>
        <v>1</v>
      </c>
      <c r="B25" s="54" t="str">
        <f>'A.1_Tabla Costes Subrogación'!B25</f>
        <v xml:space="preserve"> AUXILIAR JARD.  </v>
      </c>
      <c r="C25" s="54"/>
      <c r="D25" s="54"/>
      <c r="E25" s="179">
        <f>'A.1_Tabla Costes Subrogación'!E25</f>
        <v>35827</v>
      </c>
      <c r="F25" s="180">
        <f t="shared" si="14"/>
        <v>1998</v>
      </c>
      <c r="G25" s="181">
        <f t="shared" si="15"/>
        <v>2023</v>
      </c>
      <c r="H25" s="181">
        <f t="shared" si="16"/>
        <v>25</v>
      </c>
      <c r="I25" s="181">
        <f t="shared" si="15"/>
        <v>2027</v>
      </c>
      <c r="J25" s="181">
        <f t="shared" si="17"/>
        <v>29</v>
      </c>
      <c r="K25" s="181">
        <f t="shared" si="0"/>
        <v>27</v>
      </c>
      <c r="L25" s="185">
        <f t="shared" si="19"/>
        <v>0</v>
      </c>
      <c r="M25" s="185">
        <f t="shared" si="20"/>
        <v>0</v>
      </c>
      <c r="N25" s="185">
        <f t="shared" si="21"/>
        <v>0</v>
      </c>
      <c r="O25" s="185">
        <f t="shared" si="22"/>
        <v>0</v>
      </c>
      <c r="P25" s="185">
        <f t="shared" si="23"/>
        <v>0</v>
      </c>
      <c r="Q25" s="185">
        <f t="shared" si="24"/>
        <v>0</v>
      </c>
      <c r="R25" s="185">
        <f t="shared" si="25"/>
        <v>0</v>
      </c>
      <c r="S25" s="185">
        <f t="shared" si="26"/>
        <v>0</v>
      </c>
      <c r="T25" s="185">
        <f t="shared" si="27"/>
        <v>0</v>
      </c>
      <c r="U25" s="185">
        <f t="shared" si="28"/>
        <v>421.15</v>
      </c>
      <c r="V25" s="185">
        <f t="shared" si="18"/>
        <v>421.15</v>
      </c>
    </row>
    <row r="26" spans="1:22">
      <c r="A26" s="50">
        <f>'A.1_Tabla Costes Subrogación'!A26</f>
        <v>1</v>
      </c>
      <c r="B26" s="54" t="str">
        <f>'A.1_Tabla Costes Subrogación'!B26</f>
        <v xml:space="preserve"> AUXILIAR JARD.  </v>
      </c>
      <c r="C26" s="54"/>
      <c r="D26" s="54"/>
      <c r="E26" s="179">
        <f>'A.1_Tabla Costes Subrogación'!E26</f>
        <v>38749</v>
      </c>
      <c r="F26" s="180">
        <f t="shared" si="14"/>
        <v>2006</v>
      </c>
      <c r="G26" s="181">
        <f t="shared" si="15"/>
        <v>2023</v>
      </c>
      <c r="H26" s="181">
        <f t="shared" si="16"/>
        <v>17</v>
      </c>
      <c r="I26" s="181">
        <f t="shared" si="15"/>
        <v>2027</v>
      </c>
      <c r="J26" s="181">
        <f t="shared" si="17"/>
        <v>21</v>
      </c>
      <c r="K26" s="181">
        <f t="shared" si="0"/>
        <v>19</v>
      </c>
      <c r="L26" s="185">
        <f t="shared" si="19"/>
        <v>0</v>
      </c>
      <c r="M26" s="185">
        <f t="shared" si="20"/>
        <v>0</v>
      </c>
      <c r="N26" s="185">
        <f t="shared" si="21"/>
        <v>0</v>
      </c>
      <c r="O26" s="185">
        <f t="shared" si="22"/>
        <v>0</v>
      </c>
      <c r="P26" s="185">
        <f t="shared" si="23"/>
        <v>0</v>
      </c>
      <c r="Q26" s="185">
        <f t="shared" si="24"/>
        <v>264.41000000000003</v>
      </c>
      <c r="R26" s="185">
        <f t="shared" si="25"/>
        <v>0</v>
      </c>
      <c r="S26" s="185">
        <f t="shared" si="26"/>
        <v>0</v>
      </c>
      <c r="T26" s="185">
        <f t="shared" si="27"/>
        <v>0</v>
      </c>
      <c r="U26" s="185">
        <f t="shared" si="28"/>
        <v>0</v>
      </c>
      <c r="V26" s="185">
        <f t="shared" si="18"/>
        <v>264.41000000000003</v>
      </c>
    </row>
    <row r="27" spans="1:22">
      <c r="A27" s="50">
        <f>'A.1_Tabla Costes Subrogación'!A27</f>
        <v>1</v>
      </c>
      <c r="B27" s="54" t="str">
        <f>'A.1_Tabla Costes Subrogación'!B27</f>
        <v xml:space="preserve"> AUXILIAR JARD.  </v>
      </c>
      <c r="C27" s="54"/>
      <c r="D27" s="54"/>
      <c r="E27" s="179">
        <f>'A.1_Tabla Costes Subrogación'!E27</f>
        <v>38932</v>
      </c>
      <c r="F27" s="180">
        <f t="shared" ref="F27:F62" si="29">YEAR(E27)</f>
        <v>2006</v>
      </c>
      <c r="G27" s="181">
        <f t="shared" si="15"/>
        <v>2023</v>
      </c>
      <c r="H27" s="181">
        <f t="shared" ref="H27:H62" si="30">G27-F27</f>
        <v>17</v>
      </c>
      <c r="I27" s="181">
        <f t="shared" si="15"/>
        <v>2027</v>
      </c>
      <c r="J27" s="181">
        <f t="shared" ref="J27:J62" si="31">I27-F27</f>
        <v>21</v>
      </c>
      <c r="K27" s="181">
        <f t="shared" ref="K27:K62" si="32">(H27+J27)/2</f>
        <v>19</v>
      </c>
      <c r="L27" s="185">
        <f t="shared" si="19"/>
        <v>0</v>
      </c>
      <c r="M27" s="185">
        <f t="shared" si="20"/>
        <v>0</v>
      </c>
      <c r="N27" s="185">
        <f t="shared" si="21"/>
        <v>0</v>
      </c>
      <c r="O27" s="185">
        <f t="shared" si="22"/>
        <v>0</v>
      </c>
      <c r="P27" s="185">
        <f t="shared" si="23"/>
        <v>0</v>
      </c>
      <c r="Q27" s="185">
        <f t="shared" si="24"/>
        <v>264.41000000000003</v>
      </c>
      <c r="R27" s="185">
        <f t="shared" si="25"/>
        <v>0</v>
      </c>
      <c r="S27" s="185">
        <f t="shared" si="26"/>
        <v>0</v>
      </c>
      <c r="T27" s="185">
        <f t="shared" si="27"/>
        <v>0</v>
      </c>
      <c r="U27" s="185">
        <f t="shared" si="28"/>
        <v>0</v>
      </c>
      <c r="V27" s="185">
        <f t="shared" si="18"/>
        <v>264.41000000000003</v>
      </c>
    </row>
    <row r="28" spans="1:22">
      <c r="A28" s="50">
        <f>'A.1_Tabla Costes Subrogación'!A28</f>
        <v>1</v>
      </c>
      <c r="B28" s="54" t="str">
        <f>'A.1_Tabla Costes Subrogación'!B28</f>
        <v xml:space="preserve"> AUXILIAR JARD.  </v>
      </c>
      <c r="C28" s="54"/>
      <c r="D28" s="54"/>
      <c r="E28" s="179">
        <f>'A.1_Tabla Costes Subrogación'!E28</f>
        <v>38749</v>
      </c>
      <c r="F28" s="180">
        <f t="shared" si="29"/>
        <v>2006</v>
      </c>
      <c r="G28" s="181">
        <f t="shared" ref="G28:I44" si="33">G$4</f>
        <v>2023</v>
      </c>
      <c r="H28" s="181">
        <f t="shared" si="30"/>
        <v>17</v>
      </c>
      <c r="I28" s="181">
        <f t="shared" si="33"/>
        <v>2027</v>
      </c>
      <c r="J28" s="181">
        <f t="shared" si="31"/>
        <v>21</v>
      </c>
      <c r="K28" s="181">
        <f t="shared" si="32"/>
        <v>19</v>
      </c>
      <c r="L28" s="185">
        <f t="shared" si="19"/>
        <v>0</v>
      </c>
      <c r="M28" s="185">
        <f t="shared" si="20"/>
        <v>0</v>
      </c>
      <c r="N28" s="185">
        <f t="shared" si="21"/>
        <v>0</v>
      </c>
      <c r="O28" s="185">
        <f t="shared" si="22"/>
        <v>0</v>
      </c>
      <c r="P28" s="185">
        <f t="shared" si="23"/>
        <v>0</v>
      </c>
      <c r="Q28" s="185">
        <f t="shared" si="24"/>
        <v>264.41000000000003</v>
      </c>
      <c r="R28" s="185">
        <f t="shared" si="25"/>
        <v>0</v>
      </c>
      <c r="S28" s="185">
        <f t="shared" si="26"/>
        <v>0</v>
      </c>
      <c r="T28" s="185">
        <f t="shared" si="27"/>
        <v>0</v>
      </c>
      <c r="U28" s="185">
        <f t="shared" si="28"/>
        <v>0</v>
      </c>
      <c r="V28" s="185">
        <f t="shared" si="18"/>
        <v>264.41000000000003</v>
      </c>
    </row>
    <row r="29" spans="1:22">
      <c r="A29" s="50">
        <f>'A.1_Tabla Costes Subrogación'!A29</f>
        <v>1</v>
      </c>
      <c r="B29" s="54" t="str">
        <f>'A.1_Tabla Costes Subrogación'!B29</f>
        <v xml:space="preserve"> AUXILIAR JARD.  </v>
      </c>
      <c r="C29" s="54"/>
      <c r="D29" s="54"/>
      <c r="E29" s="179">
        <f>'A.1_Tabla Costes Subrogación'!E29</f>
        <v>38749</v>
      </c>
      <c r="F29" s="180">
        <f t="shared" si="29"/>
        <v>2006</v>
      </c>
      <c r="G29" s="181">
        <f t="shared" si="33"/>
        <v>2023</v>
      </c>
      <c r="H29" s="181">
        <f t="shared" si="30"/>
        <v>17</v>
      </c>
      <c r="I29" s="181">
        <f t="shared" si="33"/>
        <v>2027</v>
      </c>
      <c r="J29" s="181">
        <f t="shared" si="31"/>
        <v>21</v>
      </c>
      <c r="K29" s="181">
        <f t="shared" si="32"/>
        <v>19</v>
      </c>
      <c r="L29" s="185">
        <f t="shared" si="19"/>
        <v>0</v>
      </c>
      <c r="M29" s="185">
        <f t="shared" si="20"/>
        <v>0</v>
      </c>
      <c r="N29" s="185">
        <f t="shared" si="21"/>
        <v>0</v>
      </c>
      <c r="O29" s="185">
        <f t="shared" si="22"/>
        <v>0</v>
      </c>
      <c r="P29" s="185">
        <f t="shared" si="23"/>
        <v>0</v>
      </c>
      <c r="Q29" s="185">
        <f t="shared" si="24"/>
        <v>264.41000000000003</v>
      </c>
      <c r="R29" s="185">
        <f t="shared" si="25"/>
        <v>0</v>
      </c>
      <c r="S29" s="185">
        <f t="shared" si="26"/>
        <v>0</v>
      </c>
      <c r="T29" s="185">
        <f t="shared" si="27"/>
        <v>0</v>
      </c>
      <c r="U29" s="185">
        <f t="shared" si="28"/>
        <v>0</v>
      </c>
      <c r="V29" s="185">
        <f t="shared" si="18"/>
        <v>264.41000000000003</v>
      </c>
    </row>
    <row r="30" spans="1:22">
      <c r="A30" s="50">
        <f>'A.1_Tabla Costes Subrogación'!A30</f>
        <v>1</v>
      </c>
      <c r="B30" s="54" t="str">
        <f>'A.1_Tabla Costes Subrogación'!B30</f>
        <v xml:space="preserve"> AUXILIAR JARD.  </v>
      </c>
      <c r="C30" s="54"/>
      <c r="D30" s="54"/>
      <c r="E30" s="179">
        <f>'A.1_Tabla Costes Subrogación'!E30</f>
        <v>38932</v>
      </c>
      <c r="F30" s="180">
        <f t="shared" si="29"/>
        <v>2006</v>
      </c>
      <c r="G30" s="181">
        <f t="shared" si="33"/>
        <v>2023</v>
      </c>
      <c r="H30" s="181">
        <f t="shared" si="30"/>
        <v>17</v>
      </c>
      <c r="I30" s="181">
        <f t="shared" si="33"/>
        <v>2027</v>
      </c>
      <c r="J30" s="181">
        <f t="shared" si="31"/>
        <v>21</v>
      </c>
      <c r="K30" s="181">
        <f t="shared" si="32"/>
        <v>19</v>
      </c>
      <c r="L30" s="185">
        <f t="shared" si="19"/>
        <v>0</v>
      </c>
      <c r="M30" s="185">
        <f t="shared" si="20"/>
        <v>0</v>
      </c>
      <c r="N30" s="185">
        <f t="shared" si="21"/>
        <v>0</v>
      </c>
      <c r="O30" s="185">
        <f t="shared" si="22"/>
        <v>0</v>
      </c>
      <c r="P30" s="185">
        <f t="shared" si="23"/>
        <v>0</v>
      </c>
      <c r="Q30" s="185">
        <f t="shared" si="24"/>
        <v>264.41000000000003</v>
      </c>
      <c r="R30" s="185">
        <f t="shared" si="25"/>
        <v>0</v>
      </c>
      <c r="S30" s="185">
        <f t="shared" si="26"/>
        <v>0</v>
      </c>
      <c r="T30" s="185">
        <f t="shared" si="27"/>
        <v>0</v>
      </c>
      <c r="U30" s="185">
        <f t="shared" si="28"/>
        <v>0</v>
      </c>
      <c r="V30" s="185">
        <f t="shared" si="18"/>
        <v>264.41000000000003</v>
      </c>
    </row>
    <row r="31" spans="1:22">
      <c r="A31" s="50">
        <f>'A.1_Tabla Costes Subrogación'!A31</f>
        <v>1</v>
      </c>
      <c r="B31" s="54" t="str">
        <f>'A.1_Tabla Costes Subrogación'!B31</f>
        <v xml:space="preserve"> AUXILIAR JARD.  </v>
      </c>
      <c r="C31" s="54"/>
      <c r="D31" s="54"/>
      <c r="E31" s="179">
        <f>'A.1_Tabla Costes Subrogación'!E31</f>
        <v>42036</v>
      </c>
      <c r="F31" s="180">
        <f t="shared" si="29"/>
        <v>2015</v>
      </c>
      <c r="G31" s="181">
        <f t="shared" si="33"/>
        <v>2023</v>
      </c>
      <c r="H31" s="181">
        <f t="shared" si="30"/>
        <v>8</v>
      </c>
      <c r="I31" s="181">
        <f t="shared" si="33"/>
        <v>2027</v>
      </c>
      <c r="J31" s="181">
        <f t="shared" si="31"/>
        <v>12</v>
      </c>
      <c r="K31" s="181">
        <f t="shared" si="32"/>
        <v>10</v>
      </c>
      <c r="L31" s="185">
        <f t="shared" si="19"/>
        <v>0</v>
      </c>
      <c r="M31" s="185">
        <f t="shared" si="20"/>
        <v>0</v>
      </c>
      <c r="N31" s="185">
        <f t="shared" si="21"/>
        <v>122.83</v>
      </c>
      <c r="O31" s="185">
        <f t="shared" si="22"/>
        <v>0</v>
      </c>
      <c r="P31" s="185">
        <f t="shared" si="23"/>
        <v>0</v>
      </c>
      <c r="Q31" s="185">
        <f t="shared" si="24"/>
        <v>0</v>
      </c>
      <c r="R31" s="185">
        <f t="shared" si="25"/>
        <v>0</v>
      </c>
      <c r="S31" s="185">
        <f t="shared" si="26"/>
        <v>0</v>
      </c>
      <c r="T31" s="185">
        <f t="shared" si="27"/>
        <v>0</v>
      </c>
      <c r="U31" s="185">
        <f t="shared" si="28"/>
        <v>0</v>
      </c>
      <c r="V31" s="185">
        <f t="shared" si="18"/>
        <v>122.83</v>
      </c>
    </row>
    <row r="32" spans="1:22">
      <c r="A32" s="50">
        <f>'A.1_Tabla Costes Subrogación'!A32</f>
        <v>1</v>
      </c>
      <c r="B32" s="54" t="str">
        <f>'A.1_Tabla Costes Subrogación'!B32</f>
        <v xml:space="preserve"> AUXILIAR JARD.  </v>
      </c>
      <c r="C32" s="54"/>
      <c r="D32" s="54"/>
      <c r="E32" s="179">
        <f>'A.1_Tabla Costes Subrogación'!E32</f>
        <v>38749</v>
      </c>
      <c r="F32" s="180">
        <f t="shared" si="29"/>
        <v>2006</v>
      </c>
      <c r="G32" s="181">
        <f t="shared" si="33"/>
        <v>2023</v>
      </c>
      <c r="H32" s="181">
        <f t="shared" si="30"/>
        <v>17</v>
      </c>
      <c r="I32" s="181">
        <f t="shared" si="33"/>
        <v>2027</v>
      </c>
      <c r="J32" s="181">
        <f t="shared" si="31"/>
        <v>21</v>
      </c>
      <c r="K32" s="181">
        <f t="shared" si="32"/>
        <v>19</v>
      </c>
      <c r="L32" s="185">
        <f t="shared" si="19"/>
        <v>0</v>
      </c>
      <c r="M32" s="185">
        <f t="shared" si="20"/>
        <v>0</v>
      </c>
      <c r="N32" s="185">
        <f t="shared" si="21"/>
        <v>0</v>
      </c>
      <c r="O32" s="185">
        <f t="shared" si="22"/>
        <v>0</v>
      </c>
      <c r="P32" s="185">
        <f t="shared" si="23"/>
        <v>0</v>
      </c>
      <c r="Q32" s="185">
        <f t="shared" si="24"/>
        <v>264.41000000000003</v>
      </c>
      <c r="R32" s="185">
        <f t="shared" si="25"/>
        <v>0</v>
      </c>
      <c r="S32" s="185">
        <f t="shared" si="26"/>
        <v>0</v>
      </c>
      <c r="T32" s="185">
        <f t="shared" si="27"/>
        <v>0</v>
      </c>
      <c r="U32" s="185">
        <f t="shared" si="28"/>
        <v>0</v>
      </c>
      <c r="V32" s="185">
        <f t="shared" si="18"/>
        <v>264.41000000000003</v>
      </c>
    </row>
    <row r="33" spans="1:22">
      <c r="A33" s="50">
        <f>'A.1_Tabla Costes Subrogación'!A33</f>
        <v>1</v>
      </c>
      <c r="B33" s="54" t="str">
        <f>'A.1_Tabla Costes Subrogación'!B33</f>
        <v xml:space="preserve"> AUXILIAR JARD.  </v>
      </c>
      <c r="C33" s="54"/>
      <c r="D33" s="54"/>
      <c r="E33" s="179">
        <f>'A.1_Tabla Costes Subrogación'!E33</f>
        <v>40250</v>
      </c>
      <c r="F33" s="180">
        <f t="shared" si="29"/>
        <v>2010</v>
      </c>
      <c r="G33" s="181">
        <f t="shared" si="33"/>
        <v>2023</v>
      </c>
      <c r="H33" s="181">
        <f t="shared" si="30"/>
        <v>13</v>
      </c>
      <c r="I33" s="181">
        <f t="shared" si="33"/>
        <v>2027</v>
      </c>
      <c r="J33" s="181">
        <f t="shared" si="31"/>
        <v>17</v>
      </c>
      <c r="K33" s="181">
        <f t="shared" si="32"/>
        <v>15</v>
      </c>
      <c r="L33" s="185">
        <f t="shared" si="19"/>
        <v>0</v>
      </c>
      <c r="M33" s="185">
        <f t="shared" si="20"/>
        <v>0</v>
      </c>
      <c r="N33" s="185">
        <f t="shared" si="21"/>
        <v>0</v>
      </c>
      <c r="O33" s="185">
        <f t="shared" si="22"/>
        <v>0</v>
      </c>
      <c r="P33" s="185">
        <f t="shared" si="23"/>
        <v>219.94</v>
      </c>
      <c r="Q33" s="185">
        <f t="shared" si="24"/>
        <v>0</v>
      </c>
      <c r="R33" s="185">
        <f t="shared" si="25"/>
        <v>0</v>
      </c>
      <c r="S33" s="185">
        <f t="shared" si="26"/>
        <v>0</v>
      </c>
      <c r="T33" s="185">
        <f t="shared" si="27"/>
        <v>0</v>
      </c>
      <c r="U33" s="185">
        <f t="shared" si="28"/>
        <v>0</v>
      </c>
      <c r="V33" s="185">
        <f t="shared" si="18"/>
        <v>219.94</v>
      </c>
    </row>
    <row r="34" spans="1:22">
      <c r="A34" s="50">
        <f>'A.1_Tabla Costes Subrogación'!A34</f>
        <v>1</v>
      </c>
      <c r="B34" s="54" t="str">
        <f>'A.1_Tabla Costes Subrogación'!B34</f>
        <v xml:space="preserve"> AUXILIAR JARD.  </v>
      </c>
      <c r="C34" s="54"/>
      <c r="D34" s="54"/>
      <c r="E34" s="179">
        <f>'A.1_Tabla Costes Subrogación'!E34</f>
        <v>39038</v>
      </c>
      <c r="F34" s="180">
        <f t="shared" si="29"/>
        <v>2006</v>
      </c>
      <c r="G34" s="181">
        <f t="shared" si="33"/>
        <v>2023</v>
      </c>
      <c r="H34" s="181">
        <f t="shared" si="30"/>
        <v>17</v>
      </c>
      <c r="I34" s="181">
        <f t="shared" si="33"/>
        <v>2027</v>
      </c>
      <c r="J34" s="181">
        <f t="shared" si="31"/>
        <v>21</v>
      </c>
      <c r="K34" s="181">
        <f t="shared" si="32"/>
        <v>19</v>
      </c>
      <c r="L34" s="185">
        <f t="shared" si="19"/>
        <v>0</v>
      </c>
      <c r="M34" s="185">
        <f t="shared" si="20"/>
        <v>0</v>
      </c>
      <c r="N34" s="185">
        <f t="shared" si="21"/>
        <v>0</v>
      </c>
      <c r="O34" s="185">
        <f t="shared" si="22"/>
        <v>0</v>
      </c>
      <c r="P34" s="185">
        <f t="shared" si="23"/>
        <v>0</v>
      </c>
      <c r="Q34" s="185">
        <f t="shared" si="24"/>
        <v>264.41000000000003</v>
      </c>
      <c r="R34" s="185">
        <f t="shared" si="25"/>
        <v>0</v>
      </c>
      <c r="S34" s="185">
        <f t="shared" si="26"/>
        <v>0</v>
      </c>
      <c r="T34" s="185">
        <f t="shared" si="27"/>
        <v>0</v>
      </c>
      <c r="U34" s="185">
        <f t="shared" si="28"/>
        <v>0</v>
      </c>
      <c r="V34" s="185">
        <f t="shared" si="18"/>
        <v>264.41000000000003</v>
      </c>
    </row>
    <row r="35" spans="1:22">
      <c r="A35" s="50">
        <f>'A.1_Tabla Costes Subrogación'!A35</f>
        <v>1</v>
      </c>
      <c r="B35" s="54" t="str">
        <f>'A.1_Tabla Costes Subrogación'!B35</f>
        <v xml:space="preserve"> AUXILIAR JARD.  </v>
      </c>
      <c r="C35" s="54"/>
      <c r="D35" s="54"/>
      <c r="E35" s="179">
        <f>'A.1_Tabla Costes Subrogación'!E35</f>
        <v>39663</v>
      </c>
      <c r="F35" s="180">
        <f t="shared" si="29"/>
        <v>2008</v>
      </c>
      <c r="G35" s="181">
        <f t="shared" si="33"/>
        <v>2023</v>
      </c>
      <c r="H35" s="181">
        <f t="shared" si="30"/>
        <v>15</v>
      </c>
      <c r="I35" s="181">
        <f t="shared" si="33"/>
        <v>2027</v>
      </c>
      <c r="J35" s="181">
        <f t="shared" si="31"/>
        <v>19</v>
      </c>
      <c r="K35" s="181">
        <f t="shared" si="32"/>
        <v>17</v>
      </c>
      <c r="L35" s="185">
        <f t="shared" si="19"/>
        <v>0</v>
      </c>
      <c r="M35" s="185">
        <f t="shared" si="20"/>
        <v>0</v>
      </c>
      <c r="N35" s="185">
        <f t="shared" si="21"/>
        <v>0</v>
      </c>
      <c r="O35" s="185">
        <f t="shared" si="22"/>
        <v>0</v>
      </c>
      <c r="P35" s="185">
        <f t="shared" si="23"/>
        <v>219.94</v>
      </c>
      <c r="Q35" s="185">
        <f t="shared" si="24"/>
        <v>0</v>
      </c>
      <c r="R35" s="185">
        <f t="shared" si="25"/>
        <v>0</v>
      </c>
      <c r="S35" s="185">
        <f t="shared" si="26"/>
        <v>0</v>
      </c>
      <c r="T35" s="185">
        <f t="shared" si="27"/>
        <v>0</v>
      </c>
      <c r="U35" s="185">
        <f t="shared" si="28"/>
        <v>0</v>
      </c>
      <c r="V35" s="185">
        <f t="shared" si="18"/>
        <v>219.94</v>
      </c>
    </row>
    <row r="36" spans="1:22">
      <c r="A36" s="50">
        <f>'A.1_Tabla Costes Subrogación'!A36</f>
        <v>1</v>
      </c>
      <c r="B36" s="54" t="str">
        <f>'A.1_Tabla Costes Subrogación'!B36</f>
        <v xml:space="preserve"> AUXILIAR JARD.  </v>
      </c>
      <c r="C36" s="54"/>
      <c r="D36" s="54"/>
      <c r="E36" s="179">
        <f>'A.1_Tabla Costes Subrogación'!E36</f>
        <v>39650</v>
      </c>
      <c r="F36" s="180">
        <f t="shared" si="29"/>
        <v>2008</v>
      </c>
      <c r="G36" s="181">
        <f t="shared" si="33"/>
        <v>2023</v>
      </c>
      <c r="H36" s="181">
        <f t="shared" si="30"/>
        <v>15</v>
      </c>
      <c r="I36" s="181">
        <f t="shared" si="33"/>
        <v>2027</v>
      </c>
      <c r="J36" s="181">
        <f t="shared" si="31"/>
        <v>19</v>
      </c>
      <c r="K36" s="181">
        <f t="shared" si="32"/>
        <v>17</v>
      </c>
      <c r="L36" s="185">
        <f t="shared" si="19"/>
        <v>0</v>
      </c>
      <c r="M36" s="185">
        <f t="shared" si="20"/>
        <v>0</v>
      </c>
      <c r="N36" s="185">
        <f t="shared" si="21"/>
        <v>0</v>
      </c>
      <c r="O36" s="185">
        <f t="shared" si="22"/>
        <v>0</v>
      </c>
      <c r="P36" s="185">
        <f t="shared" si="23"/>
        <v>219.94</v>
      </c>
      <c r="Q36" s="185">
        <f t="shared" si="24"/>
        <v>0</v>
      </c>
      <c r="R36" s="185">
        <f t="shared" si="25"/>
        <v>0</v>
      </c>
      <c r="S36" s="185">
        <f t="shared" si="26"/>
        <v>0</v>
      </c>
      <c r="T36" s="185">
        <f t="shared" si="27"/>
        <v>0</v>
      </c>
      <c r="U36" s="185">
        <f t="shared" si="28"/>
        <v>0</v>
      </c>
      <c r="V36" s="185">
        <f t="shared" si="18"/>
        <v>219.94</v>
      </c>
    </row>
    <row r="37" spans="1:22">
      <c r="A37" s="50">
        <f>'A.1_Tabla Costes Subrogación'!A37</f>
        <v>1</v>
      </c>
      <c r="B37" s="54" t="str">
        <f>'A.1_Tabla Costes Subrogación'!B37</f>
        <v xml:space="preserve"> AUXILIAR JARD.  </v>
      </c>
      <c r="C37" s="54"/>
      <c r="D37" s="54"/>
      <c r="E37" s="179">
        <f>'A.1_Tabla Costes Subrogación'!E37</f>
        <v>38749</v>
      </c>
      <c r="F37" s="180">
        <f t="shared" si="29"/>
        <v>2006</v>
      </c>
      <c r="G37" s="181">
        <f t="shared" si="33"/>
        <v>2023</v>
      </c>
      <c r="H37" s="181">
        <f t="shared" si="30"/>
        <v>17</v>
      </c>
      <c r="I37" s="181">
        <f t="shared" si="33"/>
        <v>2027</v>
      </c>
      <c r="J37" s="181">
        <f t="shared" si="31"/>
        <v>21</v>
      </c>
      <c r="K37" s="181">
        <f t="shared" si="32"/>
        <v>19</v>
      </c>
      <c r="L37" s="185">
        <f t="shared" si="19"/>
        <v>0</v>
      </c>
      <c r="M37" s="185">
        <f t="shared" si="20"/>
        <v>0</v>
      </c>
      <c r="N37" s="185">
        <f t="shared" si="21"/>
        <v>0</v>
      </c>
      <c r="O37" s="185">
        <f t="shared" si="22"/>
        <v>0</v>
      </c>
      <c r="P37" s="185">
        <f t="shared" si="23"/>
        <v>0</v>
      </c>
      <c r="Q37" s="185">
        <f t="shared" si="24"/>
        <v>264.41000000000003</v>
      </c>
      <c r="R37" s="185">
        <f t="shared" si="25"/>
        <v>0</v>
      </c>
      <c r="S37" s="185">
        <f t="shared" si="26"/>
        <v>0</v>
      </c>
      <c r="T37" s="185">
        <f t="shared" si="27"/>
        <v>0</v>
      </c>
      <c r="U37" s="185">
        <f t="shared" si="28"/>
        <v>0</v>
      </c>
      <c r="V37" s="185">
        <f t="shared" si="18"/>
        <v>264.41000000000003</v>
      </c>
    </row>
    <row r="38" spans="1:22">
      <c r="A38" s="50">
        <f>'A.1_Tabla Costes Subrogación'!A38</f>
        <v>1</v>
      </c>
      <c r="B38" s="54" t="str">
        <f>'A.1_Tabla Costes Subrogación'!B38</f>
        <v xml:space="preserve"> AUXILIAR JARD.  </v>
      </c>
      <c r="C38" s="54"/>
      <c r="D38" s="54"/>
      <c r="E38" s="179">
        <f>'A.1_Tabla Costes Subrogación'!E38</f>
        <v>38749</v>
      </c>
      <c r="F38" s="180">
        <f t="shared" si="29"/>
        <v>2006</v>
      </c>
      <c r="G38" s="181">
        <f t="shared" si="33"/>
        <v>2023</v>
      </c>
      <c r="H38" s="181">
        <f t="shared" si="30"/>
        <v>17</v>
      </c>
      <c r="I38" s="181">
        <f t="shared" si="33"/>
        <v>2027</v>
      </c>
      <c r="J38" s="181">
        <f t="shared" si="31"/>
        <v>21</v>
      </c>
      <c r="K38" s="181">
        <f t="shared" si="32"/>
        <v>19</v>
      </c>
      <c r="L38" s="185">
        <f t="shared" si="19"/>
        <v>0</v>
      </c>
      <c r="M38" s="185">
        <f t="shared" si="20"/>
        <v>0</v>
      </c>
      <c r="N38" s="185">
        <f t="shared" si="21"/>
        <v>0</v>
      </c>
      <c r="O38" s="185">
        <f t="shared" si="22"/>
        <v>0</v>
      </c>
      <c r="P38" s="185">
        <f t="shared" si="23"/>
        <v>0</v>
      </c>
      <c r="Q38" s="185">
        <f t="shared" si="24"/>
        <v>264.41000000000003</v>
      </c>
      <c r="R38" s="185">
        <f t="shared" si="25"/>
        <v>0</v>
      </c>
      <c r="S38" s="185">
        <f t="shared" si="26"/>
        <v>0</v>
      </c>
      <c r="T38" s="185">
        <f t="shared" si="27"/>
        <v>0</v>
      </c>
      <c r="U38" s="185">
        <f t="shared" si="28"/>
        <v>0</v>
      </c>
      <c r="V38" s="185">
        <f t="shared" si="18"/>
        <v>264.41000000000003</v>
      </c>
    </row>
    <row r="39" spans="1:22">
      <c r="A39" s="50">
        <f>'A.1_Tabla Costes Subrogación'!A39</f>
        <v>1</v>
      </c>
      <c r="B39" s="54" t="str">
        <f>'A.1_Tabla Costes Subrogación'!B39</f>
        <v xml:space="preserve"> AUXILIAR JARD.  </v>
      </c>
      <c r="C39" s="54"/>
      <c r="D39" s="54"/>
      <c r="E39" s="179">
        <f>'A.1_Tabla Costes Subrogación'!E39</f>
        <v>40196</v>
      </c>
      <c r="F39" s="180">
        <f t="shared" si="29"/>
        <v>2010</v>
      </c>
      <c r="G39" s="181">
        <f t="shared" si="33"/>
        <v>2023</v>
      </c>
      <c r="H39" s="181">
        <f t="shared" si="30"/>
        <v>13</v>
      </c>
      <c r="I39" s="181">
        <f t="shared" si="33"/>
        <v>2027</v>
      </c>
      <c r="J39" s="181">
        <f t="shared" si="31"/>
        <v>17</v>
      </c>
      <c r="K39" s="181">
        <f t="shared" si="32"/>
        <v>15</v>
      </c>
      <c r="L39" s="185">
        <f t="shared" si="19"/>
        <v>0</v>
      </c>
      <c r="M39" s="185">
        <f t="shared" si="20"/>
        <v>0</v>
      </c>
      <c r="N39" s="185">
        <f t="shared" si="21"/>
        <v>0</v>
      </c>
      <c r="O39" s="185">
        <f t="shared" si="22"/>
        <v>0</v>
      </c>
      <c r="P39" s="185">
        <f t="shared" si="23"/>
        <v>219.94</v>
      </c>
      <c r="Q39" s="185">
        <f t="shared" si="24"/>
        <v>0</v>
      </c>
      <c r="R39" s="185">
        <f t="shared" si="25"/>
        <v>0</v>
      </c>
      <c r="S39" s="185">
        <f t="shared" si="26"/>
        <v>0</v>
      </c>
      <c r="T39" s="185">
        <f t="shared" si="27"/>
        <v>0</v>
      </c>
      <c r="U39" s="185">
        <f t="shared" si="28"/>
        <v>0</v>
      </c>
      <c r="V39" s="185">
        <f t="shared" si="18"/>
        <v>219.94</v>
      </c>
    </row>
    <row r="40" spans="1:22">
      <c r="A40" s="50">
        <f>'A.1_Tabla Costes Subrogación'!A40</f>
        <v>1</v>
      </c>
      <c r="B40" s="54" t="str">
        <f>'A.1_Tabla Costes Subrogación'!B40</f>
        <v xml:space="preserve"> AUXILIAR JARD.  </v>
      </c>
      <c r="C40" s="54"/>
      <c r="D40" s="54"/>
      <c r="E40" s="179">
        <f>'A.1_Tabla Costes Subrogación'!E40</f>
        <v>39539</v>
      </c>
      <c r="F40" s="180">
        <f t="shared" si="29"/>
        <v>2008</v>
      </c>
      <c r="G40" s="181">
        <f t="shared" si="33"/>
        <v>2023</v>
      </c>
      <c r="H40" s="181">
        <f t="shared" si="30"/>
        <v>15</v>
      </c>
      <c r="I40" s="181">
        <f t="shared" si="33"/>
        <v>2027</v>
      </c>
      <c r="J40" s="181">
        <f t="shared" si="31"/>
        <v>19</v>
      </c>
      <c r="K40" s="181">
        <f t="shared" si="32"/>
        <v>17</v>
      </c>
      <c r="L40" s="185">
        <f t="shared" si="19"/>
        <v>0</v>
      </c>
      <c r="M40" s="185">
        <f t="shared" si="20"/>
        <v>0</v>
      </c>
      <c r="N40" s="185">
        <f t="shared" si="21"/>
        <v>0</v>
      </c>
      <c r="O40" s="185">
        <f t="shared" si="22"/>
        <v>0</v>
      </c>
      <c r="P40" s="185">
        <f t="shared" si="23"/>
        <v>219.94</v>
      </c>
      <c r="Q40" s="185">
        <f t="shared" si="24"/>
        <v>0</v>
      </c>
      <c r="R40" s="185">
        <f t="shared" si="25"/>
        <v>0</v>
      </c>
      <c r="S40" s="185">
        <f t="shared" si="26"/>
        <v>0</v>
      </c>
      <c r="T40" s="185">
        <f t="shared" si="27"/>
        <v>0</v>
      </c>
      <c r="U40" s="185">
        <f t="shared" si="28"/>
        <v>0</v>
      </c>
      <c r="V40" s="185">
        <f t="shared" si="18"/>
        <v>219.94</v>
      </c>
    </row>
    <row r="41" spans="1:22">
      <c r="A41" s="50">
        <f>'A.1_Tabla Costes Subrogación'!A41</f>
        <v>1</v>
      </c>
      <c r="B41" s="54" t="str">
        <f>'A.1_Tabla Costes Subrogación'!B41</f>
        <v xml:space="preserve"> AUXILIAR JARD.  </v>
      </c>
      <c r="C41" s="54"/>
      <c r="D41" s="54"/>
      <c r="E41" s="179">
        <f>'A.1_Tabla Costes Subrogación'!E41</f>
        <v>38749</v>
      </c>
      <c r="F41" s="180">
        <f t="shared" si="29"/>
        <v>2006</v>
      </c>
      <c r="G41" s="181">
        <f t="shared" si="33"/>
        <v>2023</v>
      </c>
      <c r="H41" s="181">
        <f t="shared" si="30"/>
        <v>17</v>
      </c>
      <c r="I41" s="181">
        <f t="shared" si="33"/>
        <v>2027</v>
      </c>
      <c r="J41" s="181">
        <f t="shared" si="31"/>
        <v>21</v>
      </c>
      <c r="K41" s="181">
        <f t="shared" si="32"/>
        <v>19</v>
      </c>
      <c r="L41" s="185">
        <f t="shared" si="19"/>
        <v>0</v>
      </c>
      <c r="M41" s="185">
        <f t="shared" si="20"/>
        <v>0</v>
      </c>
      <c r="N41" s="185">
        <f t="shared" si="21"/>
        <v>0</v>
      </c>
      <c r="O41" s="185">
        <f t="shared" si="22"/>
        <v>0</v>
      </c>
      <c r="P41" s="185">
        <f t="shared" si="23"/>
        <v>0</v>
      </c>
      <c r="Q41" s="185">
        <f t="shared" si="24"/>
        <v>264.41000000000003</v>
      </c>
      <c r="R41" s="185">
        <f t="shared" si="25"/>
        <v>0</v>
      </c>
      <c r="S41" s="185">
        <f t="shared" si="26"/>
        <v>0</v>
      </c>
      <c r="T41" s="185">
        <f t="shared" si="27"/>
        <v>0</v>
      </c>
      <c r="U41" s="185">
        <f t="shared" si="28"/>
        <v>0</v>
      </c>
      <c r="V41" s="185">
        <f t="shared" si="18"/>
        <v>264.41000000000003</v>
      </c>
    </row>
    <row r="42" spans="1:22">
      <c r="A42" s="50">
        <f>'A.1_Tabla Costes Subrogación'!A42</f>
        <v>1</v>
      </c>
      <c r="B42" s="54" t="str">
        <f>'A.1_Tabla Costes Subrogación'!B42</f>
        <v xml:space="preserve"> AUXILIAR JARD.  </v>
      </c>
      <c r="C42" s="54"/>
      <c r="D42" s="54"/>
      <c r="E42" s="179">
        <f>'A.1_Tabla Costes Subrogación'!E42</f>
        <v>38749</v>
      </c>
      <c r="F42" s="180">
        <f t="shared" si="29"/>
        <v>2006</v>
      </c>
      <c r="G42" s="181">
        <f t="shared" si="33"/>
        <v>2023</v>
      </c>
      <c r="H42" s="181">
        <f t="shared" si="30"/>
        <v>17</v>
      </c>
      <c r="I42" s="181">
        <f t="shared" si="33"/>
        <v>2027</v>
      </c>
      <c r="J42" s="181">
        <f t="shared" si="31"/>
        <v>21</v>
      </c>
      <c r="K42" s="181">
        <f t="shared" si="32"/>
        <v>19</v>
      </c>
      <c r="L42" s="185">
        <f t="shared" si="19"/>
        <v>0</v>
      </c>
      <c r="M42" s="185">
        <f t="shared" si="20"/>
        <v>0</v>
      </c>
      <c r="N42" s="185">
        <f t="shared" si="21"/>
        <v>0</v>
      </c>
      <c r="O42" s="185">
        <f t="shared" si="22"/>
        <v>0</v>
      </c>
      <c r="P42" s="185">
        <f t="shared" si="23"/>
        <v>0</v>
      </c>
      <c r="Q42" s="185">
        <f t="shared" si="24"/>
        <v>264.41000000000003</v>
      </c>
      <c r="R42" s="185">
        <f t="shared" si="25"/>
        <v>0</v>
      </c>
      <c r="S42" s="185">
        <f t="shared" si="26"/>
        <v>0</v>
      </c>
      <c r="T42" s="185">
        <f t="shared" si="27"/>
        <v>0</v>
      </c>
      <c r="U42" s="185">
        <f t="shared" si="28"/>
        <v>0</v>
      </c>
      <c r="V42" s="185">
        <f t="shared" si="18"/>
        <v>264.41000000000003</v>
      </c>
    </row>
    <row r="43" spans="1:22">
      <c r="A43" s="50">
        <f>'A.1_Tabla Costes Subrogación'!A43</f>
        <v>1</v>
      </c>
      <c r="B43" s="54" t="str">
        <f>'A.1_Tabla Costes Subrogación'!B43</f>
        <v xml:space="preserve"> AUXILIAR JARD.  </v>
      </c>
      <c r="C43" s="54"/>
      <c r="D43" s="54"/>
      <c r="E43" s="179">
        <f>'A.1_Tabla Costes Subrogación'!E43</f>
        <v>35827</v>
      </c>
      <c r="F43" s="180">
        <f t="shared" si="29"/>
        <v>1998</v>
      </c>
      <c r="G43" s="181">
        <f t="shared" si="33"/>
        <v>2023</v>
      </c>
      <c r="H43" s="181">
        <f t="shared" si="30"/>
        <v>25</v>
      </c>
      <c r="I43" s="181">
        <f t="shared" si="33"/>
        <v>2027</v>
      </c>
      <c r="J43" s="181">
        <f t="shared" si="31"/>
        <v>29</v>
      </c>
      <c r="K43" s="181">
        <f t="shared" si="32"/>
        <v>27</v>
      </c>
      <c r="L43" s="185">
        <f t="shared" si="19"/>
        <v>0</v>
      </c>
      <c r="M43" s="185">
        <f t="shared" si="20"/>
        <v>0</v>
      </c>
      <c r="N43" s="185">
        <f t="shared" si="21"/>
        <v>0</v>
      </c>
      <c r="O43" s="185">
        <f t="shared" si="22"/>
        <v>0</v>
      </c>
      <c r="P43" s="185">
        <f t="shared" si="23"/>
        <v>0</v>
      </c>
      <c r="Q43" s="185">
        <f t="shared" si="24"/>
        <v>0</v>
      </c>
      <c r="R43" s="185">
        <f t="shared" si="25"/>
        <v>0</v>
      </c>
      <c r="S43" s="185">
        <f t="shared" si="26"/>
        <v>0</v>
      </c>
      <c r="T43" s="185">
        <f t="shared" si="27"/>
        <v>0</v>
      </c>
      <c r="U43" s="185">
        <f t="shared" si="28"/>
        <v>421.15</v>
      </c>
      <c r="V43" s="185">
        <f t="shared" si="18"/>
        <v>421.15</v>
      </c>
    </row>
    <row r="44" spans="1:22">
      <c r="A44" s="50">
        <f>'A.1_Tabla Costes Subrogación'!A44</f>
        <v>1</v>
      </c>
      <c r="B44" s="54" t="str">
        <f>'A.1_Tabla Costes Subrogación'!B44</f>
        <v xml:space="preserve"> AUXILIAR JARD.  </v>
      </c>
      <c r="C44" s="54"/>
      <c r="D44" s="54"/>
      <c r="E44" s="179">
        <f>'A.1_Tabla Costes Subrogación'!E44</f>
        <v>38749</v>
      </c>
      <c r="F44" s="180">
        <f t="shared" si="29"/>
        <v>2006</v>
      </c>
      <c r="G44" s="181">
        <f t="shared" si="33"/>
        <v>2023</v>
      </c>
      <c r="H44" s="181">
        <f t="shared" si="30"/>
        <v>17</v>
      </c>
      <c r="I44" s="181">
        <f t="shared" si="33"/>
        <v>2027</v>
      </c>
      <c r="J44" s="181">
        <f t="shared" si="31"/>
        <v>21</v>
      </c>
      <c r="K44" s="181">
        <f t="shared" si="32"/>
        <v>19</v>
      </c>
      <c r="L44" s="185">
        <f t="shared" si="19"/>
        <v>0</v>
      </c>
      <c r="M44" s="185">
        <f t="shared" si="20"/>
        <v>0</v>
      </c>
      <c r="N44" s="185">
        <f t="shared" si="21"/>
        <v>0</v>
      </c>
      <c r="O44" s="185">
        <f t="shared" si="22"/>
        <v>0</v>
      </c>
      <c r="P44" s="185">
        <f t="shared" si="23"/>
        <v>0</v>
      </c>
      <c r="Q44" s="185">
        <f t="shared" si="24"/>
        <v>264.41000000000003</v>
      </c>
      <c r="R44" s="185">
        <f t="shared" si="25"/>
        <v>0</v>
      </c>
      <c r="S44" s="185">
        <f t="shared" si="26"/>
        <v>0</v>
      </c>
      <c r="T44" s="185">
        <f t="shared" si="27"/>
        <v>0</v>
      </c>
      <c r="U44" s="185">
        <f t="shared" si="28"/>
        <v>0</v>
      </c>
      <c r="V44" s="185">
        <f t="shared" si="18"/>
        <v>264.41000000000003</v>
      </c>
    </row>
    <row r="45" spans="1:22">
      <c r="A45" s="50">
        <f>'A.1_Tabla Costes Subrogación'!A45</f>
        <v>1</v>
      </c>
      <c r="B45" s="54" t="str">
        <f>'A.1_Tabla Costes Subrogación'!B45</f>
        <v xml:space="preserve"> AUXILIAR JARD.  </v>
      </c>
      <c r="C45" s="54"/>
      <c r="D45" s="54"/>
      <c r="E45" s="179">
        <f>'A.1_Tabla Costes Subrogación'!E45</f>
        <v>38932</v>
      </c>
      <c r="F45" s="180">
        <f t="shared" si="29"/>
        <v>2006</v>
      </c>
      <c r="G45" s="181">
        <f t="shared" ref="G45:I64" si="34">G$4</f>
        <v>2023</v>
      </c>
      <c r="H45" s="181">
        <f t="shared" si="30"/>
        <v>17</v>
      </c>
      <c r="I45" s="181">
        <f t="shared" si="34"/>
        <v>2027</v>
      </c>
      <c r="J45" s="181">
        <f t="shared" si="31"/>
        <v>21</v>
      </c>
      <c r="K45" s="181">
        <f t="shared" si="32"/>
        <v>19</v>
      </c>
      <c r="L45" s="185">
        <f t="shared" si="19"/>
        <v>0</v>
      </c>
      <c r="M45" s="185">
        <f t="shared" si="20"/>
        <v>0</v>
      </c>
      <c r="N45" s="185">
        <f t="shared" si="21"/>
        <v>0</v>
      </c>
      <c r="O45" s="185">
        <f t="shared" si="22"/>
        <v>0</v>
      </c>
      <c r="P45" s="185">
        <f t="shared" si="23"/>
        <v>0</v>
      </c>
      <c r="Q45" s="185">
        <f t="shared" si="24"/>
        <v>264.41000000000003</v>
      </c>
      <c r="R45" s="185">
        <f t="shared" si="25"/>
        <v>0</v>
      </c>
      <c r="S45" s="185">
        <f t="shared" si="26"/>
        <v>0</v>
      </c>
      <c r="T45" s="185">
        <f t="shared" si="27"/>
        <v>0</v>
      </c>
      <c r="U45" s="185">
        <f t="shared" si="28"/>
        <v>0</v>
      </c>
      <c r="V45" s="185">
        <f t="shared" si="18"/>
        <v>264.41000000000003</v>
      </c>
    </row>
    <row r="46" spans="1:22">
      <c r="A46" s="50">
        <f>'A.1_Tabla Costes Subrogación'!A46</f>
        <v>1</v>
      </c>
      <c r="B46" s="54" t="str">
        <f>'A.1_Tabla Costes Subrogación'!B46</f>
        <v xml:space="preserve"> AUXILIAR JARD.  </v>
      </c>
      <c r="C46" s="54"/>
      <c r="D46" s="54"/>
      <c r="E46" s="179">
        <f>'A.1_Tabla Costes Subrogación'!E46</f>
        <v>38749</v>
      </c>
      <c r="F46" s="180">
        <f t="shared" si="29"/>
        <v>2006</v>
      </c>
      <c r="G46" s="181">
        <f t="shared" si="34"/>
        <v>2023</v>
      </c>
      <c r="H46" s="181">
        <f t="shared" si="30"/>
        <v>17</v>
      </c>
      <c r="I46" s="181">
        <f t="shared" si="34"/>
        <v>2027</v>
      </c>
      <c r="J46" s="181">
        <f t="shared" si="31"/>
        <v>21</v>
      </c>
      <c r="K46" s="181">
        <f t="shared" si="32"/>
        <v>19</v>
      </c>
      <c r="L46" s="185">
        <f t="shared" si="19"/>
        <v>0</v>
      </c>
      <c r="M46" s="185">
        <f t="shared" si="20"/>
        <v>0</v>
      </c>
      <c r="N46" s="185">
        <f t="shared" si="21"/>
        <v>0</v>
      </c>
      <c r="O46" s="185">
        <f t="shared" si="22"/>
        <v>0</v>
      </c>
      <c r="P46" s="185">
        <f t="shared" si="23"/>
        <v>0</v>
      </c>
      <c r="Q46" s="185">
        <f t="shared" si="24"/>
        <v>264.41000000000003</v>
      </c>
      <c r="R46" s="185">
        <f t="shared" si="25"/>
        <v>0</v>
      </c>
      <c r="S46" s="185">
        <f t="shared" si="26"/>
        <v>0</v>
      </c>
      <c r="T46" s="185">
        <f t="shared" si="27"/>
        <v>0</v>
      </c>
      <c r="U46" s="185">
        <f t="shared" si="28"/>
        <v>0</v>
      </c>
      <c r="V46" s="185">
        <f t="shared" si="18"/>
        <v>264.41000000000003</v>
      </c>
    </row>
    <row r="47" spans="1:22">
      <c r="A47" s="50">
        <f>'A.1_Tabla Costes Subrogación'!A47</f>
        <v>1</v>
      </c>
      <c r="B47" s="54" t="str">
        <f>'A.1_Tabla Costes Subrogación'!B47</f>
        <v xml:space="preserve"> AUXILIAR JARD.  </v>
      </c>
      <c r="C47" s="54"/>
      <c r="D47" s="54"/>
      <c r="E47" s="179">
        <f>'A.1_Tabla Costes Subrogación'!E47</f>
        <v>38749</v>
      </c>
      <c r="F47" s="180">
        <f t="shared" si="29"/>
        <v>2006</v>
      </c>
      <c r="G47" s="181">
        <f t="shared" si="34"/>
        <v>2023</v>
      </c>
      <c r="H47" s="181">
        <f t="shared" si="30"/>
        <v>17</v>
      </c>
      <c r="I47" s="181">
        <f t="shared" si="34"/>
        <v>2027</v>
      </c>
      <c r="J47" s="181">
        <f t="shared" si="31"/>
        <v>21</v>
      </c>
      <c r="K47" s="181">
        <f t="shared" si="32"/>
        <v>19</v>
      </c>
      <c r="L47" s="185">
        <f t="shared" si="19"/>
        <v>0</v>
      </c>
      <c r="M47" s="185">
        <f t="shared" si="20"/>
        <v>0</v>
      </c>
      <c r="N47" s="185">
        <f t="shared" si="21"/>
        <v>0</v>
      </c>
      <c r="O47" s="185">
        <f t="shared" si="22"/>
        <v>0</v>
      </c>
      <c r="P47" s="185">
        <f t="shared" si="23"/>
        <v>0</v>
      </c>
      <c r="Q47" s="185">
        <f t="shared" si="24"/>
        <v>264.41000000000003</v>
      </c>
      <c r="R47" s="185">
        <f t="shared" si="25"/>
        <v>0</v>
      </c>
      <c r="S47" s="185">
        <f t="shared" si="26"/>
        <v>0</v>
      </c>
      <c r="T47" s="185">
        <f t="shared" si="27"/>
        <v>0</v>
      </c>
      <c r="U47" s="185">
        <f t="shared" si="28"/>
        <v>0</v>
      </c>
      <c r="V47" s="185">
        <f t="shared" si="18"/>
        <v>264.41000000000003</v>
      </c>
    </row>
    <row r="48" spans="1:22">
      <c r="A48" s="50">
        <f>'A.1_Tabla Costes Subrogación'!A48</f>
        <v>1</v>
      </c>
      <c r="B48" s="54" t="str">
        <f>'A.1_Tabla Costes Subrogación'!B48</f>
        <v xml:space="preserve"> AUXILIAR JARD.  </v>
      </c>
      <c r="C48" s="54"/>
      <c r="D48" s="54"/>
      <c r="E48" s="179">
        <f>'A.1_Tabla Costes Subrogación'!E48</f>
        <v>38932</v>
      </c>
      <c r="F48" s="180">
        <f t="shared" si="29"/>
        <v>2006</v>
      </c>
      <c r="G48" s="181">
        <f t="shared" si="34"/>
        <v>2023</v>
      </c>
      <c r="H48" s="181">
        <f t="shared" si="30"/>
        <v>17</v>
      </c>
      <c r="I48" s="181">
        <f t="shared" si="34"/>
        <v>2027</v>
      </c>
      <c r="J48" s="181">
        <f t="shared" si="31"/>
        <v>21</v>
      </c>
      <c r="K48" s="181">
        <f t="shared" si="32"/>
        <v>19</v>
      </c>
      <c r="L48" s="185">
        <f t="shared" si="19"/>
        <v>0</v>
      </c>
      <c r="M48" s="185">
        <f t="shared" si="20"/>
        <v>0</v>
      </c>
      <c r="N48" s="185">
        <f t="shared" si="21"/>
        <v>0</v>
      </c>
      <c r="O48" s="185">
        <f t="shared" si="22"/>
        <v>0</v>
      </c>
      <c r="P48" s="185">
        <f t="shared" si="23"/>
        <v>0</v>
      </c>
      <c r="Q48" s="185">
        <f t="shared" si="24"/>
        <v>264.41000000000003</v>
      </c>
      <c r="R48" s="185">
        <f t="shared" si="25"/>
        <v>0</v>
      </c>
      <c r="S48" s="185">
        <f t="shared" si="26"/>
        <v>0</v>
      </c>
      <c r="T48" s="185">
        <f t="shared" si="27"/>
        <v>0</v>
      </c>
      <c r="U48" s="185">
        <f t="shared" si="28"/>
        <v>0</v>
      </c>
      <c r="V48" s="185">
        <f t="shared" si="18"/>
        <v>264.41000000000003</v>
      </c>
    </row>
    <row r="49" spans="1:22">
      <c r="A49" s="50">
        <f>'A.1_Tabla Costes Subrogación'!A49</f>
        <v>1</v>
      </c>
      <c r="B49" s="54" t="str">
        <f>'A.1_Tabla Costes Subrogación'!B49</f>
        <v xml:space="preserve"> AUXILIAR JARD.  </v>
      </c>
      <c r="C49" s="54"/>
      <c r="D49" s="54"/>
      <c r="E49" s="179">
        <f>'A.1_Tabla Costes Subrogación'!E49</f>
        <v>42036</v>
      </c>
      <c r="F49" s="180">
        <f t="shared" si="29"/>
        <v>2015</v>
      </c>
      <c r="G49" s="181">
        <f t="shared" si="34"/>
        <v>2023</v>
      </c>
      <c r="H49" s="181">
        <f t="shared" si="30"/>
        <v>8</v>
      </c>
      <c r="I49" s="181">
        <f t="shared" si="34"/>
        <v>2027</v>
      </c>
      <c r="J49" s="181">
        <f t="shared" si="31"/>
        <v>12</v>
      </c>
      <c r="K49" s="181">
        <f t="shared" si="32"/>
        <v>10</v>
      </c>
      <c r="L49" s="185">
        <f t="shared" si="19"/>
        <v>0</v>
      </c>
      <c r="M49" s="185">
        <f t="shared" si="20"/>
        <v>0</v>
      </c>
      <c r="N49" s="185">
        <f t="shared" si="21"/>
        <v>122.83</v>
      </c>
      <c r="O49" s="185">
        <f t="shared" si="22"/>
        <v>0</v>
      </c>
      <c r="P49" s="185">
        <f t="shared" si="23"/>
        <v>0</v>
      </c>
      <c r="Q49" s="185">
        <f t="shared" si="24"/>
        <v>0</v>
      </c>
      <c r="R49" s="185">
        <f t="shared" si="25"/>
        <v>0</v>
      </c>
      <c r="S49" s="185">
        <f t="shared" si="26"/>
        <v>0</v>
      </c>
      <c r="T49" s="185">
        <f t="shared" si="27"/>
        <v>0</v>
      </c>
      <c r="U49" s="185">
        <f t="shared" si="28"/>
        <v>0</v>
      </c>
      <c r="V49" s="185">
        <f t="shared" si="18"/>
        <v>122.83</v>
      </c>
    </row>
    <row r="50" spans="1:22">
      <c r="A50" s="50">
        <f>'A.1_Tabla Costes Subrogación'!A50</f>
        <v>1</v>
      </c>
      <c r="B50" s="54" t="str">
        <f>'A.1_Tabla Costes Subrogación'!B50</f>
        <v xml:space="preserve"> AUXILIAR JARD.  </v>
      </c>
      <c r="C50" s="54"/>
      <c r="D50" s="54"/>
      <c r="E50" s="179">
        <f>'A.1_Tabla Costes Subrogación'!E50</f>
        <v>38749</v>
      </c>
      <c r="F50" s="180">
        <f t="shared" si="29"/>
        <v>2006</v>
      </c>
      <c r="G50" s="181">
        <f t="shared" si="34"/>
        <v>2023</v>
      </c>
      <c r="H50" s="181">
        <f t="shared" si="30"/>
        <v>17</v>
      </c>
      <c r="I50" s="181">
        <f t="shared" si="34"/>
        <v>2027</v>
      </c>
      <c r="J50" s="181">
        <f t="shared" si="31"/>
        <v>21</v>
      </c>
      <c r="K50" s="181">
        <f t="shared" si="32"/>
        <v>19</v>
      </c>
      <c r="L50" s="185">
        <f t="shared" si="19"/>
        <v>0</v>
      </c>
      <c r="M50" s="185">
        <f t="shared" si="20"/>
        <v>0</v>
      </c>
      <c r="N50" s="185">
        <f t="shared" si="21"/>
        <v>0</v>
      </c>
      <c r="O50" s="185">
        <f t="shared" si="22"/>
        <v>0</v>
      </c>
      <c r="P50" s="185">
        <f t="shared" si="23"/>
        <v>0</v>
      </c>
      <c r="Q50" s="185">
        <f t="shared" si="24"/>
        <v>264.41000000000003</v>
      </c>
      <c r="R50" s="185">
        <f t="shared" si="25"/>
        <v>0</v>
      </c>
      <c r="S50" s="185">
        <f t="shared" si="26"/>
        <v>0</v>
      </c>
      <c r="T50" s="185">
        <f t="shared" si="27"/>
        <v>0</v>
      </c>
      <c r="U50" s="185">
        <f t="shared" si="28"/>
        <v>0</v>
      </c>
      <c r="V50" s="185">
        <f t="shared" si="18"/>
        <v>264.41000000000003</v>
      </c>
    </row>
    <row r="51" spans="1:22">
      <c r="A51" s="50">
        <f>'A.1_Tabla Costes Subrogación'!A51</f>
        <v>1</v>
      </c>
      <c r="B51" s="54" t="str">
        <f>'A.1_Tabla Costes Subrogación'!B51</f>
        <v xml:space="preserve"> AUXILIAR JARD.  </v>
      </c>
      <c r="C51" s="54"/>
      <c r="D51" s="54"/>
      <c r="E51" s="179">
        <f>'A.1_Tabla Costes Subrogación'!E51</f>
        <v>40250</v>
      </c>
      <c r="F51" s="180">
        <f t="shared" si="29"/>
        <v>2010</v>
      </c>
      <c r="G51" s="181">
        <f t="shared" si="34"/>
        <v>2023</v>
      </c>
      <c r="H51" s="181">
        <f t="shared" si="30"/>
        <v>13</v>
      </c>
      <c r="I51" s="181">
        <f t="shared" si="34"/>
        <v>2027</v>
      </c>
      <c r="J51" s="181">
        <f t="shared" si="31"/>
        <v>17</v>
      </c>
      <c r="K51" s="181">
        <f t="shared" si="32"/>
        <v>15</v>
      </c>
      <c r="L51" s="185">
        <f t="shared" si="19"/>
        <v>0</v>
      </c>
      <c r="M51" s="185">
        <f t="shared" si="20"/>
        <v>0</v>
      </c>
      <c r="N51" s="185">
        <f t="shared" si="21"/>
        <v>0</v>
      </c>
      <c r="O51" s="185">
        <f t="shared" si="22"/>
        <v>0</v>
      </c>
      <c r="P51" s="185">
        <f t="shared" si="23"/>
        <v>219.94</v>
      </c>
      <c r="Q51" s="185">
        <f t="shared" si="24"/>
        <v>0</v>
      </c>
      <c r="R51" s="185">
        <f t="shared" si="25"/>
        <v>0</v>
      </c>
      <c r="S51" s="185">
        <f t="shared" si="26"/>
        <v>0</v>
      </c>
      <c r="T51" s="185">
        <f t="shared" si="27"/>
        <v>0</v>
      </c>
      <c r="U51" s="185">
        <f t="shared" si="28"/>
        <v>0</v>
      </c>
      <c r="V51" s="185">
        <f t="shared" si="18"/>
        <v>219.94</v>
      </c>
    </row>
    <row r="52" spans="1:22">
      <c r="A52" s="50">
        <f>'A.1_Tabla Costes Subrogación'!A52</f>
        <v>1</v>
      </c>
      <c r="B52" s="54" t="str">
        <f>'A.1_Tabla Costes Subrogación'!B52</f>
        <v xml:space="preserve"> AUXILIAR JARD.  </v>
      </c>
      <c r="C52" s="54"/>
      <c r="D52" s="54"/>
      <c r="E52" s="179">
        <f>'A.1_Tabla Costes Subrogación'!E52</f>
        <v>39038</v>
      </c>
      <c r="F52" s="180">
        <f t="shared" si="29"/>
        <v>2006</v>
      </c>
      <c r="G52" s="181">
        <f t="shared" si="34"/>
        <v>2023</v>
      </c>
      <c r="H52" s="181">
        <f t="shared" si="30"/>
        <v>17</v>
      </c>
      <c r="I52" s="181">
        <f t="shared" si="34"/>
        <v>2027</v>
      </c>
      <c r="J52" s="181">
        <f t="shared" si="31"/>
        <v>21</v>
      </c>
      <c r="K52" s="181">
        <f t="shared" si="32"/>
        <v>19</v>
      </c>
      <c r="L52" s="185">
        <f t="shared" si="19"/>
        <v>0</v>
      </c>
      <c r="M52" s="185">
        <f t="shared" si="20"/>
        <v>0</v>
      </c>
      <c r="N52" s="185">
        <f t="shared" si="21"/>
        <v>0</v>
      </c>
      <c r="O52" s="185">
        <f t="shared" si="22"/>
        <v>0</v>
      </c>
      <c r="P52" s="185">
        <f t="shared" si="23"/>
        <v>0</v>
      </c>
      <c r="Q52" s="185">
        <f t="shared" si="24"/>
        <v>264.41000000000003</v>
      </c>
      <c r="R52" s="185">
        <f t="shared" si="25"/>
        <v>0</v>
      </c>
      <c r="S52" s="185">
        <f t="shared" si="26"/>
        <v>0</v>
      </c>
      <c r="T52" s="185">
        <f t="shared" si="27"/>
        <v>0</v>
      </c>
      <c r="U52" s="185">
        <f t="shared" si="28"/>
        <v>0</v>
      </c>
      <c r="V52" s="185">
        <f t="shared" si="18"/>
        <v>264.41000000000003</v>
      </c>
    </row>
    <row r="53" spans="1:22">
      <c r="A53" s="50">
        <f>'A.1_Tabla Costes Subrogación'!A53</f>
        <v>1</v>
      </c>
      <c r="B53" s="54" t="str">
        <f>'A.1_Tabla Costes Subrogación'!B53</f>
        <v xml:space="preserve"> AUXILIAR JARD.  </v>
      </c>
      <c r="C53" s="54"/>
      <c r="D53" s="54"/>
      <c r="E53" s="179">
        <f>'A.1_Tabla Costes Subrogación'!E53</f>
        <v>39663</v>
      </c>
      <c r="F53" s="180">
        <f t="shared" si="29"/>
        <v>2008</v>
      </c>
      <c r="G53" s="181">
        <f t="shared" si="34"/>
        <v>2023</v>
      </c>
      <c r="H53" s="181">
        <f t="shared" si="30"/>
        <v>15</v>
      </c>
      <c r="I53" s="181">
        <f t="shared" si="34"/>
        <v>2027</v>
      </c>
      <c r="J53" s="181">
        <f t="shared" si="31"/>
        <v>19</v>
      </c>
      <c r="K53" s="181">
        <f t="shared" si="32"/>
        <v>17</v>
      </c>
      <c r="L53" s="185">
        <f t="shared" si="19"/>
        <v>0</v>
      </c>
      <c r="M53" s="185">
        <f t="shared" si="20"/>
        <v>0</v>
      </c>
      <c r="N53" s="185">
        <f t="shared" si="21"/>
        <v>0</v>
      </c>
      <c r="O53" s="185">
        <f t="shared" si="22"/>
        <v>0</v>
      </c>
      <c r="P53" s="185">
        <f t="shared" si="23"/>
        <v>219.94</v>
      </c>
      <c r="Q53" s="185">
        <f t="shared" si="24"/>
        <v>0</v>
      </c>
      <c r="R53" s="185">
        <f t="shared" si="25"/>
        <v>0</v>
      </c>
      <c r="S53" s="185">
        <f t="shared" si="26"/>
        <v>0</v>
      </c>
      <c r="T53" s="185">
        <f t="shared" si="27"/>
        <v>0</v>
      </c>
      <c r="U53" s="185">
        <f t="shared" si="28"/>
        <v>0</v>
      </c>
      <c r="V53" s="185">
        <f t="shared" si="18"/>
        <v>219.94</v>
      </c>
    </row>
    <row r="54" spans="1:22">
      <c r="A54" s="50">
        <f>'A.1_Tabla Costes Subrogación'!A54</f>
        <v>1</v>
      </c>
      <c r="B54" s="54" t="str">
        <f>'A.1_Tabla Costes Subrogación'!B54</f>
        <v xml:space="preserve"> AUXILIAR JARD.  </v>
      </c>
      <c r="C54" s="54"/>
      <c r="D54" s="54"/>
      <c r="E54" s="179">
        <f>'A.1_Tabla Costes Subrogación'!E54</f>
        <v>39650</v>
      </c>
      <c r="F54" s="180">
        <f t="shared" si="29"/>
        <v>2008</v>
      </c>
      <c r="G54" s="181">
        <f t="shared" si="34"/>
        <v>2023</v>
      </c>
      <c r="H54" s="181">
        <f t="shared" si="30"/>
        <v>15</v>
      </c>
      <c r="I54" s="181">
        <f t="shared" si="34"/>
        <v>2027</v>
      </c>
      <c r="J54" s="181">
        <f t="shared" si="31"/>
        <v>19</v>
      </c>
      <c r="K54" s="181">
        <f t="shared" si="32"/>
        <v>17</v>
      </c>
      <c r="L54" s="185">
        <f t="shared" si="19"/>
        <v>0</v>
      </c>
      <c r="M54" s="185">
        <f t="shared" si="20"/>
        <v>0</v>
      </c>
      <c r="N54" s="185">
        <f t="shared" si="21"/>
        <v>0</v>
      </c>
      <c r="O54" s="185">
        <f t="shared" si="22"/>
        <v>0</v>
      </c>
      <c r="P54" s="185">
        <f t="shared" si="23"/>
        <v>219.94</v>
      </c>
      <c r="Q54" s="185">
        <f t="shared" si="24"/>
        <v>0</v>
      </c>
      <c r="R54" s="185">
        <f t="shared" si="25"/>
        <v>0</v>
      </c>
      <c r="S54" s="185">
        <f t="shared" si="26"/>
        <v>0</v>
      </c>
      <c r="T54" s="185">
        <f t="shared" si="27"/>
        <v>0</v>
      </c>
      <c r="U54" s="185">
        <f t="shared" si="28"/>
        <v>0</v>
      </c>
      <c r="V54" s="185">
        <f t="shared" si="18"/>
        <v>219.94</v>
      </c>
    </row>
    <row r="55" spans="1:22">
      <c r="A55" s="50">
        <f>'A.1_Tabla Costes Subrogación'!A55</f>
        <v>1</v>
      </c>
      <c r="B55" s="54" t="str">
        <f>'A.1_Tabla Costes Subrogación'!B55</f>
        <v xml:space="preserve"> AUXILIAR JARD.  </v>
      </c>
      <c r="C55" s="54"/>
      <c r="D55" s="54"/>
      <c r="E55" s="179">
        <f>'A.1_Tabla Costes Subrogación'!E55</f>
        <v>38749</v>
      </c>
      <c r="F55" s="180">
        <f t="shared" si="29"/>
        <v>2006</v>
      </c>
      <c r="G55" s="181">
        <f t="shared" si="34"/>
        <v>2023</v>
      </c>
      <c r="H55" s="181">
        <f t="shared" si="30"/>
        <v>17</v>
      </c>
      <c r="I55" s="181">
        <f t="shared" si="34"/>
        <v>2027</v>
      </c>
      <c r="J55" s="181">
        <f t="shared" si="31"/>
        <v>21</v>
      </c>
      <c r="K55" s="181">
        <f t="shared" si="32"/>
        <v>19</v>
      </c>
      <c r="L55" s="185">
        <f t="shared" si="19"/>
        <v>0</v>
      </c>
      <c r="M55" s="185">
        <f t="shared" si="20"/>
        <v>0</v>
      </c>
      <c r="N55" s="185">
        <f t="shared" si="21"/>
        <v>0</v>
      </c>
      <c r="O55" s="185">
        <f t="shared" si="22"/>
        <v>0</v>
      </c>
      <c r="P55" s="185">
        <f t="shared" si="23"/>
        <v>0</v>
      </c>
      <c r="Q55" s="185">
        <f t="shared" si="24"/>
        <v>264.41000000000003</v>
      </c>
      <c r="R55" s="185">
        <f t="shared" si="25"/>
        <v>0</v>
      </c>
      <c r="S55" s="185">
        <f t="shared" si="26"/>
        <v>0</v>
      </c>
      <c r="T55" s="185">
        <f t="shared" si="27"/>
        <v>0</v>
      </c>
      <c r="U55" s="185">
        <f t="shared" si="28"/>
        <v>0</v>
      </c>
      <c r="V55" s="185">
        <f t="shared" si="18"/>
        <v>264.41000000000003</v>
      </c>
    </row>
    <row r="56" spans="1:22">
      <c r="A56" s="50">
        <f>'A.1_Tabla Costes Subrogación'!A56</f>
        <v>1</v>
      </c>
      <c r="B56" s="54" t="str">
        <f>'A.1_Tabla Costes Subrogación'!B56</f>
        <v xml:space="preserve"> AUXILIAR JARD.  </v>
      </c>
      <c r="C56" s="54"/>
      <c r="D56" s="54"/>
      <c r="E56" s="179">
        <f>'A.1_Tabla Costes Subrogación'!E56</f>
        <v>38749</v>
      </c>
      <c r="F56" s="180">
        <f t="shared" si="29"/>
        <v>2006</v>
      </c>
      <c r="G56" s="181">
        <f t="shared" si="34"/>
        <v>2023</v>
      </c>
      <c r="H56" s="181">
        <f t="shared" si="30"/>
        <v>17</v>
      </c>
      <c r="I56" s="181">
        <f t="shared" si="34"/>
        <v>2027</v>
      </c>
      <c r="J56" s="181">
        <f t="shared" si="31"/>
        <v>21</v>
      </c>
      <c r="K56" s="181">
        <f t="shared" si="32"/>
        <v>19</v>
      </c>
      <c r="L56" s="185">
        <f t="shared" si="19"/>
        <v>0</v>
      </c>
      <c r="M56" s="185">
        <f t="shared" si="20"/>
        <v>0</v>
      </c>
      <c r="N56" s="185">
        <f t="shared" si="21"/>
        <v>0</v>
      </c>
      <c r="O56" s="185">
        <f t="shared" si="22"/>
        <v>0</v>
      </c>
      <c r="P56" s="185">
        <f t="shared" si="23"/>
        <v>0</v>
      </c>
      <c r="Q56" s="185">
        <f t="shared" si="24"/>
        <v>264.41000000000003</v>
      </c>
      <c r="R56" s="185">
        <f t="shared" si="25"/>
        <v>0</v>
      </c>
      <c r="S56" s="185">
        <f t="shared" si="26"/>
        <v>0</v>
      </c>
      <c r="T56" s="185">
        <f t="shared" si="27"/>
        <v>0</v>
      </c>
      <c r="U56" s="185">
        <f t="shared" si="28"/>
        <v>0</v>
      </c>
      <c r="V56" s="185">
        <f t="shared" si="18"/>
        <v>264.41000000000003</v>
      </c>
    </row>
    <row r="57" spans="1:22">
      <c r="A57" s="50">
        <f>'A.1_Tabla Costes Subrogación'!A57</f>
        <v>1</v>
      </c>
      <c r="B57" s="54" t="str">
        <f>'A.1_Tabla Costes Subrogación'!B57</f>
        <v xml:space="preserve"> AUXILIAR JARD.  </v>
      </c>
      <c r="C57" s="54"/>
      <c r="D57" s="54"/>
      <c r="E57" s="179">
        <f>'A.1_Tabla Costes Subrogación'!E57</f>
        <v>40196</v>
      </c>
      <c r="F57" s="180">
        <f t="shared" si="29"/>
        <v>2010</v>
      </c>
      <c r="G57" s="181">
        <f t="shared" si="34"/>
        <v>2023</v>
      </c>
      <c r="H57" s="181">
        <f t="shared" si="30"/>
        <v>13</v>
      </c>
      <c r="I57" s="181">
        <f t="shared" si="34"/>
        <v>2027</v>
      </c>
      <c r="J57" s="181">
        <f t="shared" si="31"/>
        <v>17</v>
      </c>
      <c r="K57" s="181">
        <f t="shared" si="32"/>
        <v>15</v>
      </c>
      <c r="L57" s="185">
        <f t="shared" si="19"/>
        <v>0</v>
      </c>
      <c r="M57" s="185">
        <f t="shared" si="20"/>
        <v>0</v>
      </c>
      <c r="N57" s="185">
        <f t="shared" si="21"/>
        <v>0</v>
      </c>
      <c r="O57" s="185">
        <f t="shared" si="22"/>
        <v>0</v>
      </c>
      <c r="P57" s="185">
        <f t="shared" si="23"/>
        <v>219.94</v>
      </c>
      <c r="Q57" s="185">
        <f t="shared" si="24"/>
        <v>0</v>
      </c>
      <c r="R57" s="185">
        <f t="shared" si="25"/>
        <v>0</v>
      </c>
      <c r="S57" s="185">
        <f t="shared" si="26"/>
        <v>0</v>
      </c>
      <c r="T57" s="185">
        <f t="shared" si="27"/>
        <v>0</v>
      </c>
      <c r="U57" s="185">
        <f t="shared" si="28"/>
        <v>0</v>
      </c>
      <c r="V57" s="185">
        <f t="shared" si="18"/>
        <v>219.94</v>
      </c>
    </row>
    <row r="58" spans="1:22">
      <c r="A58" s="50">
        <f>'A.1_Tabla Costes Subrogación'!A58</f>
        <v>1</v>
      </c>
      <c r="B58" s="54" t="str">
        <f>'A.1_Tabla Costes Subrogación'!B58</f>
        <v xml:space="preserve"> AUXILIAR JARD.  </v>
      </c>
      <c r="C58" s="54"/>
      <c r="D58" s="54"/>
      <c r="E58" s="179">
        <f>'A.1_Tabla Costes Subrogación'!E58</f>
        <v>39539</v>
      </c>
      <c r="F58" s="180">
        <f t="shared" si="29"/>
        <v>2008</v>
      </c>
      <c r="G58" s="181">
        <f t="shared" si="34"/>
        <v>2023</v>
      </c>
      <c r="H58" s="181">
        <f t="shared" si="30"/>
        <v>15</v>
      </c>
      <c r="I58" s="181">
        <f t="shared" si="34"/>
        <v>2027</v>
      </c>
      <c r="J58" s="181">
        <f t="shared" si="31"/>
        <v>19</v>
      </c>
      <c r="K58" s="181">
        <f t="shared" si="32"/>
        <v>17</v>
      </c>
      <c r="L58" s="185">
        <f t="shared" si="19"/>
        <v>0</v>
      </c>
      <c r="M58" s="185">
        <f t="shared" si="20"/>
        <v>0</v>
      </c>
      <c r="N58" s="185">
        <f t="shared" si="21"/>
        <v>0</v>
      </c>
      <c r="O58" s="185">
        <f t="shared" si="22"/>
        <v>0</v>
      </c>
      <c r="P58" s="185">
        <f t="shared" si="23"/>
        <v>219.94</v>
      </c>
      <c r="Q58" s="185">
        <f t="shared" si="24"/>
        <v>0</v>
      </c>
      <c r="R58" s="185">
        <f t="shared" si="25"/>
        <v>0</v>
      </c>
      <c r="S58" s="185">
        <f t="shared" si="26"/>
        <v>0</v>
      </c>
      <c r="T58" s="185">
        <f t="shared" si="27"/>
        <v>0</v>
      </c>
      <c r="U58" s="185">
        <f t="shared" si="28"/>
        <v>0</v>
      </c>
      <c r="V58" s="185">
        <f t="shared" si="18"/>
        <v>219.94</v>
      </c>
    </row>
    <row r="59" spans="1:22">
      <c r="A59" s="50">
        <f>'A.1_Tabla Costes Subrogación'!A59</f>
        <v>1</v>
      </c>
      <c r="B59" s="54" t="str">
        <f>'A.1_Tabla Costes Subrogación'!B59</f>
        <v xml:space="preserve"> AUXILIAR JARD.  </v>
      </c>
      <c r="C59" s="54"/>
      <c r="D59" s="54"/>
      <c r="E59" s="179">
        <f>'A.1_Tabla Costes Subrogación'!E59</f>
        <v>38749</v>
      </c>
      <c r="F59" s="180">
        <f t="shared" si="29"/>
        <v>2006</v>
      </c>
      <c r="G59" s="181">
        <f t="shared" si="34"/>
        <v>2023</v>
      </c>
      <c r="H59" s="181">
        <f t="shared" si="30"/>
        <v>17</v>
      </c>
      <c r="I59" s="181">
        <f t="shared" si="34"/>
        <v>2027</v>
      </c>
      <c r="J59" s="181">
        <f t="shared" si="31"/>
        <v>21</v>
      </c>
      <c r="K59" s="181">
        <f t="shared" si="32"/>
        <v>19</v>
      </c>
      <c r="L59" s="185">
        <f t="shared" si="19"/>
        <v>0</v>
      </c>
      <c r="M59" s="185">
        <f t="shared" si="20"/>
        <v>0</v>
      </c>
      <c r="N59" s="185">
        <f t="shared" si="21"/>
        <v>0</v>
      </c>
      <c r="O59" s="185">
        <f t="shared" si="22"/>
        <v>0</v>
      </c>
      <c r="P59" s="185">
        <f t="shared" si="23"/>
        <v>0</v>
      </c>
      <c r="Q59" s="185">
        <f t="shared" si="24"/>
        <v>264.41000000000003</v>
      </c>
      <c r="R59" s="185">
        <f t="shared" si="25"/>
        <v>0</v>
      </c>
      <c r="S59" s="185">
        <f t="shared" si="26"/>
        <v>0</v>
      </c>
      <c r="T59" s="185">
        <f t="shared" si="27"/>
        <v>0</v>
      </c>
      <c r="U59" s="185">
        <f t="shared" si="28"/>
        <v>0</v>
      </c>
      <c r="V59" s="185">
        <f t="shared" si="18"/>
        <v>264.41000000000003</v>
      </c>
    </row>
    <row r="60" spans="1:22">
      <c r="A60" s="50">
        <f>'A.1_Tabla Costes Subrogación'!A60</f>
        <v>1</v>
      </c>
      <c r="B60" s="54" t="str">
        <f>'A.1_Tabla Costes Subrogación'!B60</f>
        <v xml:space="preserve"> AUXILIAR JARD.  </v>
      </c>
      <c r="C60" s="54"/>
      <c r="D60" s="54"/>
      <c r="E60" s="179">
        <f>'A.1_Tabla Costes Subrogación'!E60</f>
        <v>38749</v>
      </c>
      <c r="F60" s="180">
        <f t="shared" si="29"/>
        <v>2006</v>
      </c>
      <c r="G60" s="181">
        <f t="shared" si="34"/>
        <v>2023</v>
      </c>
      <c r="H60" s="181">
        <f t="shared" si="30"/>
        <v>17</v>
      </c>
      <c r="I60" s="181">
        <f t="shared" si="34"/>
        <v>2027</v>
      </c>
      <c r="J60" s="181">
        <f t="shared" si="31"/>
        <v>21</v>
      </c>
      <c r="K60" s="181">
        <f t="shared" si="32"/>
        <v>19</v>
      </c>
      <c r="L60" s="185">
        <f t="shared" si="19"/>
        <v>0</v>
      </c>
      <c r="M60" s="185">
        <f t="shared" si="20"/>
        <v>0</v>
      </c>
      <c r="N60" s="185">
        <f t="shared" si="21"/>
        <v>0</v>
      </c>
      <c r="O60" s="185">
        <f t="shared" si="22"/>
        <v>0</v>
      </c>
      <c r="P60" s="185">
        <f t="shared" si="23"/>
        <v>0</v>
      </c>
      <c r="Q60" s="185">
        <f t="shared" si="24"/>
        <v>264.41000000000003</v>
      </c>
      <c r="R60" s="185">
        <f t="shared" si="25"/>
        <v>0</v>
      </c>
      <c r="S60" s="185">
        <f t="shared" si="26"/>
        <v>0</v>
      </c>
      <c r="T60" s="185">
        <f t="shared" si="27"/>
        <v>0</v>
      </c>
      <c r="U60" s="185">
        <f t="shared" si="28"/>
        <v>0</v>
      </c>
      <c r="V60" s="185">
        <f t="shared" si="18"/>
        <v>264.41000000000003</v>
      </c>
    </row>
    <row r="61" spans="1:22">
      <c r="A61" s="50">
        <f>'A.1_Tabla Costes Subrogación'!A61</f>
        <v>1</v>
      </c>
      <c r="B61" s="54" t="str">
        <f>'A.1_Tabla Costes Subrogación'!B61</f>
        <v xml:space="preserve"> AUXILIAR JARD.  </v>
      </c>
      <c r="C61" s="54"/>
      <c r="D61" s="54"/>
      <c r="E61" s="179">
        <f>'A.1_Tabla Costes Subrogación'!E61</f>
        <v>35827</v>
      </c>
      <c r="F61" s="180">
        <f t="shared" si="29"/>
        <v>1998</v>
      </c>
      <c r="G61" s="181">
        <f t="shared" si="34"/>
        <v>2023</v>
      </c>
      <c r="H61" s="181">
        <f t="shared" si="30"/>
        <v>25</v>
      </c>
      <c r="I61" s="181">
        <f t="shared" si="34"/>
        <v>2027</v>
      </c>
      <c r="J61" s="181">
        <f t="shared" si="31"/>
        <v>29</v>
      </c>
      <c r="K61" s="181">
        <f t="shared" si="32"/>
        <v>27</v>
      </c>
      <c r="L61" s="185">
        <f t="shared" si="19"/>
        <v>0</v>
      </c>
      <c r="M61" s="185">
        <f t="shared" si="20"/>
        <v>0</v>
      </c>
      <c r="N61" s="185">
        <f t="shared" si="21"/>
        <v>0</v>
      </c>
      <c r="O61" s="185">
        <f t="shared" si="22"/>
        <v>0</v>
      </c>
      <c r="P61" s="185">
        <f t="shared" si="23"/>
        <v>0</v>
      </c>
      <c r="Q61" s="185">
        <f t="shared" si="24"/>
        <v>0</v>
      </c>
      <c r="R61" s="185">
        <f t="shared" si="25"/>
        <v>0</v>
      </c>
      <c r="S61" s="185">
        <f t="shared" si="26"/>
        <v>0</v>
      </c>
      <c r="T61" s="185">
        <f t="shared" si="27"/>
        <v>0</v>
      </c>
      <c r="U61" s="185">
        <f t="shared" si="28"/>
        <v>421.15</v>
      </c>
      <c r="V61" s="185">
        <f t="shared" si="18"/>
        <v>421.15</v>
      </c>
    </row>
    <row r="62" spans="1:22">
      <c r="A62" s="50">
        <f>'A.1_Tabla Costes Subrogación'!A62</f>
        <v>1</v>
      </c>
      <c r="B62" s="54" t="str">
        <f>'A.1_Tabla Costes Subrogación'!B62</f>
        <v xml:space="preserve"> AUXILIAR JARD.  </v>
      </c>
      <c r="C62" s="54"/>
      <c r="D62" s="54"/>
      <c r="E62" s="179">
        <f>'A.1_Tabla Costes Subrogación'!E62</f>
        <v>38749</v>
      </c>
      <c r="F62" s="180">
        <f t="shared" si="29"/>
        <v>2006</v>
      </c>
      <c r="G62" s="181">
        <f t="shared" si="34"/>
        <v>2023</v>
      </c>
      <c r="H62" s="181">
        <f t="shared" si="30"/>
        <v>17</v>
      </c>
      <c r="I62" s="181">
        <f t="shared" si="34"/>
        <v>2027</v>
      </c>
      <c r="J62" s="181">
        <f t="shared" si="31"/>
        <v>21</v>
      </c>
      <c r="K62" s="181">
        <f t="shared" si="32"/>
        <v>19</v>
      </c>
      <c r="L62" s="185">
        <f t="shared" si="19"/>
        <v>0</v>
      </c>
      <c r="M62" s="185">
        <f t="shared" si="20"/>
        <v>0</v>
      </c>
      <c r="N62" s="185">
        <f t="shared" si="21"/>
        <v>0</v>
      </c>
      <c r="O62" s="185">
        <f t="shared" si="22"/>
        <v>0</v>
      </c>
      <c r="P62" s="185">
        <f t="shared" si="23"/>
        <v>0</v>
      </c>
      <c r="Q62" s="185">
        <f t="shared" si="24"/>
        <v>264.41000000000003</v>
      </c>
      <c r="R62" s="185">
        <f t="shared" si="25"/>
        <v>0</v>
      </c>
      <c r="S62" s="185">
        <f t="shared" si="26"/>
        <v>0</v>
      </c>
      <c r="T62" s="185">
        <f t="shared" si="27"/>
        <v>0</v>
      </c>
      <c r="U62" s="185">
        <f t="shared" si="28"/>
        <v>0</v>
      </c>
      <c r="V62" s="185">
        <f t="shared" si="18"/>
        <v>264.41000000000003</v>
      </c>
    </row>
    <row r="63" spans="1:22">
      <c r="A63" s="50">
        <f>'A.1_Tabla Costes Subrogación'!A63</f>
        <v>1</v>
      </c>
      <c r="B63" s="54" t="str">
        <f>'A.1_Tabla Costes Subrogación'!B63</f>
        <v xml:space="preserve"> AUXILIAR JARD.  </v>
      </c>
      <c r="C63" s="54"/>
      <c r="D63" s="54"/>
      <c r="E63" s="179">
        <f>'A.1_Tabla Costes Subrogación'!E63</f>
        <v>38932</v>
      </c>
      <c r="F63" s="180">
        <f t="shared" ref="F63" si="35">YEAR(E63)</f>
        <v>2006</v>
      </c>
      <c r="G63" s="181">
        <f t="shared" si="34"/>
        <v>2023</v>
      </c>
      <c r="H63" s="181">
        <f t="shared" ref="H63" si="36">G63-F63</f>
        <v>17</v>
      </c>
      <c r="I63" s="181">
        <f t="shared" si="34"/>
        <v>2027</v>
      </c>
      <c r="J63" s="181">
        <f t="shared" ref="J63" si="37">I63-F63</f>
        <v>21</v>
      </c>
      <c r="K63" s="181">
        <f t="shared" ref="K63" si="38">(H63+J63)/2</f>
        <v>19</v>
      </c>
      <c r="L63" s="185">
        <f t="shared" si="19"/>
        <v>0</v>
      </c>
      <c r="M63" s="185">
        <f t="shared" si="20"/>
        <v>0</v>
      </c>
      <c r="N63" s="185">
        <f t="shared" si="21"/>
        <v>0</v>
      </c>
      <c r="O63" s="185">
        <f t="shared" si="22"/>
        <v>0</v>
      </c>
      <c r="P63" s="185">
        <f t="shared" si="23"/>
        <v>0</v>
      </c>
      <c r="Q63" s="185">
        <f t="shared" si="24"/>
        <v>264.41000000000003</v>
      </c>
      <c r="R63" s="185">
        <f t="shared" si="25"/>
        <v>0</v>
      </c>
      <c r="S63" s="185">
        <f t="shared" si="26"/>
        <v>0</v>
      </c>
      <c r="T63" s="185">
        <f t="shared" si="27"/>
        <v>0</v>
      </c>
      <c r="U63" s="185">
        <f t="shared" si="28"/>
        <v>0</v>
      </c>
      <c r="V63" s="185">
        <f t="shared" si="18"/>
        <v>264.41000000000003</v>
      </c>
    </row>
    <row r="64" spans="1:22">
      <c r="A64" s="50">
        <f>'A.1_Tabla Costes Subrogación'!A64</f>
        <v>1</v>
      </c>
      <c r="B64" s="54" t="str">
        <f>'A.1_Tabla Costes Subrogación'!B64</f>
        <v xml:space="preserve"> AUXILIAR JARD.  </v>
      </c>
      <c r="C64" s="54"/>
      <c r="D64" s="54"/>
      <c r="E64" s="179">
        <f>'A.1_Tabla Costes Subrogación'!E64</f>
        <v>38932</v>
      </c>
      <c r="F64" s="180">
        <f t="shared" ref="F64" si="39">YEAR(E64)</f>
        <v>2006</v>
      </c>
      <c r="G64" s="181">
        <f t="shared" si="34"/>
        <v>2023</v>
      </c>
      <c r="H64" s="181">
        <f t="shared" ref="H64" si="40">G64-F64</f>
        <v>17</v>
      </c>
      <c r="I64" s="181">
        <f t="shared" si="34"/>
        <v>2027</v>
      </c>
      <c r="J64" s="181">
        <f t="shared" ref="J64" si="41">I64-F64</f>
        <v>21</v>
      </c>
      <c r="K64" s="181">
        <f t="shared" ref="K64" si="42">(H64+J64)/2</f>
        <v>19</v>
      </c>
      <c r="L64" s="185">
        <f t="shared" si="19"/>
        <v>0</v>
      </c>
      <c r="M64" s="185">
        <f t="shared" si="20"/>
        <v>0</v>
      </c>
      <c r="N64" s="185">
        <f t="shared" si="21"/>
        <v>0</v>
      </c>
      <c r="O64" s="185">
        <f t="shared" si="22"/>
        <v>0</v>
      </c>
      <c r="P64" s="185">
        <f t="shared" si="23"/>
        <v>0</v>
      </c>
      <c r="Q64" s="185">
        <f t="shared" si="24"/>
        <v>264.41000000000003</v>
      </c>
      <c r="R64" s="185">
        <f t="shared" si="25"/>
        <v>0</v>
      </c>
      <c r="S64" s="185">
        <f t="shared" si="26"/>
        <v>0</v>
      </c>
      <c r="T64" s="185">
        <f t="shared" si="27"/>
        <v>0</v>
      </c>
      <c r="U64" s="185">
        <f t="shared" si="28"/>
        <v>0</v>
      </c>
      <c r="V64" s="185">
        <f t="shared" si="18"/>
        <v>264.41000000000003</v>
      </c>
    </row>
    <row r="65" spans="1:22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</row>
    <row r="66" spans="1:22">
      <c r="A66" s="50">
        <f>'A.1_Tabla Costes Subrogación'!A66</f>
        <v>1</v>
      </c>
      <c r="B66" s="54" t="str">
        <f>'A.1_Tabla Costes Subrogación'!B66</f>
        <v xml:space="preserve"> JARDINERO/A</v>
      </c>
      <c r="C66" s="54"/>
      <c r="D66" s="54"/>
      <c r="E66" s="179">
        <f>'A.1_Tabla Costes Subrogación'!E66</f>
        <v>42174</v>
      </c>
      <c r="F66" s="180">
        <f t="shared" ref="F66:F67" si="43">YEAR(E66)</f>
        <v>2015</v>
      </c>
      <c r="G66" s="181">
        <f t="shared" ref="G66:I69" si="44">G$4</f>
        <v>2023</v>
      </c>
      <c r="H66" s="181">
        <f t="shared" ref="H66:H67" si="45">G66-F66</f>
        <v>8</v>
      </c>
      <c r="I66" s="181">
        <f t="shared" si="44"/>
        <v>2027</v>
      </c>
      <c r="J66" s="181">
        <f t="shared" ref="J66:J67" si="46">I66-F66</f>
        <v>12</v>
      </c>
      <c r="K66" s="181">
        <f t="shared" ref="K66:K67" si="47">(H66+J66)/2</f>
        <v>10</v>
      </c>
      <c r="L66" s="185">
        <f>IF(AND(K66&gt;0,K66&lt;3),L$99,0)</f>
        <v>0</v>
      </c>
      <c r="M66" s="185">
        <f>IF(AND(K66&gt;2,K66&lt;7),M$99,0)</f>
        <v>0</v>
      </c>
      <c r="N66" s="185">
        <f>IF(AND(K66&gt;6,K66&lt;11),N$99,0)</f>
        <v>122.83</v>
      </c>
      <c r="O66" s="185">
        <f>IF(AND(K66&gt;10,K66&lt;15),O$99,0)</f>
        <v>0</v>
      </c>
      <c r="P66" s="185">
        <f>IF(AND(K66&gt;14,K66&lt;19),P$99,0)</f>
        <v>0</v>
      </c>
      <c r="Q66" s="185">
        <f>IF(AND(K66&gt;18,K66&lt;21),Q$99,0)</f>
        <v>0</v>
      </c>
      <c r="R66" s="185">
        <f>IF(AND(K66&gt;20,K66&lt;23),R$99,0)</f>
        <v>0</v>
      </c>
      <c r="S66" s="185">
        <f>IF(AND(K66&gt;22,K66&lt;25),S$99,0)</f>
        <v>0</v>
      </c>
      <c r="T66" s="185">
        <f>IF(AND(K66&gt;24,K66&lt;27),T$99,0)</f>
        <v>0</v>
      </c>
      <c r="U66" s="185">
        <f>IF(K66&gt;26,U$99,0)</f>
        <v>0</v>
      </c>
      <c r="V66" s="185">
        <f t="shared" ref="V66:V69" si="48">IF(A66&gt;0,(SUM(L66:U66)),0)</f>
        <v>122.83</v>
      </c>
    </row>
    <row r="67" spans="1:22">
      <c r="A67" s="50">
        <f>'A.1_Tabla Costes Subrogación'!A67</f>
        <v>1</v>
      </c>
      <c r="B67" s="54" t="str">
        <f>'A.1_Tabla Costes Subrogación'!B67</f>
        <v xml:space="preserve"> JARDINERO/A</v>
      </c>
      <c r="C67" s="54"/>
      <c r="D67" s="54"/>
      <c r="E67" s="179">
        <f>'A.1_Tabla Costes Subrogación'!E67</f>
        <v>42174</v>
      </c>
      <c r="F67" s="180">
        <f t="shared" si="43"/>
        <v>2015</v>
      </c>
      <c r="G67" s="181">
        <f t="shared" si="44"/>
        <v>2023</v>
      </c>
      <c r="H67" s="181">
        <f t="shared" si="45"/>
        <v>8</v>
      </c>
      <c r="I67" s="181">
        <f t="shared" si="44"/>
        <v>2027</v>
      </c>
      <c r="J67" s="181">
        <f t="shared" si="46"/>
        <v>12</v>
      </c>
      <c r="K67" s="181">
        <f t="shared" si="47"/>
        <v>10</v>
      </c>
      <c r="L67" s="185">
        <f>IF(AND(K67&gt;0,K67&lt;3),L$99,0)</f>
        <v>0</v>
      </c>
      <c r="M67" s="185">
        <f>IF(AND(K67&gt;2,K67&lt;7),M$99,0)</f>
        <v>0</v>
      </c>
      <c r="N67" s="185">
        <f>IF(AND(K67&gt;6,K67&lt;11),N$99,0)</f>
        <v>122.83</v>
      </c>
      <c r="O67" s="185">
        <f>IF(AND(K67&gt;10,K67&lt;15),O$99,0)</f>
        <v>0</v>
      </c>
      <c r="P67" s="185">
        <f>IF(AND(K67&gt;14,K67&lt;19),P$99,0)</f>
        <v>0</v>
      </c>
      <c r="Q67" s="185">
        <f>IF(AND(K67&gt;18,K67&lt;21),Q$99,0)</f>
        <v>0</v>
      </c>
      <c r="R67" s="185">
        <f>IF(AND(K67&gt;20,K67&lt;23),R$99,0)</f>
        <v>0</v>
      </c>
      <c r="S67" s="185">
        <f>IF(AND(K67&gt;22,K67&lt;25),S$99,0)</f>
        <v>0</v>
      </c>
      <c r="T67" s="185">
        <f>IF(AND(K67&gt;24,K67&lt;27),T$99,0)</f>
        <v>0</v>
      </c>
      <c r="U67" s="185">
        <f>IF(K67&gt;26,U$99,0)</f>
        <v>0</v>
      </c>
      <c r="V67" s="185">
        <f t="shared" si="48"/>
        <v>122.83</v>
      </c>
    </row>
    <row r="68" spans="1:22">
      <c r="A68" s="50">
        <f>'A.1_Tabla Costes Subrogación'!A68</f>
        <v>1</v>
      </c>
      <c r="B68" s="54" t="str">
        <f>'A.1_Tabla Costes Subrogación'!B68</f>
        <v xml:space="preserve"> JARDINERO/A</v>
      </c>
      <c r="C68" s="54"/>
      <c r="D68" s="54"/>
      <c r="E68" s="179">
        <f>'A.1_Tabla Costes Subrogación'!E68</f>
        <v>43270</v>
      </c>
      <c r="F68" s="180">
        <f t="shared" ref="F68:F69" si="49">YEAR(E68)</f>
        <v>2018</v>
      </c>
      <c r="G68" s="181">
        <f t="shared" si="44"/>
        <v>2023</v>
      </c>
      <c r="H68" s="181">
        <f t="shared" ref="H68:H69" si="50">G68-F68</f>
        <v>5</v>
      </c>
      <c r="I68" s="181">
        <f t="shared" si="44"/>
        <v>2027</v>
      </c>
      <c r="J68" s="181">
        <f t="shared" ref="J68:J69" si="51">I68-F68</f>
        <v>9</v>
      </c>
      <c r="K68" s="181">
        <f t="shared" ref="K68:K69" si="52">(H68+J68)/2</f>
        <v>7</v>
      </c>
      <c r="L68" s="185">
        <f>IF(AND(K68&gt;0,K68&lt;3),L$99,0)</f>
        <v>0</v>
      </c>
      <c r="M68" s="185">
        <f>IF(AND(K68&gt;2,K68&lt;7),M$99,0)</f>
        <v>0</v>
      </c>
      <c r="N68" s="185">
        <f>IF(AND(K68&gt;6,K68&lt;11),N$99,0)</f>
        <v>122.83</v>
      </c>
      <c r="O68" s="185">
        <f>IF(AND(K68&gt;10,K68&lt;15),O$99,0)</f>
        <v>0</v>
      </c>
      <c r="P68" s="185">
        <f>IF(AND(K68&gt;14,K68&lt;19),P$99,0)</f>
        <v>0</v>
      </c>
      <c r="Q68" s="185">
        <f>IF(AND(K68&gt;18,K68&lt;21),Q$99,0)</f>
        <v>0</v>
      </c>
      <c r="R68" s="185">
        <f>IF(AND(K68&gt;20,K68&lt;23),R$99,0)</f>
        <v>0</v>
      </c>
      <c r="S68" s="185">
        <f>IF(AND(K68&gt;22,K68&lt;25),S$99,0)</f>
        <v>0</v>
      </c>
      <c r="T68" s="185">
        <f>IF(AND(K68&gt;24,K68&lt;27),T$99,0)</f>
        <v>0</v>
      </c>
      <c r="U68" s="185">
        <f>IF(K68&gt;26,U$99,0)</f>
        <v>0</v>
      </c>
      <c r="V68" s="185">
        <f t="shared" si="48"/>
        <v>122.83</v>
      </c>
    </row>
    <row r="69" spans="1:22">
      <c r="A69" s="50">
        <f>'A.1_Tabla Costes Subrogación'!A69</f>
        <v>0</v>
      </c>
      <c r="B69" s="54" t="str">
        <f>'A.1_Tabla Costes Subrogación'!B69</f>
        <v xml:space="preserve"> JARDINERO/A</v>
      </c>
      <c r="C69" s="54"/>
      <c r="D69" s="54"/>
      <c r="E69" s="179">
        <f>'A.1_Tabla Costes Subrogación'!E69</f>
        <v>40348</v>
      </c>
      <c r="F69" s="180">
        <f t="shared" si="49"/>
        <v>2010</v>
      </c>
      <c r="G69" s="181">
        <f t="shared" si="44"/>
        <v>2023</v>
      </c>
      <c r="H69" s="181">
        <f t="shared" si="50"/>
        <v>13</v>
      </c>
      <c r="I69" s="181">
        <f t="shared" si="44"/>
        <v>2027</v>
      </c>
      <c r="J69" s="181">
        <f t="shared" si="51"/>
        <v>17</v>
      </c>
      <c r="K69" s="181">
        <f t="shared" si="52"/>
        <v>15</v>
      </c>
      <c r="L69" s="185">
        <f>IF(AND(K69&gt;0,K69&lt;3),L$99,0)</f>
        <v>0</v>
      </c>
      <c r="M69" s="185">
        <f>IF(AND(K69&gt;2,K69&lt;7),M$99,0)</f>
        <v>0</v>
      </c>
      <c r="N69" s="185">
        <f>IF(AND(K69&gt;6,K69&lt;11),N$99,0)</f>
        <v>0</v>
      </c>
      <c r="O69" s="185">
        <f>IF(AND(K69&gt;10,K69&lt;15),O$99,0)</f>
        <v>0</v>
      </c>
      <c r="P69" s="185">
        <f>IF(AND(K69&gt;14,K69&lt;19),P$99,0)</f>
        <v>219.94</v>
      </c>
      <c r="Q69" s="185">
        <f>IF(AND(K69&gt;18,K69&lt;21),Q$99,0)</f>
        <v>0</v>
      </c>
      <c r="R69" s="185">
        <f>IF(AND(K69&gt;20,K69&lt;23),R$99,0)</f>
        <v>0</v>
      </c>
      <c r="S69" s="185">
        <f>IF(AND(K69&gt;22,K69&lt;25),S$99,0)</f>
        <v>0</v>
      </c>
      <c r="T69" s="185">
        <f>IF(AND(K69&gt;24,K69&lt;27),T$99,0)</f>
        <v>0</v>
      </c>
      <c r="U69" s="185">
        <f>IF(K69&gt;26,U$99,0)</f>
        <v>0</v>
      </c>
      <c r="V69" s="185">
        <f t="shared" si="48"/>
        <v>0</v>
      </c>
    </row>
    <row r="70" spans="1:22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</row>
    <row r="71" spans="1:22">
      <c r="A71" s="50">
        <f>'A.1_Tabla Costes Subrogación'!A71</f>
        <v>1</v>
      </c>
      <c r="B71" s="54" t="str">
        <f>'A.1_Tabla Costes Subrogación'!B71</f>
        <v xml:space="preserve"> OFICIAL JARD.  </v>
      </c>
      <c r="C71" s="54"/>
      <c r="D71" s="54"/>
      <c r="E71" s="179">
        <f>'A.1_Tabla Costes Subrogación'!E71</f>
        <v>38749</v>
      </c>
      <c r="F71" s="180">
        <f t="shared" ref="F71:F84" si="53">YEAR(E71)</f>
        <v>2006</v>
      </c>
      <c r="G71" s="181">
        <f t="shared" ref="G71:I84" si="54">G$4</f>
        <v>2023</v>
      </c>
      <c r="H71" s="181">
        <f t="shared" ref="H71:H84" si="55">G71-F71</f>
        <v>17</v>
      </c>
      <c r="I71" s="181">
        <f t="shared" si="54"/>
        <v>2027</v>
      </c>
      <c r="J71" s="181">
        <f t="shared" ref="J71:J84" si="56">I71-F71</f>
        <v>21</v>
      </c>
      <c r="K71" s="181">
        <f t="shared" ref="K71:K84" si="57">(H71+J71)/2</f>
        <v>19</v>
      </c>
      <c r="L71" s="185">
        <f t="shared" ref="L71:L84" si="58">IF(AND(K71&gt;0,K71&lt;3),L$99,0)</f>
        <v>0</v>
      </c>
      <c r="M71" s="185">
        <f t="shared" ref="M71:M84" si="59">IF(AND(K71&gt;2,K71&lt;7),M$99,0)</f>
        <v>0</v>
      </c>
      <c r="N71" s="185">
        <f t="shared" ref="N71:N84" si="60">IF(AND(K71&gt;6,K71&lt;11),N$99,0)</f>
        <v>0</v>
      </c>
      <c r="O71" s="185">
        <f t="shared" ref="O71:O84" si="61">IF(AND(K71&gt;10,K71&lt;15),O$99,0)</f>
        <v>0</v>
      </c>
      <c r="P71" s="185">
        <f t="shared" ref="P71:P84" si="62">IF(AND(K71&gt;14,K71&lt;19),P$99,0)</f>
        <v>0</v>
      </c>
      <c r="Q71" s="185">
        <f t="shared" ref="Q71:Q84" si="63">IF(AND(K71&gt;18,K71&lt;21),Q$99,0)</f>
        <v>264.41000000000003</v>
      </c>
      <c r="R71" s="185">
        <f t="shared" ref="R71:R84" si="64">IF(AND(K71&gt;20,K71&lt;23),R$99,0)</f>
        <v>0</v>
      </c>
      <c r="S71" s="185">
        <f t="shared" ref="S71:S84" si="65">IF(AND(K71&gt;22,K71&lt;25),S$99,0)</f>
        <v>0</v>
      </c>
      <c r="T71" s="185">
        <f t="shared" ref="T71:T84" si="66">IF(AND(K71&gt;24,K71&lt;27),T$99,0)</f>
        <v>0</v>
      </c>
      <c r="U71" s="185">
        <f t="shared" ref="U71:U84" si="67">IF(K71&gt;26,U$99,0)</f>
        <v>0</v>
      </c>
      <c r="V71" s="185">
        <f t="shared" ref="V71:V84" si="68">IF(A71&gt;0,(SUM(L71:U71)),0)</f>
        <v>264.41000000000003</v>
      </c>
    </row>
    <row r="72" spans="1:22">
      <c r="A72" s="50">
        <f>'A.1_Tabla Costes Subrogación'!A72</f>
        <v>1</v>
      </c>
      <c r="B72" s="54" t="str">
        <f>'A.1_Tabla Costes Subrogación'!B72</f>
        <v xml:space="preserve"> OFICIAL JARD.  </v>
      </c>
      <c r="C72" s="54"/>
      <c r="D72" s="54"/>
      <c r="E72" s="179">
        <f>'A.1_Tabla Costes Subrogación'!E72</f>
        <v>38932</v>
      </c>
      <c r="F72" s="180">
        <f t="shared" si="53"/>
        <v>2006</v>
      </c>
      <c r="G72" s="181">
        <f t="shared" si="54"/>
        <v>2023</v>
      </c>
      <c r="H72" s="181">
        <f t="shared" si="55"/>
        <v>17</v>
      </c>
      <c r="I72" s="181">
        <f t="shared" si="54"/>
        <v>2027</v>
      </c>
      <c r="J72" s="181">
        <f t="shared" si="56"/>
        <v>21</v>
      </c>
      <c r="K72" s="181">
        <f t="shared" si="57"/>
        <v>19</v>
      </c>
      <c r="L72" s="185">
        <f t="shared" si="58"/>
        <v>0</v>
      </c>
      <c r="M72" s="185">
        <f t="shared" si="59"/>
        <v>0</v>
      </c>
      <c r="N72" s="185">
        <f t="shared" si="60"/>
        <v>0</v>
      </c>
      <c r="O72" s="185">
        <f t="shared" si="61"/>
        <v>0</v>
      </c>
      <c r="P72" s="185">
        <f t="shared" si="62"/>
        <v>0</v>
      </c>
      <c r="Q72" s="185">
        <f t="shared" si="63"/>
        <v>264.41000000000003</v>
      </c>
      <c r="R72" s="185">
        <f t="shared" si="64"/>
        <v>0</v>
      </c>
      <c r="S72" s="185">
        <f t="shared" si="65"/>
        <v>0</v>
      </c>
      <c r="T72" s="185">
        <f t="shared" si="66"/>
        <v>0</v>
      </c>
      <c r="U72" s="185">
        <f t="shared" si="67"/>
        <v>0</v>
      </c>
      <c r="V72" s="185">
        <f t="shared" si="68"/>
        <v>264.41000000000003</v>
      </c>
    </row>
    <row r="73" spans="1:22">
      <c r="A73" s="50">
        <f>'A.1_Tabla Costes Subrogación'!A73</f>
        <v>1</v>
      </c>
      <c r="B73" s="54" t="str">
        <f>'A.1_Tabla Costes Subrogación'!B73</f>
        <v xml:space="preserve"> OFICIAL JARD.  </v>
      </c>
      <c r="C73" s="54"/>
      <c r="D73" s="54"/>
      <c r="E73" s="179">
        <f>'A.1_Tabla Costes Subrogación'!E73</f>
        <v>38932</v>
      </c>
      <c r="F73" s="180">
        <f t="shared" si="53"/>
        <v>2006</v>
      </c>
      <c r="G73" s="181">
        <f t="shared" si="54"/>
        <v>2023</v>
      </c>
      <c r="H73" s="181">
        <f t="shared" si="55"/>
        <v>17</v>
      </c>
      <c r="I73" s="181">
        <f t="shared" si="54"/>
        <v>2027</v>
      </c>
      <c r="J73" s="181">
        <f t="shared" si="56"/>
        <v>21</v>
      </c>
      <c r="K73" s="181">
        <f t="shared" si="57"/>
        <v>19</v>
      </c>
      <c r="L73" s="185">
        <f t="shared" si="58"/>
        <v>0</v>
      </c>
      <c r="M73" s="185">
        <f t="shared" si="59"/>
        <v>0</v>
      </c>
      <c r="N73" s="185">
        <f t="shared" si="60"/>
        <v>0</v>
      </c>
      <c r="O73" s="185">
        <f t="shared" si="61"/>
        <v>0</v>
      </c>
      <c r="P73" s="185">
        <f t="shared" si="62"/>
        <v>0</v>
      </c>
      <c r="Q73" s="185">
        <f t="shared" si="63"/>
        <v>264.41000000000003</v>
      </c>
      <c r="R73" s="185">
        <f t="shared" si="64"/>
        <v>0</v>
      </c>
      <c r="S73" s="185">
        <f t="shared" si="65"/>
        <v>0</v>
      </c>
      <c r="T73" s="185">
        <f t="shared" si="66"/>
        <v>0</v>
      </c>
      <c r="U73" s="185">
        <f t="shared" si="67"/>
        <v>0</v>
      </c>
      <c r="V73" s="185">
        <f t="shared" si="68"/>
        <v>264.41000000000003</v>
      </c>
    </row>
    <row r="74" spans="1:22">
      <c r="A74" s="50">
        <f>'A.1_Tabla Costes Subrogación'!A74</f>
        <v>1</v>
      </c>
      <c r="B74" s="54" t="str">
        <f>'A.1_Tabla Costes Subrogación'!B74</f>
        <v xml:space="preserve"> OFICIAL JARD.  </v>
      </c>
      <c r="C74" s="54"/>
      <c r="D74" s="54"/>
      <c r="E74" s="179">
        <f>'A.1_Tabla Costes Subrogación'!E74</f>
        <v>38838</v>
      </c>
      <c r="F74" s="180">
        <f t="shared" si="53"/>
        <v>2006</v>
      </c>
      <c r="G74" s="181">
        <f t="shared" si="54"/>
        <v>2023</v>
      </c>
      <c r="H74" s="181">
        <f t="shared" si="55"/>
        <v>17</v>
      </c>
      <c r="I74" s="181">
        <f t="shared" si="54"/>
        <v>2027</v>
      </c>
      <c r="J74" s="181">
        <f t="shared" si="56"/>
        <v>21</v>
      </c>
      <c r="K74" s="181">
        <f t="shared" si="57"/>
        <v>19</v>
      </c>
      <c r="L74" s="185">
        <f t="shared" si="58"/>
        <v>0</v>
      </c>
      <c r="M74" s="185">
        <f t="shared" si="59"/>
        <v>0</v>
      </c>
      <c r="N74" s="185">
        <f t="shared" si="60"/>
        <v>0</v>
      </c>
      <c r="O74" s="185">
        <f t="shared" si="61"/>
        <v>0</v>
      </c>
      <c r="P74" s="185">
        <f t="shared" si="62"/>
        <v>0</v>
      </c>
      <c r="Q74" s="185">
        <f t="shared" si="63"/>
        <v>264.41000000000003</v>
      </c>
      <c r="R74" s="185">
        <f t="shared" si="64"/>
        <v>0</v>
      </c>
      <c r="S74" s="185">
        <f t="shared" si="65"/>
        <v>0</v>
      </c>
      <c r="T74" s="185">
        <f t="shared" si="66"/>
        <v>0</v>
      </c>
      <c r="U74" s="185">
        <f t="shared" si="67"/>
        <v>0</v>
      </c>
      <c r="V74" s="185">
        <f t="shared" si="68"/>
        <v>264.41000000000003</v>
      </c>
    </row>
    <row r="75" spans="1:22">
      <c r="A75" s="50">
        <f>'A.1_Tabla Costes Subrogación'!A75</f>
        <v>1</v>
      </c>
      <c r="B75" s="54" t="str">
        <f>'A.1_Tabla Costes Subrogación'!B75</f>
        <v xml:space="preserve"> OFICIAL JARD.  </v>
      </c>
      <c r="C75" s="54"/>
      <c r="D75" s="54"/>
      <c r="E75" s="179">
        <f>'A.1_Tabla Costes Subrogación'!E75</f>
        <v>39038</v>
      </c>
      <c r="F75" s="180">
        <f t="shared" si="53"/>
        <v>2006</v>
      </c>
      <c r="G75" s="181">
        <f t="shared" si="54"/>
        <v>2023</v>
      </c>
      <c r="H75" s="181">
        <f t="shared" si="55"/>
        <v>17</v>
      </c>
      <c r="I75" s="181">
        <f t="shared" si="54"/>
        <v>2027</v>
      </c>
      <c r="J75" s="181">
        <f t="shared" si="56"/>
        <v>21</v>
      </c>
      <c r="K75" s="181">
        <f t="shared" si="57"/>
        <v>19</v>
      </c>
      <c r="L75" s="185">
        <f t="shared" si="58"/>
        <v>0</v>
      </c>
      <c r="M75" s="185">
        <f t="shared" si="59"/>
        <v>0</v>
      </c>
      <c r="N75" s="185">
        <f t="shared" si="60"/>
        <v>0</v>
      </c>
      <c r="O75" s="185">
        <f t="shared" si="61"/>
        <v>0</v>
      </c>
      <c r="P75" s="185">
        <f t="shared" si="62"/>
        <v>0</v>
      </c>
      <c r="Q75" s="185">
        <f t="shared" si="63"/>
        <v>264.41000000000003</v>
      </c>
      <c r="R75" s="185">
        <f t="shared" si="64"/>
        <v>0</v>
      </c>
      <c r="S75" s="185">
        <f t="shared" si="65"/>
        <v>0</v>
      </c>
      <c r="T75" s="185">
        <f t="shared" si="66"/>
        <v>0</v>
      </c>
      <c r="U75" s="185">
        <f t="shared" si="67"/>
        <v>0</v>
      </c>
      <c r="V75" s="185">
        <f t="shared" si="68"/>
        <v>264.41000000000003</v>
      </c>
    </row>
    <row r="76" spans="1:22">
      <c r="A76" s="50">
        <f>'A.1_Tabla Costes Subrogación'!A76</f>
        <v>1</v>
      </c>
      <c r="B76" s="54" t="str">
        <f>'A.1_Tabla Costes Subrogación'!B76</f>
        <v xml:space="preserve"> OFICIAL JARD.  </v>
      </c>
      <c r="C76" s="54"/>
      <c r="D76" s="54"/>
      <c r="E76" s="179">
        <f>'A.1_Tabla Costes Subrogación'!E76</f>
        <v>38749</v>
      </c>
      <c r="F76" s="180">
        <f t="shared" si="53"/>
        <v>2006</v>
      </c>
      <c r="G76" s="181">
        <f t="shared" si="54"/>
        <v>2023</v>
      </c>
      <c r="H76" s="181">
        <f t="shared" si="55"/>
        <v>17</v>
      </c>
      <c r="I76" s="181">
        <f t="shared" si="54"/>
        <v>2027</v>
      </c>
      <c r="J76" s="181">
        <f t="shared" si="56"/>
        <v>21</v>
      </c>
      <c r="K76" s="181">
        <f t="shared" si="57"/>
        <v>19</v>
      </c>
      <c r="L76" s="185">
        <f t="shared" si="58"/>
        <v>0</v>
      </c>
      <c r="M76" s="185">
        <f t="shared" si="59"/>
        <v>0</v>
      </c>
      <c r="N76" s="185">
        <f t="shared" si="60"/>
        <v>0</v>
      </c>
      <c r="O76" s="185">
        <f t="shared" si="61"/>
        <v>0</v>
      </c>
      <c r="P76" s="185">
        <f t="shared" si="62"/>
        <v>0</v>
      </c>
      <c r="Q76" s="185">
        <f t="shared" si="63"/>
        <v>264.41000000000003</v>
      </c>
      <c r="R76" s="185">
        <f t="shared" si="64"/>
        <v>0</v>
      </c>
      <c r="S76" s="185">
        <f t="shared" si="65"/>
        <v>0</v>
      </c>
      <c r="T76" s="185">
        <f t="shared" si="66"/>
        <v>0</v>
      </c>
      <c r="U76" s="185">
        <f t="shared" si="67"/>
        <v>0</v>
      </c>
      <c r="V76" s="185">
        <f t="shared" si="68"/>
        <v>264.41000000000003</v>
      </c>
    </row>
    <row r="77" spans="1:22">
      <c r="A77" s="50">
        <f>'A.1_Tabla Costes Subrogación'!A77</f>
        <v>1</v>
      </c>
      <c r="B77" s="54" t="str">
        <f>'A.1_Tabla Costes Subrogación'!B77</f>
        <v xml:space="preserve"> OFICIAL JARD.  </v>
      </c>
      <c r="C77" s="54"/>
      <c r="D77" s="54"/>
      <c r="E77" s="179">
        <f>'A.1_Tabla Costes Subrogación'!E77</f>
        <v>35966</v>
      </c>
      <c r="F77" s="180">
        <f t="shared" si="53"/>
        <v>1998</v>
      </c>
      <c r="G77" s="181">
        <f t="shared" si="54"/>
        <v>2023</v>
      </c>
      <c r="H77" s="181">
        <f t="shared" si="55"/>
        <v>25</v>
      </c>
      <c r="I77" s="181">
        <f t="shared" si="54"/>
        <v>2027</v>
      </c>
      <c r="J77" s="181">
        <f t="shared" si="56"/>
        <v>29</v>
      </c>
      <c r="K77" s="181">
        <f t="shared" si="57"/>
        <v>27</v>
      </c>
      <c r="L77" s="185">
        <f t="shared" si="58"/>
        <v>0</v>
      </c>
      <c r="M77" s="185">
        <f t="shared" si="59"/>
        <v>0</v>
      </c>
      <c r="N77" s="185">
        <f t="shared" si="60"/>
        <v>0</v>
      </c>
      <c r="O77" s="185">
        <f t="shared" si="61"/>
        <v>0</v>
      </c>
      <c r="P77" s="185">
        <f t="shared" si="62"/>
        <v>0</v>
      </c>
      <c r="Q77" s="185">
        <f t="shared" si="63"/>
        <v>0</v>
      </c>
      <c r="R77" s="185">
        <f t="shared" si="64"/>
        <v>0</v>
      </c>
      <c r="S77" s="185">
        <f t="shared" si="65"/>
        <v>0</v>
      </c>
      <c r="T77" s="185">
        <f t="shared" si="66"/>
        <v>0</v>
      </c>
      <c r="U77" s="185">
        <f t="shared" si="67"/>
        <v>421.15</v>
      </c>
      <c r="V77" s="185">
        <f t="shared" si="68"/>
        <v>421.15</v>
      </c>
    </row>
    <row r="78" spans="1:22">
      <c r="A78" s="50">
        <f>'A.1_Tabla Costes Subrogación'!A78</f>
        <v>1</v>
      </c>
      <c r="B78" s="54" t="str">
        <f>'A.1_Tabla Costes Subrogación'!B78</f>
        <v xml:space="preserve"> OFICIAL JARD.  </v>
      </c>
      <c r="C78" s="54"/>
      <c r="D78" s="54"/>
      <c r="E78" s="179">
        <f>'A.1_Tabla Costes Subrogación'!E78</f>
        <v>38827</v>
      </c>
      <c r="F78" s="180">
        <f t="shared" si="53"/>
        <v>2006</v>
      </c>
      <c r="G78" s="181">
        <f t="shared" si="54"/>
        <v>2023</v>
      </c>
      <c r="H78" s="181">
        <f t="shared" si="55"/>
        <v>17</v>
      </c>
      <c r="I78" s="181">
        <f t="shared" si="54"/>
        <v>2027</v>
      </c>
      <c r="J78" s="181">
        <f t="shared" si="56"/>
        <v>21</v>
      </c>
      <c r="K78" s="181">
        <f t="shared" si="57"/>
        <v>19</v>
      </c>
      <c r="L78" s="185">
        <f t="shared" si="58"/>
        <v>0</v>
      </c>
      <c r="M78" s="185">
        <f t="shared" si="59"/>
        <v>0</v>
      </c>
      <c r="N78" s="185">
        <f t="shared" si="60"/>
        <v>0</v>
      </c>
      <c r="O78" s="185">
        <f t="shared" si="61"/>
        <v>0</v>
      </c>
      <c r="P78" s="185">
        <f t="shared" si="62"/>
        <v>0</v>
      </c>
      <c r="Q78" s="185">
        <f t="shared" si="63"/>
        <v>264.41000000000003</v>
      </c>
      <c r="R78" s="185">
        <f t="shared" si="64"/>
        <v>0</v>
      </c>
      <c r="S78" s="185">
        <f t="shared" si="65"/>
        <v>0</v>
      </c>
      <c r="T78" s="185">
        <f t="shared" si="66"/>
        <v>0</v>
      </c>
      <c r="U78" s="185">
        <f t="shared" si="67"/>
        <v>0</v>
      </c>
      <c r="V78" s="185">
        <f t="shared" si="68"/>
        <v>264.41000000000003</v>
      </c>
    </row>
    <row r="79" spans="1:22">
      <c r="A79" s="50">
        <f>'A.1_Tabla Costes Subrogación'!A79</f>
        <v>1</v>
      </c>
      <c r="B79" s="54" t="str">
        <f>'A.1_Tabla Costes Subrogación'!B79</f>
        <v xml:space="preserve"> OFICIAL JARD.  </v>
      </c>
      <c r="C79" s="54"/>
      <c r="D79" s="54"/>
      <c r="E79" s="179">
        <f>'A.1_Tabla Costes Subrogación'!E79</f>
        <v>38749</v>
      </c>
      <c r="F79" s="180">
        <f t="shared" si="53"/>
        <v>2006</v>
      </c>
      <c r="G79" s="181">
        <f t="shared" si="54"/>
        <v>2023</v>
      </c>
      <c r="H79" s="181">
        <f t="shared" si="55"/>
        <v>17</v>
      </c>
      <c r="I79" s="181">
        <f t="shared" si="54"/>
        <v>2027</v>
      </c>
      <c r="J79" s="181">
        <f t="shared" si="56"/>
        <v>21</v>
      </c>
      <c r="K79" s="181">
        <f t="shared" si="57"/>
        <v>19</v>
      </c>
      <c r="L79" s="185">
        <f t="shared" si="58"/>
        <v>0</v>
      </c>
      <c r="M79" s="185">
        <f t="shared" si="59"/>
        <v>0</v>
      </c>
      <c r="N79" s="185">
        <f t="shared" si="60"/>
        <v>0</v>
      </c>
      <c r="O79" s="185">
        <f t="shared" si="61"/>
        <v>0</v>
      </c>
      <c r="P79" s="185">
        <f t="shared" si="62"/>
        <v>0</v>
      </c>
      <c r="Q79" s="185">
        <f t="shared" si="63"/>
        <v>264.41000000000003</v>
      </c>
      <c r="R79" s="185">
        <f t="shared" si="64"/>
        <v>0</v>
      </c>
      <c r="S79" s="185">
        <f t="shared" si="65"/>
        <v>0</v>
      </c>
      <c r="T79" s="185">
        <f t="shared" si="66"/>
        <v>0</v>
      </c>
      <c r="U79" s="185">
        <f t="shared" si="67"/>
        <v>0</v>
      </c>
      <c r="V79" s="185">
        <f t="shared" si="68"/>
        <v>264.41000000000003</v>
      </c>
    </row>
    <row r="80" spans="1:22">
      <c r="A80" s="50">
        <f>'A.1_Tabla Costes Subrogación'!A80</f>
        <v>1</v>
      </c>
      <c r="B80" s="54" t="str">
        <f>'A.1_Tabla Costes Subrogación'!B80</f>
        <v xml:space="preserve"> OFICIAL JARD.  </v>
      </c>
      <c r="C80" s="54"/>
      <c r="D80" s="54"/>
      <c r="E80" s="179">
        <f>'A.1_Tabla Costes Subrogación'!E80</f>
        <v>37653</v>
      </c>
      <c r="F80" s="180">
        <f t="shared" si="53"/>
        <v>2003</v>
      </c>
      <c r="G80" s="181">
        <f t="shared" si="54"/>
        <v>2023</v>
      </c>
      <c r="H80" s="181">
        <f t="shared" si="55"/>
        <v>20</v>
      </c>
      <c r="I80" s="181">
        <f t="shared" si="54"/>
        <v>2027</v>
      </c>
      <c r="J80" s="181">
        <f t="shared" si="56"/>
        <v>24</v>
      </c>
      <c r="K80" s="181">
        <f t="shared" si="57"/>
        <v>22</v>
      </c>
      <c r="L80" s="185">
        <f t="shared" si="58"/>
        <v>0</v>
      </c>
      <c r="M80" s="185">
        <f t="shared" si="59"/>
        <v>0</v>
      </c>
      <c r="N80" s="185">
        <f t="shared" si="60"/>
        <v>0</v>
      </c>
      <c r="O80" s="185">
        <f t="shared" si="61"/>
        <v>0</v>
      </c>
      <c r="P80" s="185">
        <f t="shared" si="62"/>
        <v>0</v>
      </c>
      <c r="Q80" s="185">
        <f t="shared" si="63"/>
        <v>0</v>
      </c>
      <c r="R80" s="185">
        <f t="shared" si="64"/>
        <v>280.79000000000002</v>
      </c>
      <c r="S80" s="185">
        <f t="shared" si="65"/>
        <v>0</v>
      </c>
      <c r="T80" s="185">
        <f t="shared" si="66"/>
        <v>0</v>
      </c>
      <c r="U80" s="185">
        <f t="shared" si="67"/>
        <v>0</v>
      </c>
      <c r="V80" s="185">
        <f t="shared" si="68"/>
        <v>280.79000000000002</v>
      </c>
    </row>
    <row r="81" spans="1:22">
      <c r="A81" s="50">
        <f>'A.1_Tabla Costes Subrogación'!A81</f>
        <v>1</v>
      </c>
      <c r="B81" s="54" t="str">
        <f>'A.1_Tabla Costes Subrogación'!B81</f>
        <v xml:space="preserve"> OFICIAL COND.  </v>
      </c>
      <c r="C81" s="54"/>
      <c r="D81" s="54"/>
      <c r="E81" s="179">
        <f>'A.1_Tabla Costes Subrogación'!E81</f>
        <v>39618</v>
      </c>
      <c r="F81" s="180">
        <f t="shared" si="53"/>
        <v>2008</v>
      </c>
      <c r="G81" s="181">
        <f t="shared" si="54"/>
        <v>2023</v>
      </c>
      <c r="H81" s="181">
        <f t="shared" si="55"/>
        <v>15</v>
      </c>
      <c r="I81" s="181">
        <f t="shared" si="54"/>
        <v>2027</v>
      </c>
      <c r="J81" s="181">
        <f t="shared" si="56"/>
        <v>19</v>
      </c>
      <c r="K81" s="181">
        <f t="shared" si="57"/>
        <v>17</v>
      </c>
      <c r="L81" s="185">
        <f t="shared" si="58"/>
        <v>0</v>
      </c>
      <c r="M81" s="185">
        <f t="shared" si="59"/>
        <v>0</v>
      </c>
      <c r="N81" s="185">
        <f t="shared" si="60"/>
        <v>0</v>
      </c>
      <c r="O81" s="185">
        <f t="shared" si="61"/>
        <v>0</v>
      </c>
      <c r="P81" s="185">
        <f t="shared" si="62"/>
        <v>219.94</v>
      </c>
      <c r="Q81" s="185">
        <f t="shared" si="63"/>
        <v>0</v>
      </c>
      <c r="R81" s="185">
        <f t="shared" si="64"/>
        <v>0</v>
      </c>
      <c r="S81" s="185">
        <f t="shared" si="65"/>
        <v>0</v>
      </c>
      <c r="T81" s="185">
        <f t="shared" si="66"/>
        <v>0</v>
      </c>
      <c r="U81" s="185">
        <f t="shared" si="67"/>
        <v>0</v>
      </c>
      <c r="V81" s="185">
        <f t="shared" si="68"/>
        <v>219.94</v>
      </c>
    </row>
    <row r="82" spans="1:22">
      <c r="A82" s="50">
        <f>'A.1_Tabla Costes Subrogación'!A82</f>
        <v>0</v>
      </c>
      <c r="B82" s="54" t="str">
        <f>'A.1_Tabla Costes Subrogación'!B82</f>
        <v xml:space="preserve"> OFICIAL JARD.  </v>
      </c>
      <c r="C82" s="54"/>
      <c r="D82" s="54"/>
      <c r="E82" s="179">
        <f>'A.1_Tabla Costes Subrogación'!E82</f>
        <v>38880</v>
      </c>
      <c r="F82" s="180">
        <f t="shared" si="53"/>
        <v>2006</v>
      </c>
      <c r="G82" s="181">
        <f t="shared" si="54"/>
        <v>2023</v>
      </c>
      <c r="H82" s="181">
        <f t="shared" si="55"/>
        <v>17</v>
      </c>
      <c r="I82" s="181">
        <f t="shared" si="54"/>
        <v>2027</v>
      </c>
      <c r="J82" s="181">
        <f t="shared" si="56"/>
        <v>21</v>
      </c>
      <c r="K82" s="181">
        <f t="shared" si="57"/>
        <v>19</v>
      </c>
      <c r="L82" s="185">
        <f t="shared" si="58"/>
        <v>0</v>
      </c>
      <c r="M82" s="185">
        <f t="shared" si="59"/>
        <v>0</v>
      </c>
      <c r="N82" s="185">
        <f t="shared" si="60"/>
        <v>0</v>
      </c>
      <c r="O82" s="185">
        <f t="shared" si="61"/>
        <v>0</v>
      </c>
      <c r="P82" s="185">
        <f t="shared" si="62"/>
        <v>0</v>
      </c>
      <c r="Q82" s="185">
        <f t="shared" si="63"/>
        <v>264.41000000000003</v>
      </c>
      <c r="R82" s="185">
        <f t="shared" si="64"/>
        <v>0</v>
      </c>
      <c r="S82" s="185">
        <f t="shared" si="65"/>
        <v>0</v>
      </c>
      <c r="T82" s="185">
        <f t="shared" si="66"/>
        <v>0</v>
      </c>
      <c r="U82" s="185">
        <f t="shared" si="67"/>
        <v>0</v>
      </c>
      <c r="V82" s="185">
        <f t="shared" si="68"/>
        <v>0</v>
      </c>
    </row>
    <row r="83" spans="1:22">
      <c r="A83" s="50">
        <f>'A.1_Tabla Costes Subrogación'!A83</f>
        <v>0</v>
      </c>
      <c r="B83" s="54" t="str">
        <f>'A.1_Tabla Costes Subrogación'!B83</f>
        <v xml:space="preserve"> OFICIAL JARD.  </v>
      </c>
      <c r="C83" s="54"/>
      <c r="D83" s="54"/>
      <c r="E83" s="179">
        <f>'A.1_Tabla Costes Subrogación'!E83</f>
        <v>38908</v>
      </c>
      <c r="F83" s="180">
        <f t="shared" si="53"/>
        <v>2006</v>
      </c>
      <c r="G83" s="181">
        <f t="shared" si="54"/>
        <v>2023</v>
      </c>
      <c r="H83" s="181">
        <f t="shared" si="55"/>
        <v>17</v>
      </c>
      <c r="I83" s="181">
        <f t="shared" si="54"/>
        <v>2027</v>
      </c>
      <c r="J83" s="181">
        <f t="shared" si="56"/>
        <v>21</v>
      </c>
      <c r="K83" s="181">
        <f t="shared" si="57"/>
        <v>19</v>
      </c>
      <c r="L83" s="185">
        <f t="shared" si="58"/>
        <v>0</v>
      </c>
      <c r="M83" s="185">
        <f t="shared" si="59"/>
        <v>0</v>
      </c>
      <c r="N83" s="185">
        <f t="shared" si="60"/>
        <v>0</v>
      </c>
      <c r="O83" s="185">
        <f t="shared" si="61"/>
        <v>0</v>
      </c>
      <c r="P83" s="185">
        <f t="shared" si="62"/>
        <v>0</v>
      </c>
      <c r="Q83" s="185">
        <f t="shared" si="63"/>
        <v>264.41000000000003</v>
      </c>
      <c r="R83" s="185">
        <f t="shared" si="64"/>
        <v>0</v>
      </c>
      <c r="S83" s="185">
        <f t="shared" si="65"/>
        <v>0</v>
      </c>
      <c r="T83" s="185">
        <f t="shared" si="66"/>
        <v>0</v>
      </c>
      <c r="U83" s="185">
        <f t="shared" si="67"/>
        <v>0</v>
      </c>
      <c r="V83" s="185">
        <f t="shared" si="68"/>
        <v>0</v>
      </c>
    </row>
    <row r="84" spans="1:22">
      <c r="A84" s="50">
        <f>'A.1_Tabla Costes Subrogación'!A84</f>
        <v>0</v>
      </c>
      <c r="B84" s="54" t="str">
        <f>'A.1_Tabla Costes Subrogación'!B84</f>
        <v xml:space="preserve"> OFICIAL JARD.  </v>
      </c>
      <c r="C84" s="54"/>
      <c r="D84" s="54"/>
      <c r="E84" s="179">
        <f>'A.1_Tabla Costes Subrogación'!E84</f>
        <v>38972</v>
      </c>
      <c r="F84" s="180">
        <f t="shared" si="53"/>
        <v>2006</v>
      </c>
      <c r="G84" s="181">
        <f t="shared" si="54"/>
        <v>2023</v>
      </c>
      <c r="H84" s="181">
        <f t="shared" si="55"/>
        <v>17</v>
      </c>
      <c r="I84" s="181">
        <f t="shared" si="54"/>
        <v>2027</v>
      </c>
      <c r="J84" s="181">
        <f t="shared" si="56"/>
        <v>21</v>
      </c>
      <c r="K84" s="181">
        <f t="shared" si="57"/>
        <v>19</v>
      </c>
      <c r="L84" s="185">
        <f t="shared" si="58"/>
        <v>0</v>
      </c>
      <c r="M84" s="185">
        <f t="shared" si="59"/>
        <v>0</v>
      </c>
      <c r="N84" s="185">
        <f t="shared" si="60"/>
        <v>0</v>
      </c>
      <c r="O84" s="185">
        <f t="shared" si="61"/>
        <v>0</v>
      </c>
      <c r="P84" s="185">
        <f t="shared" si="62"/>
        <v>0</v>
      </c>
      <c r="Q84" s="185">
        <f t="shared" si="63"/>
        <v>264.41000000000003</v>
      </c>
      <c r="R84" s="185">
        <f t="shared" si="64"/>
        <v>0</v>
      </c>
      <c r="S84" s="185">
        <f t="shared" si="65"/>
        <v>0</v>
      </c>
      <c r="T84" s="185">
        <f t="shared" si="66"/>
        <v>0</v>
      </c>
      <c r="U84" s="185">
        <f t="shared" si="67"/>
        <v>0</v>
      </c>
      <c r="V84" s="185">
        <f t="shared" si="68"/>
        <v>0</v>
      </c>
    </row>
    <row r="85" spans="1:22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</row>
    <row r="86" spans="1:22">
      <c r="A86" s="50">
        <f>'A.1_Tabla Costes Subrogación'!A86</f>
        <v>1</v>
      </c>
      <c r="B86" s="54" t="str">
        <f>'A.1_Tabla Costes Subrogación'!B86</f>
        <v xml:space="preserve"> ENCARGADO/A</v>
      </c>
      <c r="C86" s="54"/>
      <c r="D86" s="54"/>
      <c r="E86" s="179">
        <f>'A.1_Tabla Costes Subrogación'!E86</f>
        <v>39284</v>
      </c>
      <c r="F86" s="180">
        <f>YEAR(E86)</f>
        <v>2007</v>
      </c>
      <c r="G86" s="181">
        <f>G$4</f>
        <v>2023</v>
      </c>
      <c r="H86" s="181">
        <f>G86-F86</f>
        <v>16</v>
      </c>
      <c r="I86" s="181">
        <f>I$4</f>
        <v>2027</v>
      </c>
      <c r="J86" s="181">
        <f>I86-F86</f>
        <v>20</v>
      </c>
      <c r="K86" s="181">
        <f>(H86+J86)/2</f>
        <v>18</v>
      </c>
      <c r="L86" s="185">
        <f>IF(AND(K86&gt;0,K86&lt;3),L$99,0)</f>
        <v>0</v>
      </c>
      <c r="M86" s="185">
        <f t="shared" ref="M86" si="69">IF(AND(K86&gt;2,K86&lt;7),M$99,0)</f>
        <v>0</v>
      </c>
      <c r="N86" s="185">
        <f t="shared" ref="N86" si="70">IF(AND(K86&gt;6,K86&lt;11),N$99,0)</f>
        <v>0</v>
      </c>
      <c r="O86" s="185">
        <f t="shared" ref="O86" si="71">IF(AND(K86&gt;10,K86&lt;15),O$99,0)</f>
        <v>0</v>
      </c>
      <c r="P86" s="185">
        <f t="shared" ref="P86" si="72">IF(AND(K86&gt;14,K86&lt;19),P$99,0)</f>
        <v>219.94</v>
      </c>
      <c r="Q86" s="185">
        <f t="shared" ref="Q86" si="73">IF(AND(K86&gt;18,K86&lt;21),Q$99,0)</f>
        <v>0</v>
      </c>
      <c r="R86" s="185">
        <f t="shared" ref="R86" si="74">IF(AND(K86&gt;20,K86&lt;23),R$99,0)</f>
        <v>0</v>
      </c>
      <c r="S86" s="185">
        <f t="shared" ref="S86" si="75">IF(AND(K86&gt;22,K86&lt;25),S$99,0)</f>
        <v>0</v>
      </c>
      <c r="T86" s="185">
        <f t="shared" ref="T86" si="76">IF(AND(K86&gt;24,K86&lt;27),T$99,0)</f>
        <v>0</v>
      </c>
      <c r="U86" s="185">
        <f t="shared" ref="U86" si="77">IF(K86&gt;26,U$99,0)</f>
        <v>0</v>
      </c>
      <c r="V86" s="185">
        <f t="shared" ref="V86:V87" si="78">IF(A86&gt;0,(SUM(L86:U86)),0)</f>
        <v>219.94</v>
      </c>
    </row>
    <row r="87" spans="1:22">
      <c r="A87" s="50">
        <f>'A.1_Tabla Costes Subrogación'!A87</f>
        <v>1</v>
      </c>
      <c r="B87" s="54" t="str">
        <f>'A.1_Tabla Costes Subrogación'!B87</f>
        <v xml:space="preserve"> ENCARGADO/A</v>
      </c>
      <c r="C87" s="54"/>
      <c r="D87" s="54"/>
      <c r="E87" s="179">
        <f>'A.1_Tabla Costes Subrogación'!E87</f>
        <v>39284</v>
      </c>
      <c r="F87" s="180">
        <f>YEAR(E87)</f>
        <v>2007</v>
      </c>
      <c r="G87" s="181">
        <f>G$4</f>
        <v>2023</v>
      </c>
      <c r="H87" s="181">
        <f>G87-F87</f>
        <v>16</v>
      </c>
      <c r="I87" s="181">
        <f>I$4</f>
        <v>2027</v>
      </c>
      <c r="J87" s="181">
        <f>I87-F87</f>
        <v>20</v>
      </c>
      <c r="K87" s="181">
        <f>(H87+J87)/2</f>
        <v>18</v>
      </c>
      <c r="L87" s="185">
        <f t="shared" ref="L87" si="79">IF(AND(K87&gt;0,K87&lt;3),L$99,0)</f>
        <v>0</v>
      </c>
      <c r="M87" s="185">
        <f t="shared" ref="M87" si="80">IF(AND(K87&gt;2,K87&lt;7),M$99,0)</f>
        <v>0</v>
      </c>
      <c r="N87" s="185">
        <f t="shared" ref="N87" si="81">IF(AND(K87&gt;6,K87&lt;11),N$99,0)</f>
        <v>0</v>
      </c>
      <c r="O87" s="185">
        <f t="shared" ref="O87" si="82">IF(AND(K87&gt;10,K87&lt;15),O$99,0)</f>
        <v>0</v>
      </c>
      <c r="P87" s="185">
        <f t="shared" ref="P87" si="83">IF(AND(K87&gt;14,K87&lt;19),P$99,0)</f>
        <v>219.94</v>
      </c>
      <c r="Q87" s="185">
        <f t="shared" ref="Q87" si="84">IF(AND(K87&gt;18,K87&lt;21),Q$99,0)</f>
        <v>0</v>
      </c>
      <c r="R87" s="185">
        <f t="shared" ref="R87" si="85">IF(AND(K87&gt;20,K87&lt;23),R$99,0)</f>
        <v>0</v>
      </c>
      <c r="S87" s="185">
        <f t="shared" ref="S87" si="86">IF(AND(K87&gt;22,K87&lt;25),S$99,0)</f>
        <v>0</v>
      </c>
      <c r="T87" s="185">
        <f t="shared" ref="T87" si="87">IF(AND(K87&gt;24,K87&lt;27),T$99,0)</f>
        <v>0</v>
      </c>
      <c r="U87" s="185">
        <f t="shared" ref="U87" si="88">IF(K87&gt;26,U$99,0)</f>
        <v>0</v>
      </c>
      <c r="V87" s="185">
        <f t="shared" si="78"/>
        <v>219.94</v>
      </c>
    </row>
    <row r="88" spans="1:22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</row>
    <row r="89" spans="1:22">
      <c r="A89" s="50">
        <f>'A.1_Tabla Costes Subrogación'!A89</f>
        <v>1</v>
      </c>
      <c r="B89" s="54" t="str">
        <f>'A.1_Tabla Costes Subrogación'!B89</f>
        <v xml:space="preserve"> TÉCNICO/A DIPLOMADO/A  </v>
      </c>
      <c r="C89" s="54"/>
      <c r="D89" s="54"/>
      <c r="E89" s="179">
        <f>'A.1_Tabla Costes Subrogación'!E89</f>
        <v>40198</v>
      </c>
      <c r="F89" s="180">
        <f>YEAR(E89)</f>
        <v>2010</v>
      </c>
      <c r="G89" s="181">
        <f>G$4</f>
        <v>2023</v>
      </c>
      <c r="H89" s="181">
        <f>G89-F89</f>
        <v>13</v>
      </c>
      <c r="I89" s="181">
        <f>I$4</f>
        <v>2027</v>
      </c>
      <c r="J89" s="181">
        <f>I89-F89</f>
        <v>17</v>
      </c>
      <c r="K89" s="181">
        <f>(H89+J89)/2</f>
        <v>15</v>
      </c>
      <c r="L89" s="185">
        <f>IF(AND(K89&gt;0,K89&lt;3),L$101,0)</f>
        <v>0</v>
      </c>
      <c r="M89" s="185">
        <f>IF(AND(K89&gt;2,K89&lt;7),M$101,0)</f>
        <v>0</v>
      </c>
      <c r="N89" s="185">
        <f>IF(AND(K89&gt;6,K89&lt;11),N$101,0)</f>
        <v>0</v>
      </c>
      <c r="O89" s="185">
        <f>IF(AND(K89&gt;10,K89&lt;15),O$101,0)</f>
        <v>0</v>
      </c>
      <c r="P89" s="185">
        <f>IF(AND(K89&gt;14,K89&lt;19),P$101,0)</f>
        <v>302.73</v>
      </c>
      <c r="Q89" s="185">
        <f>IF(AND(K89&gt;18,K89&lt;21),Q$101,0)</f>
        <v>0</v>
      </c>
      <c r="R89" s="185">
        <f>IF(AND(K89&gt;20,K89&lt;23),R$101,0)</f>
        <v>0</v>
      </c>
      <c r="S89" s="185">
        <f>IF(AND(K89&gt;22,K89&lt;25),S$101,0)</f>
        <v>0</v>
      </c>
      <c r="T89" s="185">
        <f>IF(AND(K89&gt;24,K89&lt;27),T$101,0)</f>
        <v>0</v>
      </c>
      <c r="U89" s="185">
        <f>IF(K89&gt;26,U$101,0)</f>
        <v>0</v>
      </c>
      <c r="V89" s="185">
        <f t="shared" ref="V89:V91" si="89">IF(A89&gt;0,(SUM(L89:U89)),0)</f>
        <v>302.73</v>
      </c>
    </row>
    <row r="90" spans="1:22">
      <c r="A90" s="50">
        <f>'A.1_Tabla Costes Subrogación'!A90</f>
        <v>0</v>
      </c>
      <c r="B90" s="54" t="str">
        <f>'A.1_Tabla Costes Subrogación'!B90</f>
        <v xml:space="preserve"> TÉCNICO/A DIPLOMADO/A  </v>
      </c>
      <c r="C90" s="54"/>
      <c r="D90" s="54"/>
      <c r="E90" s="179">
        <f>'A.1_Tabla Costes Subrogación'!E90</f>
        <v>37641</v>
      </c>
      <c r="F90" s="180">
        <f>YEAR(E90)</f>
        <v>2003</v>
      </c>
      <c r="G90" s="181">
        <f>G$4</f>
        <v>2023</v>
      </c>
      <c r="H90" s="181">
        <f>G90-F90</f>
        <v>20</v>
      </c>
      <c r="I90" s="181">
        <f>I$4</f>
        <v>2027</v>
      </c>
      <c r="J90" s="181">
        <f>I90-F90</f>
        <v>24</v>
      </c>
      <c r="K90" s="181">
        <f>(H90+J90)/2</f>
        <v>22</v>
      </c>
      <c r="L90" s="185">
        <f>IF(AND(K90&gt;0,K90&lt;3),L$101,0)</f>
        <v>0</v>
      </c>
      <c r="M90" s="185">
        <f>IF(AND(K90&gt;2,K90&lt;7),M$101,0)</f>
        <v>0</v>
      </c>
      <c r="N90" s="185">
        <f>IF(AND(K90&gt;6,K90&lt;11),N$101,0)</f>
        <v>0</v>
      </c>
      <c r="O90" s="185">
        <f>IF(AND(K90&gt;10,K90&lt;15),O$101,0)</f>
        <v>0</v>
      </c>
      <c r="P90" s="185">
        <f>IF(AND(K90&gt;14,K90&lt;19),P$101,0)</f>
        <v>0</v>
      </c>
      <c r="Q90" s="185">
        <f>IF(AND(K90&gt;18,K90&lt;21),Q$101,0)</f>
        <v>0</v>
      </c>
      <c r="R90" s="185">
        <f>IF(AND(K90&gt;20,K90&lt;23),R$101,0)</f>
        <v>384.49</v>
      </c>
      <c r="S90" s="185">
        <f>IF(AND(K90&gt;22,K90&lt;25),S$101,0)</f>
        <v>0</v>
      </c>
      <c r="T90" s="185">
        <f>IF(AND(K90&gt;24,K90&lt;27),T$101,0)</f>
        <v>0</v>
      </c>
      <c r="U90" s="185">
        <f>IF(K90&gt;26,U$101,0)</f>
        <v>0</v>
      </c>
      <c r="V90" s="185">
        <f t="shared" si="89"/>
        <v>0</v>
      </c>
    </row>
    <row r="91" spans="1:22">
      <c r="A91" s="50">
        <f>'A.1_Tabla Costes Subrogación'!A91</f>
        <v>1</v>
      </c>
      <c r="B91" s="54" t="str">
        <f>'A.1_Tabla Costes Subrogación'!B91</f>
        <v xml:space="preserve"> TÉCNICO/A LICENCIADO/A  </v>
      </c>
      <c r="C91" s="54"/>
      <c r="D91" s="54"/>
      <c r="E91" s="179">
        <f>'A.1_Tabla Costes Subrogación'!E91</f>
        <v>37641</v>
      </c>
      <c r="F91" s="180">
        <f>YEAR(E91)</f>
        <v>2003</v>
      </c>
      <c r="G91" s="181">
        <f>G$4</f>
        <v>2023</v>
      </c>
      <c r="H91" s="181">
        <f>G91-F91</f>
        <v>20</v>
      </c>
      <c r="I91" s="181">
        <f>I$4</f>
        <v>2027</v>
      </c>
      <c r="J91" s="181">
        <f>I91-F91</f>
        <v>24</v>
      </c>
      <c r="K91" s="181">
        <f>(H91+J91)/2</f>
        <v>22</v>
      </c>
      <c r="L91" s="185">
        <f>IF(AND(K91&gt;0,K91&lt;3),L$101,0)</f>
        <v>0</v>
      </c>
      <c r="M91" s="185">
        <f>IF(AND(K91&gt;2,K91&lt;7),M$101,0)</f>
        <v>0</v>
      </c>
      <c r="N91" s="185">
        <f>IF(AND(K91&gt;6,K91&lt;11),N$101,0)</f>
        <v>0</v>
      </c>
      <c r="O91" s="185">
        <f>IF(AND(K91&gt;10,K91&lt;15),O$101,0)</f>
        <v>0</v>
      </c>
      <c r="P91" s="185">
        <f>IF(AND(K91&gt;14,K91&lt;19),P$101,0)</f>
        <v>0</v>
      </c>
      <c r="Q91" s="185">
        <f>IF(AND(K91&gt;18,K91&lt;21),Q$101,0)</f>
        <v>0</v>
      </c>
      <c r="R91" s="185">
        <f>IF(AND(K91&gt;20,K91&lt;23),R$101,0)</f>
        <v>384.49</v>
      </c>
      <c r="S91" s="185">
        <f>IF(AND(K91&gt;22,K91&lt;25),S$101,0)</f>
        <v>0</v>
      </c>
      <c r="T91" s="185">
        <f>IF(AND(K91&gt;24,K91&lt;27),T$101,0)</f>
        <v>0</v>
      </c>
      <c r="U91" s="185">
        <f>IF(K91&gt;26,U$101,0)</f>
        <v>0</v>
      </c>
      <c r="V91" s="185">
        <f t="shared" si="89"/>
        <v>384.49</v>
      </c>
    </row>
    <row r="92" spans="1:22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</row>
    <row r="93" spans="1:22">
      <c r="A93" s="50">
        <f>'A.1_Tabla Costes Subrogación'!A93</f>
        <v>1</v>
      </c>
      <c r="B93" s="54" t="str">
        <f>'A.1_Tabla Costes Subrogación'!B93</f>
        <v xml:space="preserve"> ADMINISTRATIVO/A  </v>
      </c>
      <c r="C93" s="54"/>
      <c r="D93" s="54"/>
      <c r="E93" s="179">
        <f>'A.1_Tabla Costes Subrogación'!E93</f>
        <v>39482</v>
      </c>
      <c r="F93" s="180">
        <f>YEAR(E93)</f>
        <v>2008</v>
      </c>
      <c r="G93" s="181">
        <f>G$4</f>
        <v>2023</v>
      </c>
      <c r="H93" s="181">
        <f>G93-F93</f>
        <v>15</v>
      </c>
      <c r="I93" s="181">
        <f>I$4</f>
        <v>2027</v>
      </c>
      <c r="J93" s="181">
        <f>I93-F93</f>
        <v>19</v>
      </c>
      <c r="K93" s="181">
        <f>(H93+J93)/2</f>
        <v>17</v>
      </c>
      <c r="L93" s="185">
        <f>IF(AND(K93&gt;0,K93&lt;3),L$100,0)</f>
        <v>0</v>
      </c>
      <c r="M93" s="185">
        <f>IF(AND(K93&gt;2,K93&lt;7),M$100,0)</f>
        <v>0</v>
      </c>
      <c r="N93" s="185">
        <f>IF(AND(K93&gt;6,K93&lt;11),N$100,0)</f>
        <v>0</v>
      </c>
      <c r="O93" s="185">
        <f>IF(AND(K93&gt;10,K93&lt;15),O$100,0)</f>
        <v>0</v>
      </c>
      <c r="P93" s="185">
        <f>IF(AND(K93&gt;14,K93&lt;19),P$100,0)</f>
        <v>238.04</v>
      </c>
      <c r="Q93" s="185">
        <f>IF(AND(K93&gt;18,K93&lt;21),Q$100,0)</f>
        <v>0</v>
      </c>
      <c r="R93" s="185">
        <f>IF(AND(K93&gt;20,K93&lt;23),R$100,0)</f>
        <v>0</v>
      </c>
      <c r="S93" s="185">
        <f>IF(AND(K93&gt;22,K93&lt;25),S$100,0)</f>
        <v>0</v>
      </c>
      <c r="T93" s="185">
        <f>IF(AND(K93&gt;24,K93&lt;27),T$100,0)</f>
        <v>0</v>
      </c>
      <c r="U93" s="185">
        <f>IF(K93&gt;26,U$100,0)</f>
        <v>0</v>
      </c>
      <c r="V93" s="185">
        <f>IF(A93&gt;0,(SUM(L93:U93)),0)</f>
        <v>238.04</v>
      </c>
    </row>
    <row r="94" spans="1:22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</row>
    <row r="95" spans="1:22" ht="6" customHeight="1">
      <c r="B95" s="52"/>
      <c r="C95" s="52"/>
      <c r="D95" s="52"/>
      <c r="E95" s="52"/>
      <c r="F95" s="52"/>
    </row>
    <row r="96" spans="1:22">
      <c r="A96" s="288"/>
      <c r="B96" s="672"/>
      <c r="C96" s="672"/>
      <c r="D96" s="672"/>
      <c r="E96" s="672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339"/>
    </row>
    <row r="97" spans="2:22">
      <c r="B97" s="50" t="s">
        <v>250</v>
      </c>
      <c r="E97" s="50" t="s">
        <v>250</v>
      </c>
    </row>
    <row r="98" spans="2:22">
      <c r="L98" s="183" t="s">
        <v>182</v>
      </c>
      <c r="M98" s="183" t="s">
        <v>184</v>
      </c>
      <c r="N98" s="183" t="s">
        <v>185</v>
      </c>
      <c r="O98" s="183" t="s">
        <v>186</v>
      </c>
      <c r="P98" s="183" t="s">
        <v>187</v>
      </c>
      <c r="Q98" s="183" t="s">
        <v>188</v>
      </c>
      <c r="R98" s="183" t="s">
        <v>189</v>
      </c>
      <c r="S98" s="183" t="s">
        <v>190</v>
      </c>
      <c r="T98" s="183" t="s">
        <v>191</v>
      </c>
      <c r="U98" s="183" t="s">
        <v>192</v>
      </c>
    </row>
    <row r="99" spans="2:22">
      <c r="K99" s="51" t="s">
        <v>258</v>
      </c>
      <c r="L99" s="186">
        <f>'A.0_Tablas salariales SC'!D32</f>
        <v>25.32</v>
      </c>
      <c r="M99" s="186">
        <f>'A.0_Tablas salariales SC'!D33</f>
        <v>70.180000000000007</v>
      </c>
      <c r="N99" s="186">
        <f>'A.0_Tablas salariales SC'!D34</f>
        <v>122.83</v>
      </c>
      <c r="O99" s="186">
        <f>'A.0_Tablas salariales SC'!D35</f>
        <v>175.53</v>
      </c>
      <c r="P99" s="186">
        <f>'A.0_Tablas salariales SC'!D36</f>
        <v>219.94</v>
      </c>
      <c r="Q99" s="186">
        <f>'A.0_Tablas salariales SC'!D37</f>
        <v>264.41000000000003</v>
      </c>
      <c r="R99" s="186">
        <f>'A.0_Tablas salariales SC'!D38</f>
        <v>280.79000000000002</v>
      </c>
      <c r="S99" s="186">
        <f>'A.0_Tablas salariales SC'!D39</f>
        <v>343.31</v>
      </c>
      <c r="T99" s="186">
        <f>'A.0_Tablas salariales SC'!D40</f>
        <v>385.86</v>
      </c>
      <c r="U99" s="186">
        <f>'A.0_Tablas salariales SC'!D41</f>
        <v>421.15</v>
      </c>
    </row>
    <row r="100" spans="2:22">
      <c r="K100" s="51" t="s">
        <v>259</v>
      </c>
      <c r="L100" s="186">
        <f>'A.0_Tablas salariales SC'!E32</f>
        <v>27.42</v>
      </c>
      <c r="M100" s="186">
        <f>'A.0_Tablas salariales SC'!E33</f>
        <v>75.790000000000006</v>
      </c>
      <c r="N100" s="186">
        <f>'A.0_Tablas salariales SC'!E34</f>
        <v>132.56</v>
      </c>
      <c r="O100" s="186">
        <f>'A.0_Tablas salariales SC'!E35</f>
        <v>189.36</v>
      </c>
      <c r="P100" s="186">
        <f>'A.0_Tablas salariales SC'!E36</f>
        <v>238.04</v>
      </c>
      <c r="Q100" s="186">
        <f>'A.0_Tablas salariales SC'!E37</f>
        <v>294.08999999999997</v>
      </c>
      <c r="R100" s="186">
        <f>'A.0_Tablas salariales SC'!E38</f>
        <v>302.98</v>
      </c>
      <c r="S100" s="186">
        <f>'A.0_Tablas salariales SC'!E39</f>
        <v>370.24</v>
      </c>
      <c r="T100" s="186">
        <f>'A.0_Tablas salariales SC'!E40</f>
        <v>416.19</v>
      </c>
      <c r="U100" s="186">
        <f>'A.0_Tablas salariales SC'!E41</f>
        <v>454.5</v>
      </c>
    </row>
    <row r="101" spans="2:22">
      <c r="K101" s="51" t="s">
        <v>260</v>
      </c>
      <c r="L101" s="186">
        <f>'A.0_Tablas salariales SC'!F32</f>
        <v>34.950000000000003</v>
      </c>
      <c r="M101" s="186">
        <f>'A.0_Tablas salariales SC'!F33</f>
        <v>96.14</v>
      </c>
      <c r="N101" s="186">
        <f>'A.0_Tablas salariales SC'!F34</f>
        <v>168.24</v>
      </c>
      <c r="O101" s="186">
        <f>'A.0_Tablas salariales SC'!F35</f>
        <v>240.33</v>
      </c>
      <c r="P101" s="186">
        <f>'A.0_Tablas salariales SC'!F36</f>
        <v>302.73</v>
      </c>
      <c r="Q101" s="186">
        <f>'A.0_Tablas salariales SC'!F37</f>
        <v>364.3</v>
      </c>
      <c r="R101" s="186">
        <f>'A.0_Tablas salariales SC'!F38</f>
        <v>384.49</v>
      </c>
      <c r="S101" s="186">
        <f>'A.0_Tablas salariales SC'!F39</f>
        <v>442.03</v>
      </c>
      <c r="T101" s="186">
        <f>'A.0_Tablas salariales SC'!F40</f>
        <v>532.79999999999995</v>
      </c>
      <c r="U101" s="186">
        <f>'A.0_Tablas salariales SC'!F41</f>
        <v>576.83000000000004</v>
      </c>
      <c r="V101" s="186"/>
    </row>
  </sheetData>
  <mergeCells count="3">
    <mergeCell ref="A1:V1"/>
    <mergeCell ref="C4:E4"/>
    <mergeCell ref="B96:E96"/>
  </mergeCells>
  <conditionalFormatting sqref="L5:V93">
    <cfRule type="cellIs" dxfId="42" priority="1" operator="equal">
      <formula>0</formula>
    </cfRule>
  </conditionalFormatting>
  <pageMargins left="0.75" right="0.75" top="1" bottom="1" header="0" footer="0"/>
  <pageSetup paperSize="9" scale="51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A1:Z30"/>
  <sheetViews>
    <sheetView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I27" sqref="I5:I27"/>
    </sheetView>
  </sheetViews>
  <sheetFormatPr baseColWidth="10" defaultColWidth="11.44140625" defaultRowHeight="14.4"/>
  <cols>
    <col min="1" max="1" width="4" style="50" customWidth="1"/>
    <col min="2" max="2" width="24.5546875" style="50" customWidth="1"/>
    <col min="3" max="3" width="4.6640625" style="50" customWidth="1"/>
    <col min="4" max="4" width="4.6640625" style="341" customWidth="1"/>
    <col min="5" max="5" width="4.6640625" style="50" customWidth="1"/>
    <col min="6" max="6" width="11.44140625" style="50" customWidth="1"/>
    <col min="7" max="7" width="6.109375" style="50" customWidth="1"/>
    <col min="8" max="8" width="10.33203125" style="50" bestFit="1" customWidth="1"/>
    <col min="9" max="9" width="10.44140625" style="50" customWidth="1"/>
    <col min="10" max="10" width="10.33203125" style="50" customWidth="1"/>
    <col min="11" max="11" width="10.33203125" style="50" bestFit="1" customWidth="1"/>
    <col min="12" max="12" width="8.77734375" style="50" bestFit="1" customWidth="1"/>
    <col min="13" max="14" width="8.109375" style="50" customWidth="1"/>
    <col min="15" max="15" width="9.44140625" style="50" customWidth="1"/>
    <col min="16" max="16" width="11.44140625" style="50" bestFit="1" customWidth="1"/>
    <col min="17" max="17" width="8.88671875" style="50" customWidth="1"/>
    <col min="18" max="18" width="7.88671875" style="50" customWidth="1"/>
    <col min="19" max="19" width="8.88671875" style="50" customWidth="1"/>
    <col min="20" max="20" width="10.33203125" style="50" bestFit="1" customWidth="1"/>
    <col min="21" max="21" width="11.44140625" style="50" customWidth="1"/>
    <col min="22" max="22" width="11.44140625" style="338" customWidth="1"/>
    <col min="23" max="24" width="11.44140625" style="50" customWidth="1"/>
    <col min="25" max="25" width="11.6640625" style="50" customWidth="1"/>
    <col min="26" max="26" width="15.44140625" style="51" customWidth="1"/>
    <col min="27" max="16384" width="11.44140625" style="51"/>
  </cols>
  <sheetData>
    <row r="1" spans="1:26" ht="24" customHeight="1">
      <c r="A1" s="670" t="s">
        <v>215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</row>
    <row r="2" spans="1:26" s="53" customFormat="1" ht="3.75" customHeight="1">
      <c r="A2" s="52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90" customHeight="1">
      <c r="A3" s="288"/>
      <c r="B3" s="289" t="s">
        <v>152</v>
      </c>
      <c r="C3" s="293" t="s">
        <v>216</v>
      </c>
      <c r="D3" s="745" t="s">
        <v>969</v>
      </c>
      <c r="E3" s="289" t="s">
        <v>219</v>
      </c>
      <c r="F3" s="289" t="s">
        <v>220</v>
      </c>
      <c r="G3" s="289" t="s">
        <v>221</v>
      </c>
      <c r="H3" s="289" t="s">
        <v>222</v>
      </c>
      <c r="I3" s="289" t="s">
        <v>223</v>
      </c>
      <c r="J3" s="289" t="s">
        <v>224</v>
      </c>
      <c r="K3" s="289" t="s">
        <v>225</v>
      </c>
      <c r="L3" s="289" t="s">
        <v>226</v>
      </c>
      <c r="M3" s="289" t="s">
        <v>227</v>
      </c>
      <c r="N3" s="289" t="s">
        <v>228</v>
      </c>
      <c r="O3" s="289" t="s">
        <v>229</v>
      </c>
      <c r="P3" s="289" t="s">
        <v>230</v>
      </c>
      <c r="Q3" s="289" t="s">
        <v>231</v>
      </c>
      <c r="R3" s="289" t="s">
        <v>232</v>
      </c>
      <c r="S3" s="289" t="s">
        <v>200</v>
      </c>
      <c r="T3" s="289" t="s">
        <v>233</v>
      </c>
      <c r="U3" s="450" t="s">
        <v>966</v>
      </c>
      <c r="V3" s="450" t="s">
        <v>968</v>
      </c>
      <c r="W3" s="289" t="s">
        <v>234</v>
      </c>
      <c r="X3" s="289" t="s">
        <v>235</v>
      </c>
      <c r="Y3" s="289" t="s">
        <v>236</v>
      </c>
      <c r="Z3" s="289" t="s">
        <v>237</v>
      </c>
    </row>
    <row r="4" spans="1:26" ht="19.5" customHeight="1">
      <c r="A4" s="177"/>
      <c r="B4" s="98"/>
      <c r="C4" s="671" t="s">
        <v>238</v>
      </c>
      <c r="D4" s="671"/>
      <c r="E4" s="671"/>
      <c r="F4" s="671"/>
      <c r="G4" s="671"/>
      <c r="H4" s="98">
        <v>12</v>
      </c>
      <c r="I4" s="98">
        <v>12</v>
      </c>
      <c r="J4" s="98">
        <v>2</v>
      </c>
      <c r="K4" s="98">
        <v>1</v>
      </c>
      <c r="L4" s="98">
        <v>1</v>
      </c>
      <c r="M4" s="98">
        <v>12</v>
      </c>
      <c r="N4" s="98"/>
      <c r="O4" s="98">
        <v>12</v>
      </c>
      <c r="P4" s="98"/>
      <c r="Q4" s="98">
        <v>11</v>
      </c>
      <c r="R4" s="98">
        <v>11</v>
      </c>
      <c r="S4" s="98"/>
      <c r="T4" s="98"/>
      <c r="U4" s="98"/>
      <c r="V4" s="98"/>
      <c r="W4" s="98"/>
      <c r="X4" s="98"/>
      <c r="Y4" s="98"/>
      <c r="Z4" s="98"/>
    </row>
    <row r="5" spans="1:26">
      <c r="A5" s="187">
        <v>1</v>
      </c>
      <c r="B5" s="50" t="s">
        <v>239</v>
      </c>
      <c r="E5" s="180">
        <f>A.2.0_TablaAntigüedad_NuevContr!K5</f>
        <v>2</v>
      </c>
      <c r="G5" s="188">
        <v>1</v>
      </c>
      <c r="H5" s="189">
        <f>'A.0_Tablas salariales SC'!$V$9</f>
        <v>1149.7501843792668</v>
      </c>
      <c r="I5" s="189">
        <f>A.2.0_TablaAntigüedad_NuevContr!V5</f>
        <v>25.32</v>
      </c>
      <c r="J5" s="189">
        <f>H5+I5</f>
        <v>1175.0701843792667</v>
      </c>
      <c r="K5" s="189">
        <f>H5+I5</f>
        <v>1175.0701843792667</v>
      </c>
      <c r="L5" s="189">
        <f>'A.0_Tablas salariales SC'!AA8</f>
        <v>461.42333333333335</v>
      </c>
      <c r="M5" s="189">
        <f>H5*0.25*0</f>
        <v>0</v>
      </c>
      <c r="N5" s="189"/>
      <c r="O5" s="189">
        <v>0</v>
      </c>
      <c r="P5" s="200">
        <f>IF(A5&gt;0,((H5*H$4)+(I5*I$4)+(J5*J$4)+(O5*O$4)+(K5*K$4)+(L5*L$4)+(M5*M$4)+(N5*N$4)),0)</f>
        <v>18087.476099022333</v>
      </c>
      <c r="Q5" s="189">
        <f>'A.0_Tablas salariales SC'!X8</f>
        <v>118.63</v>
      </c>
      <c r="R5" s="189">
        <f>'A.0_Tablas salariales SC'!W8</f>
        <v>35.593333333333334</v>
      </c>
      <c r="S5" s="189"/>
      <c r="T5" s="189">
        <f>IF(A5&gt;0,(Q5*Q$4)+(R5*R$4)+S5,0)</f>
        <v>1696.4566666666665</v>
      </c>
      <c r="U5" s="189">
        <f>+P5+T5</f>
        <v>19783.932765688998</v>
      </c>
      <c r="V5" s="189">
        <f>U5*G5*A5</f>
        <v>19783.932765688998</v>
      </c>
      <c r="W5" s="193">
        <v>0.33800000000000002</v>
      </c>
      <c r="X5" s="189">
        <f>U5*A5*G5*W5</f>
        <v>6686.969274802882</v>
      </c>
      <c r="Y5" s="189">
        <f>X5+V5</f>
        <v>26470.902040491881</v>
      </c>
      <c r="Z5" s="194"/>
    </row>
    <row r="6" spans="1:26">
      <c r="A6" s="187">
        <v>1</v>
      </c>
      <c r="B6" s="50" t="s">
        <v>239</v>
      </c>
      <c r="E6" s="180">
        <f>A.2.0_TablaAntigüedad_NuevContr!K6</f>
        <v>2</v>
      </c>
      <c r="G6" s="188">
        <v>1</v>
      </c>
      <c r="H6" s="189">
        <f>'A.0_Tablas salariales SC'!$V$9</f>
        <v>1149.7501843792668</v>
      </c>
      <c r="I6" s="189">
        <f>A.2.0_TablaAntigüedad_NuevContr!V6</f>
        <v>25.32</v>
      </c>
      <c r="J6" s="189">
        <f>H6+I6</f>
        <v>1175.0701843792667</v>
      </c>
      <c r="K6" s="189">
        <f>H6+I6</f>
        <v>1175.0701843792667</v>
      </c>
      <c r="L6" s="189">
        <f>'A.0_Tablas salariales SC'!AA9</f>
        <v>461.42333333333335</v>
      </c>
      <c r="M6" s="189">
        <f>H6*0.25*0</f>
        <v>0</v>
      </c>
      <c r="N6" s="189"/>
      <c r="O6" s="189">
        <v>0</v>
      </c>
      <c r="P6" s="189">
        <f>IF(A6&gt;0,((H6*H$4)+(I6*I$4)+(J6*J$4)+(O6*O$4)+(K6*K$4)+(L6*L$4)+(M6*M$4)+(N6*N$4)),0)</f>
        <v>18087.476099022333</v>
      </c>
      <c r="Q6" s="189">
        <f>'A.0_Tablas salariales SC'!X9</f>
        <v>118.63</v>
      </c>
      <c r="R6" s="189">
        <f>'A.0_Tablas salariales SC'!W9</f>
        <v>35.593333333333334</v>
      </c>
      <c r="S6" s="189"/>
      <c r="T6" s="189">
        <f t="shared" ref="T6:T26" si="0">IF(A6&gt;0,(Q6*Q$4)+(R6*R$4)+S6,0)</f>
        <v>1696.4566666666665</v>
      </c>
      <c r="U6" s="189">
        <f>+P6+T6</f>
        <v>19783.932765688998</v>
      </c>
      <c r="V6" s="189">
        <f>U6*G6*A6</f>
        <v>19783.932765688998</v>
      </c>
      <c r="W6" s="193">
        <v>0.33800000000000002</v>
      </c>
      <c r="X6" s="189">
        <f>U6*A6*G6*W6</f>
        <v>6686.969274802882</v>
      </c>
      <c r="Y6" s="189">
        <f>X6+V6</f>
        <v>26470.902040491881</v>
      </c>
      <c r="Z6" s="194"/>
    </row>
    <row r="7" spans="1:26">
      <c r="A7" s="190"/>
      <c r="B7" s="182"/>
      <c r="C7" s="182"/>
      <c r="D7" s="182"/>
      <c r="E7" s="182"/>
      <c r="F7" s="182"/>
      <c r="G7" s="182"/>
      <c r="H7" s="191"/>
      <c r="I7" s="182"/>
      <c r="J7" s="191"/>
      <c r="K7" s="191"/>
      <c r="L7" s="191"/>
      <c r="M7" s="192"/>
      <c r="N7" s="191"/>
      <c r="O7" s="182"/>
      <c r="P7" s="191"/>
      <c r="Q7" s="182"/>
      <c r="R7" s="182"/>
      <c r="S7" s="182"/>
      <c r="T7" s="191"/>
      <c r="U7" s="191"/>
      <c r="V7" s="191"/>
      <c r="W7" s="195"/>
      <c r="X7" s="191"/>
      <c r="Y7" s="191"/>
      <c r="Z7" s="196">
        <f>+(SUM(Y5:Y6))</f>
        <v>52941.804080983762</v>
      </c>
    </row>
    <row r="8" spans="1:26">
      <c r="A8" s="187">
        <v>1</v>
      </c>
      <c r="B8" s="50" t="s">
        <v>240</v>
      </c>
      <c r="E8" s="180">
        <f>A.2.0_TablaAntigüedad_NuevContr!K8</f>
        <v>2</v>
      </c>
      <c r="G8" s="188">
        <v>1</v>
      </c>
      <c r="H8" s="189">
        <f>'A.0_Tablas salariales SC'!$V$10</f>
        <v>1215.8158047887998</v>
      </c>
      <c r="I8" s="189">
        <f>A.2.0_TablaAntigüedad_NuevContr!V8</f>
        <v>25.32</v>
      </c>
      <c r="J8" s="189">
        <f t="shared" ref="J8:J9" si="1">H8+I8</f>
        <v>1241.1358047887998</v>
      </c>
      <c r="K8" s="189">
        <f t="shared" ref="K8:K9" si="2">H8+I8</f>
        <v>1241.1358047887998</v>
      </c>
      <c r="L8" s="189">
        <v>461.42333333333301</v>
      </c>
      <c r="M8" s="189">
        <f t="shared" ref="M8" si="3">H8*0.25*0</f>
        <v>0</v>
      </c>
      <c r="N8" s="189"/>
      <c r="O8" s="189">
        <v>0</v>
      </c>
      <c r="P8" s="189">
        <f t="shared" ref="P8:P11" si="4">IF(A8&gt;0,((H8*H$4)+(I8*I$4)+(J8*J$4)+(O8*O$4)+(K8*K$4)+(L8*L$4)+(M8*M$4)+(N8*N$4)),0)</f>
        <v>19078.46040516533</v>
      </c>
      <c r="Q8" s="189">
        <v>118.63</v>
      </c>
      <c r="R8" s="189">
        <v>35.593333333333298</v>
      </c>
      <c r="S8" s="189"/>
      <c r="T8" s="189">
        <f t="shared" si="0"/>
        <v>1696.456666666666</v>
      </c>
      <c r="U8" s="189">
        <f>+P8+T8</f>
        <v>20774.917071831995</v>
      </c>
      <c r="V8" s="189">
        <f t="shared" ref="V8:V11" si="5">U8*G8*A8</f>
        <v>20774.917071831995</v>
      </c>
      <c r="W8" s="193">
        <v>0.33800000000000002</v>
      </c>
      <c r="X8" s="189">
        <f t="shared" ref="X8:X11" si="6">U8*A8*G8*W8</f>
        <v>7021.9219702792143</v>
      </c>
      <c r="Y8" s="189">
        <f t="shared" ref="Y8:Y11" si="7">X8+V8</f>
        <v>27796.839042111209</v>
      </c>
      <c r="Z8" s="194"/>
    </row>
    <row r="9" spans="1:26">
      <c r="A9" s="187">
        <v>1</v>
      </c>
      <c r="B9" s="50" t="s">
        <v>240</v>
      </c>
      <c r="E9" s="180">
        <f>A.2.0_TablaAntigüedad_NuevContr!K9</f>
        <v>2</v>
      </c>
      <c r="G9" s="188">
        <v>1</v>
      </c>
      <c r="H9" s="189">
        <f>'A.0_Tablas salariales SC'!V10</f>
        <v>1215.8158047887998</v>
      </c>
      <c r="I9" s="189">
        <f>A.2.0_TablaAntigüedad_NuevContr!V9</f>
        <v>25.32</v>
      </c>
      <c r="J9" s="189">
        <f t="shared" si="1"/>
        <v>1241.1358047887998</v>
      </c>
      <c r="K9" s="189">
        <f t="shared" si="2"/>
        <v>1241.1358047887998</v>
      </c>
      <c r="L9" s="189">
        <v>461.42333333333301</v>
      </c>
      <c r="M9" s="189">
        <v>0</v>
      </c>
      <c r="N9" s="189"/>
      <c r="O9" s="189">
        <v>0</v>
      </c>
      <c r="P9" s="189">
        <f t="shared" si="4"/>
        <v>19078.46040516533</v>
      </c>
      <c r="Q9" s="189">
        <v>118.63</v>
      </c>
      <c r="R9" s="189">
        <v>35.593333333333298</v>
      </c>
      <c r="S9" s="189"/>
      <c r="T9" s="189">
        <f t="shared" si="0"/>
        <v>1696.456666666666</v>
      </c>
      <c r="U9" s="189">
        <f>+P9+T9</f>
        <v>20774.917071831995</v>
      </c>
      <c r="V9" s="189">
        <f t="shared" si="5"/>
        <v>20774.917071831995</v>
      </c>
      <c r="W9" s="193">
        <v>0.33800000000000002</v>
      </c>
      <c r="X9" s="189">
        <f t="shared" si="6"/>
        <v>7021.9219702792143</v>
      </c>
      <c r="Y9" s="189">
        <f t="shared" si="7"/>
        <v>27796.839042111209</v>
      </c>
      <c r="Z9" s="194"/>
    </row>
    <row r="10" spans="1:26">
      <c r="A10" s="187">
        <v>0</v>
      </c>
      <c r="B10" s="50" t="s">
        <v>240</v>
      </c>
      <c r="E10" s="180">
        <f>A.2.0_TablaAntigüedad_NuevContr!K10</f>
        <v>2</v>
      </c>
      <c r="G10" s="188">
        <v>1</v>
      </c>
      <c r="H10" s="189">
        <f>'A.0_Tablas salariales SC'!$V$10</f>
        <v>1215.8158047887998</v>
      </c>
      <c r="I10" s="189">
        <f>A.2.0_TablaAntigüedad_NuevContr!V10</f>
        <v>0</v>
      </c>
      <c r="J10" s="189">
        <f t="shared" ref="J10:J11" si="8">H10+I10</f>
        <v>1215.8158047887998</v>
      </c>
      <c r="K10" s="189">
        <f t="shared" ref="K10:K11" si="9">H10+I10</f>
        <v>1215.8158047887998</v>
      </c>
      <c r="L10" s="189">
        <v>461.42333333333301</v>
      </c>
      <c r="M10" s="189">
        <f t="shared" ref="M10" si="10">H10*0.25*0</f>
        <v>0</v>
      </c>
      <c r="N10" s="189"/>
      <c r="O10" s="189">
        <v>0</v>
      </c>
      <c r="P10" s="189">
        <f t="shared" si="4"/>
        <v>0</v>
      </c>
      <c r="Q10" s="189">
        <v>118.63</v>
      </c>
      <c r="R10" s="189">
        <v>35.593333333333298</v>
      </c>
      <c r="S10" s="189"/>
      <c r="T10" s="189">
        <f t="shared" si="0"/>
        <v>0</v>
      </c>
      <c r="U10" s="189">
        <f>+P10+T10</f>
        <v>0</v>
      </c>
      <c r="V10" s="189">
        <f t="shared" si="5"/>
        <v>0</v>
      </c>
      <c r="W10" s="193">
        <v>0.33800000000000002</v>
      </c>
      <c r="X10" s="189">
        <f t="shared" si="6"/>
        <v>0</v>
      </c>
      <c r="Y10" s="189">
        <f t="shared" si="7"/>
        <v>0</v>
      </c>
      <c r="Z10" s="194"/>
    </row>
    <row r="11" spans="1:26">
      <c r="A11" s="187">
        <v>0</v>
      </c>
      <c r="B11" s="50" t="s">
        <v>240</v>
      </c>
      <c r="E11" s="180">
        <f>A.2.0_TablaAntigüedad_NuevContr!K11</f>
        <v>2</v>
      </c>
      <c r="G11" s="188">
        <v>1</v>
      </c>
      <c r="H11" s="189">
        <f>'A.0_Tablas salariales SC'!V12</f>
        <v>1260.6046655599998</v>
      </c>
      <c r="I11" s="189">
        <f>A.2.0_TablaAntigüedad_NuevContr!V11</f>
        <v>0</v>
      </c>
      <c r="J11" s="189">
        <f t="shared" si="8"/>
        <v>1260.6046655599998</v>
      </c>
      <c r="K11" s="189">
        <f t="shared" si="9"/>
        <v>1260.6046655599998</v>
      </c>
      <c r="L11" s="189">
        <v>461.42333333333301</v>
      </c>
      <c r="M11" s="189">
        <v>0</v>
      </c>
      <c r="N11" s="189"/>
      <c r="O11" s="189">
        <v>0</v>
      </c>
      <c r="P11" s="189">
        <f t="shared" si="4"/>
        <v>0</v>
      </c>
      <c r="Q11" s="189">
        <v>118.63</v>
      </c>
      <c r="R11" s="189">
        <v>35.593333333333298</v>
      </c>
      <c r="S11" s="189"/>
      <c r="T11" s="189">
        <f t="shared" si="0"/>
        <v>0</v>
      </c>
      <c r="U11" s="189">
        <f>+P11+T11</f>
        <v>0</v>
      </c>
      <c r="V11" s="189">
        <f t="shared" si="5"/>
        <v>0</v>
      </c>
      <c r="W11" s="193">
        <v>0.33800000000000002</v>
      </c>
      <c r="X11" s="189">
        <f t="shared" si="6"/>
        <v>0</v>
      </c>
      <c r="Y11" s="189">
        <f t="shared" si="7"/>
        <v>0</v>
      </c>
      <c r="Z11" s="194"/>
    </row>
    <row r="12" spans="1:26">
      <c r="A12" s="190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92"/>
      <c r="N12" s="182"/>
      <c r="O12" s="182"/>
      <c r="P12" s="191"/>
      <c r="Q12" s="182"/>
      <c r="R12" s="182"/>
      <c r="S12" s="182"/>
      <c r="T12" s="191"/>
      <c r="U12" s="191"/>
      <c r="V12" s="191"/>
      <c r="W12" s="195"/>
      <c r="X12" s="191"/>
      <c r="Y12" s="191"/>
      <c r="Z12" s="196">
        <f>+(SUM(Y8:Y11))</f>
        <v>55593.678084222418</v>
      </c>
    </row>
    <row r="13" spans="1:26">
      <c r="A13" s="187">
        <v>0</v>
      </c>
      <c r="B13" s="50" t="s">
        <v>242</v>
      </c>
      <c r="E13" s="180">
        <f>A.2.0_TablaAntigüedad_NuevContr!K13</f>
        <v>2</v>
      </c>
      <c r="G13" s="188">
        <v>1</v>
      </c>
      <c r="H13" s="189">
        <f>'A.0_Tablas salariales SC'!$V$13</f>
        <v>1267.3209439036666</v>
      </c>
      <c r="I13" s="189">
        <f>A.2.0_TablaAntigüedad_NuevContr!V13</f>
        <v>0</v>
      </c>
      <c r="J13" s="189">
        <f t="shared" ref="J13:J14" si="11">H13+I13</f>
        <v>1267.3209439036666</v>
      </c>
      <c r="K13" s="189">
        <f t="shared" ref="K13:K14" si="12">H13+I13</f>
        <v>1267.3209439036666</v>
      </c>
      <c r="L13" s="189">
        <v>461.42333333333301</v>
      </c>
      <c r="M13" s="189">
        <f t="shared" ref="M13:M14" si="13">H13*0.25*0</f>
        <v>0</v>
      </c>
      <c r="N13" s="189"/>
      <c r="O13" s="189">
        <v>0</v>
      </c>
      <c r="P13" s="189">
        <f t="shared" ref="P13:P14" si="14">IF(A13&gt;0,((H13*H$4)+(I13*I$4)+(J13*J$4)+(O13*O$4)+(K13*K$4)+(L13*L$4)+(M13*M$4)+(N13*N$4)),0)</f>
        <v>0</v>
      </c>
      <c r="Q13" s="189">
        <v>118.63</v>
      </c>
      <c r="R13" s="189">
        <v>35.593333333333298</v>
      </c>
      <c r="S13" s="189"/>
      <c r="T13" s="189">
        <f t="shared" si="0"/>
        <v>0</v>
      </c>
      <c r="U13" s="189">
        <f>+P13+T13</f>
        <v>0</v>
      </c>
      <c r="V13" s="189">
        <f t="shared" ref="V13:V14" si="15">U13*G13*A13</f>
        <v>0</v>
      </c>
      <c r="W13" s="193">
        <v>0.33800000000000002</v>
      </c>
      <c r="X13" s="189">
        <f t="shared" ref="X13:X14" si="16">U13*A13*G13*W13</f>
        <v>0</v>
      </c>
      <c r="Y13" s="189">
        <f t="shared" ref="Y13:Y14" si="17">X13+V13</f>
        <v>0</v>
      </c>
      <c r="Z13" s="194"/>
    </row>
    <row r="14" spans="1:26">
      <c r="A14" s="187">
        <v>0</v>
      </c>
      <c r="B14" s="50" t="s">
        <v>242</v>
      </c>
      <c r="E14" s="180">
        <f>A.2.0_TablaAntigüedad_NuevContr!K14</f>
        <v>2</v>
      </c>
      <c r="G14" s="188">
        <v>1</v>
      </c>
      <c r="H14" s="189">
        <f>'A.0_Tablas salariales SC'!$V$13</f>
        <v>1267.3209439036666</v>
      </c>
      <c r="I14" s="189">
        <f>A.2.0_TablaAntigüedad_NuevContr!V14</f>
        <v>0</v>
      </c>
      <c r="J14" s="189">
        <f t="shared" si="11"/>
        <v>1267.3209439036666</v>
      </c>
      <c r="K14" s="189">
        <f t="shared" si="12"/>
        <v>1267.3209439036666</v>
      </c>
      <c r="L14" s="189">
        <v>461.42333333333301</v>
      </c>
      <c r="M14" s="189">
        <f t="shared" si="13"/>
        <v>0</v>
      </c>
      <c r="N14" s="189"/>
      <c r="O14" s="189">
        <v>0</v>
      </c>
      <c r="P14" s="189">
        <f t="shared" si="14"/>
        <v>0</v>
      </c>
      <c r="Q14" s="189">
        <v>118.63</v>
      </c>
      <c r="R14" s="189">
        <v>35.593333333333298</v>
      </c>
      <c r="S14" s="189"/>
      <c r="T14" s="189">
        <f t="shared" si="0"/>
        <v>0</v>
      </c>
      <c r="U14" s="189">
        <f>+P14+T14</f>
        <v>0</v>
      </c>
      <c r="V14" s="189">
        <f t="shared" si="15"/>
        <v>0</v>
      </c>
      <c r="W14" s="193">
        <v>0.33800000000000002</v>
      </c>
      <c r="X14" s="189">
        <f t="shared" si="16"/>
        <v>0</v>
      </c>
      <c r="Y14" s="189">
        <f t="shared" si="17"/>
        <v>0</v>
      </c>
      <c r="Z14" s="194"/>
    </row>
    <row r="15" spans="1:26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92"/>
      <c r="N15" s="182"/>
      <c r="O15" s="182"/>
      <c r="P15" s="191"/>
      <c r="Q15" s="182"/>
      <c r="R15" s="182"/>
      <c r="S15" s="182"/>
      <c r="T15" s="191"/>
      <c r="U15" s="191"/>
      <c r="V15" s="191"/>
      <c r="W15" s="195"/>
      <c r="X15" s="191"/>
      <c r="Y15" s="191"/>
      <c r="Z15" s="196">
        <f>+(SUM(Y13:Y14))</f>
        <v>0</v>
      </c>
    </row>
    <row r="16" spans="1:26">
      <c r="A16" s="187">
        <v>1</v>
      </c>
      <c r="B16" s="50" t="s">
        <v>243</v>
      </c>
      <c r="E16" s="180">
        <f>A.2.0_TablaAntigüedad_NuevContr!K16</f>
        <v>2</v>
      </c>
      <c r="G16" s="188">
        <v>1</v>
      </c>
      <c r="H16" s="189">
        <f>'A.0_Tablas salariales SC'!$V$14</f>
        <v>1333.3865643132001</v>
      </c>
      <c r="I16" s="189">
        <f>A.2.0_TablaAntigüedad_NuevContr!V16</f>
        <v>25.32</v>
      </c>
      <c r="J16" s="189">
        <f t="shared" ref="J16:J18" si="18">H16+I16</f>
        <v>1358.7065643132</v>
      </c>
      <c r="K16" s="189">
        <f t="shared" ref="K16:K18" si="19">H16+I16</f>
        <v>1358.7065643132</v>
      </c>
      <c r="L16" s="189">
        <v>461.42333333333301</v>
      </c>
      <c r="M16" s="189">
        <f t="shared" ref="M16:M18" si="20">H16*0.25*0</f>
        <v>0</v>
      </c>
      <c r="N16" s="189"/>
      <c r="O16" s="189">
        <v>0</v>
      </c>
      <c r="P16" s="189">
        <f t="shared" ref="P16:P20" si="21">IF(A16&gt;0,((H16*H$4)+(I16*I$4)+(J16*J$4)+(O16*O$4)+(K16*K$4)+(L16*L$4)+(M16*M$4)+(N16*N$4)),0)</f>
        <v>20842.021798031332</v>
      </c>
      <c r="Q16" s="189">
        <v>118.63</v>
      </c>
      <c r="R16" s="189">
        <v>35.593333333333298</v>
      </c>
      <c r="S16" s="189"/>
      <c r="T16" s="189">
        <f t="shared" si="0"/>
        <v>1696.456666666666</v>
      </c>
      <c r="U16" s="189">
        <f>+P16+T16</f>
        <v>22538.478464697997</v>
      </c>
      <c r="V16" s="189">
        <f t="shared" ref="V16:V20" si="22">U16*G16*A16</f>
        <v>22538.478464697997</v>
      </c>
      <c r="W16" s="193">
        <v>0.33800000000000002</v>
      </c>
      <c r="X16" s="189">
        <f t="shared" ref="X16:X20" si="23">U16*A16*G16*W16</f>
        <v>7618.0057210679233</v>
      </c>
      <c r="Y16" s="189">
        <f t="shared" ref="Y16:Y20" si="24">X16+V16</f>
        <v>30156.484185765919</v>
      </c>
      <c r="Z16" s="194"/>
    </row>
    <row r="17" spans="1:26">
      <c r="A17" s="187">
        <v>0</v>
      </c>
      <c r="B17" s="50" t="s">
        <v>244</v>
      </c>
      <c r="E17" s="180">
        <f>A.2.0_TablaAntigüedad_NuevContr!K17</f>
        <v>2</v>
      </c>
      <c r="G17" s="188">
        <v>1</v>
      </c>
      <c r="H17" s="189">
        <f>'A.0_Tablas salariales SC'!$V$14</f>
        <v>1333.3865643132001</v>
      </c>
      <c r="I17" s="189">
        <f>A.2.0_TablaAntigüedad_NuevContr!V17</f>
        <v>0</v>
      </c>
      <c r="J17" s="189">
        <f t="shared" si="18"/>
        <v>1333.3865643132001</v>
      </c>
      <c r="K17" s="189">
        <f t="shared" si="19"/>
        <v>1333.3865643132001</v>
      </c>
      <c r="L17" s="189">
        <v>461.42333333333301</v>
      </c>
      <c r="M17" s="189">
        <f t="shared" si="20"/>
        <v>0</v>
      </c>
      <c r="N17" s="189"/>
      <c r="O17" s="189">
        <v>0</v>
      </c>
      <c r="P17" s="189">
        <f t="shared" si="21"/>
        <v>0</v>
      </c>
      <c r="Q17" s="189">
        <v>118.63</v>
      </c>
      <c r="R17" s="189">
        <v>35.593333333333298</v>
      </c>
      <c r="S17" s="189"/>
      <c r="T17" s="189">
        <f t="shared" si="0"/>
        <v>0</v>
      </c>
      <c r="U17" s="189">
        <f>+P17+T17</f>
        <v>0</v>
      </c>
      <c r="V17" s="189">
        <f t="shared" si="22"/>
        <v>0</v>
      </c>
      <c r="W17" s="193">
        <v>0.36899999999999999</v>
      </c>
      <c r="X17" s="189">
        <f t="shared" si="23"/>
        <v>0</v>
      </c>
      <c r="Y17" s="189">
        <f t="shared" si="24"/>
        <v>0</v>
      </c>
      <c r="Z17" s="194"/>
    </row>
    <row r="18" spans="1:26">
      <c r="A18" s="187">
        <v>0</v>
      </c>
      <c r="B18" s="50" t="s">
        <v>243</v>
      </c>
      <c r="E18" s="180">
        <f>A.2.0_TablaAntigüedad_NuevContr!K18</f>
        <v>2</v>
      </c>
      <c r="G18" s="188">
        <v>1</v>
      </c>
      <c r="H18" s="189">
        <f>'A.0_Tablas salariales SC'!$V$14</f>
        <v>1333.3865643132001</v>
      </c>
      <c r="I18" s="189">
        <f>A.2.0_TablaAntigüedad_NuevContr!V18</f>
        <v>0</v>
      </c>
      <c r="J18" s="189">
        <f t="shared" si="18"/>
        <v>1333.3865643132001</v>
      </c>
      <c r="K18" s="189">
        <f t="shared" si="19"/>
        <v>1333.3865643132001</v>
      </c>
      <c r="L18" s="189">
        <v>461.42333333333301</v>
      </c>
      <c r="M18" s="189">
        <f t="shared" si="20"/>
        <v>0</v>
      </c>
      <c r="N18" s="189"/>
      <c r="O18" s="189">
        <v>0</v>
      </c>
      <c r="P18" s="189">
        <f t="shared" si="21"/>
        <v>0</v>
      </c>
      <c r="Q18" s="189">
        <v>118.63</v>
      </c>
      <c r="R18" s="189">
        <v>35.593333333333298</v>
      </c>
      <c r="S18" s="189"/>
      <c r="T18" s="189">
        <f t="shared" si="0"/>
        <v>0</v>
      </c>
      <c r="U18" s="189">
        <f>+P18+T18</f>
        <v>0</v>
      </c>
      <c r="V18" s="189">
        <f t="shared" si="22"/>
        <v>0</v>
      </c>
      <c r="W18" s="193">
        <v>0.33800000000000002</v>
      </c>
      <c r="X18" s="189">
        <f t="shared" si="23"/>
        <v>0</v>
      </c>
      <c r="Y18" s="189">
        <f t="shared" si="24"/>
        <v>0</v>
      </c>
      <c r="Z18" s="194"/>
    </row>
    <row r="19" spans="1:26">
      <c r="A19" s="187">
        <v>0</v>
      </c>
      <c r="B19" s="50" t="s">
        <v>244</v>
      </c>
      <c r="E19" s="180">
        <f>A.2.0_TablaAntigüedad_NuevContr!K19</f>
        <v>2</v>
      </c>
      <c r="G19" s="188">
        <v>1</v>
      </c>
      <c r="H19" s="189">
        <f>'A.0_Tablas salariales SC'!$V$14</f>
        <v>1333.3865643132001</v>
      </c>
      <c r="I19" s="189">
        <f>A.2.0_TablaAntigüedad_NuevContr!V19</f>
        <v>0</v>
      </c>
      <c r="J19" s="189">
        <f t="shared" ref="J19:J20" si="25">H19+I19</f>
        <v>1333.3865643132001</v>
      </c>
      <c r="K19" s="189">
        <f t="shared" ref="K19:K20" si="26">H19+I19</f>
        <v>1333.3865643132001</v>
      </c>
      <c r="L19" s="189">
        <v>461.42333333333301</v>
      </c>
      <c r="M19" s="189">
        <f t="shared" ref="M19:M20" si="27">H19*0.25*0</f>
        <v>0</v>
      </c>
      <c r="N19" s="189"/>
      <c r="O19" s="189">
        <v>0</v>
      </c>
      <c r="P19" s="189">
        <f t="shared" si="21"/>
        <v>0</v>
      </c>
      <c r="Q19" s="189">
        <v>118.63</v>
      </c>
      <c r="R19" s="189">
        <v>35.593333333333298</v>
      </c>
      <c r="S19" s="189"/>
      <c r="T19" s="189">
        <f t="shared" si="0"/>
        <v>0</v>
      </c>
      <c r="U19" s="189">
        <f>+P19+T19</f>
        <v>0</v>
      </c>
      <c r="V19" s="189">
        <f t="shared" si="22"/>
        <v>0</v>
      </c>
      <c r="W19" s="193">
        <v>0.36899999999999999</v>
      </c>
      <c r="X19" s="189">
        <f t="shared" si="23"/>
        <v>0</v>
      </c>
      <c r="Y19" s="189">
        <f t="shared" si="24"/>
        <v>0</v>
      </c>
      <c r="Z19" s="194"/>
    </row>
    <row r="20" spans="1:26">
      <c r="A20" s="187">
        <v>0</v>
      </c>
      <c r="B20" s="50" t="s">
        <v>243</v>
      </c>
      <c r="E20" s="180">
        <f>A.2.0_TablaAntigüedad_NuevContr!K20</f>
        <v>2</v>
      </c>
      <c r="G20" s="188">
        <v>1</v>
      </c>
      <c r="H20" s="189">
        <f>'A.0_Tablas salariales SC'!$V$14</f>
        <v>1333.3865643132001</v>
      </c>
      <c r="I20" s="189">
        <f>A.2.0_TablaAntigüedad_NuevContr!V20</f>
        <v>0</v>
      </c>
      <c r="J20" s="189">
        <f t="shared" si="25"/>
        <v>1333.3865643132001</v>
      </c>
      <c r="K20" s="189">
        <f t="shared" si="26"/>
        <v>1333.3865643132001</v>
      </c>
      <c r="L20" s="189">
        <v>461.42333333333301</v>
      </c>
      <c r="M20" s="189">
        <f t="shared" si="27"/>
        <v>0</v>
      </c>
      <c r="N20" s="189"/>
      <c r="O20" s="189">
        <v>0</v>
      </c>
      <c r="P20" s="189">
        <f t="shared" si="21"/>
        <v>0</v>
      </c>
      <c r="Q20" s="189">
        <v>118.63</v>
      </c>
      <c r="R20" s="189">
        <v>35.593333333333298</v>
      </c>
      <c r="S20" s="189"/>
      <c r="T20" s="189">
        <f t="shared" si="0"/>
        <v>0</v>
      </c>
      <c r="U20" s="189">
        <f>+P20+T20</f>
        <v>0</v>
      </c>
      <c r="V20" s="189">
        <f t="shared" si="22"/>
        <v>0</v>
      </c>
      <c r="W20" s="193">
        <v>0.33800000000000002</v>
      </c>
      <c r="X20" s="189">
        <f t="shared" si="23"/>
        <v>0</v>
      </c>
      <c r="Y20" s="189">
        <f t="shared" si="24"/>
        <v>0</v>
      </c>
      <c r="Z20" s="194"/>
    </row>
    <row r="21" spans="1:26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9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96">
        <f>+(SUM(Y16:Y20))</f>
        <v>30156.484185765919</v>
      </c>
    </row>
    <row r="22" spans="1:26">
      <c r="A22" s="187">
        <v>0</v>
      </c>
      <c r="B22" s="50" t="s">
        <v>245</v>
      </c>
      <c r="E22" s="180">
        <f>A.2.0_TablaAntigüedad_NuevContr!K22</f>
        <v>2</v>
      </c>
      <c r="G22" s="188">
        <v>1</v>
      </c>
      <c r="H22" s="189">
        <f>'A.0_Tablas salariales SC'!$V$17</f>
        <v>1393.8740848464668</v>
      </c>
      <c r="I22" s="189">
        <f>A.2.0_TablaAntigüedad_NuevContr!V22</f>
        <v>0</v>
      </c>
      <c r="J22" s="189">
        <f>H22+I22</f>
        <v>1393.8740848464668</v>
      </c>
      <c r="K22" s="189">
        <f>H22+I22</f>
        <v>1393.8740848464668</v>
      </c>
      <c r="L22" s="189">
        <v>461.42333333333301</v>
      </c>
      <c r="M22" s="189">
        <f>H22*0.25*0</f>
        <v>0</v>
      </c>
      <c r="N22" s="189"/>
      <c r="O22" s="189">
        <v>0</v>
      </c>
      <c r="P22" s="189">
        <f>IF(A22&gt;0,((H22*H$4)+(I22*I$4)+(J22*J$4)+(O22*O$4)+(K22*K$4)+(L22*L$4)+(M22*M$4)+(N22*N$4)),0)</f>
        <v>0</v>
      </c>
      <c r="Q22" s="189">
        <v>118.63</v>
      </c>
      <c r="R22" s="189">
        <v>35.593333333333298</v>
      </c>
      <c r="S22" s="189"/>
      <c r="T22" s="189">
        <f t="shared" si="0"/>
        <v>0</v>
      </c>
      <c r="U22" s="189">
        <f>+P22+T22</f>
        <v>0</v>
      </c>
      <c r="V22" s="189">
        <f>U22*G22*A22</f>
        <v>0</v>
      </c>
      <c r="W22" s="193">
        <v>0.33800000000000002</v>
      </c>
      <c r="X22" s="189">
        <f>U22*A22*G22*W22</f>
        <v>0</v>
      </c>
      <c r="Y22" s="189">
        <f>X22+V22</f>
        <v>0</v>
      </c>
      <c r="Z22" s="194"/>
    </row>
    <row r="23" spans="1:26">
      <c r="A23" s="182"/>
      <c r="B23" s="182"/>
      <c r="C23" s="182"/>
      <c r="D23" s="182"/>
      <c r="E23" s="182"/>
      <c r="F23" s="182"/>
      <c r="G23" s="182"/>
      <c r="H23" s="191"/>
      <c r="I23" s="182"/>
      <c r="J23" s="191"/>
      <c r="K23" s="191"/>
      <c r="L23" s="191"/>
      <c r="M23" s="192"/>
      <c r="N23" s="191"/>
      <c r="O23" s="182"/>
      <c r="P23" s="191"/>
      <c r="Q23" s="182"/>
      <c r="R23" s="182"/>
      <c r="S23" s="182"/>
      <c r="T23" s="191"/>
      <c r="U23" s="191"/>
      <c r="V23" s="191"/>
      <c r="W23" s="195"/>
      <c r="X23" s="191"/>
      <c r="Y23" s="191"/>
      <c r="Z23" s="197">
        <f>+Y22</f>
        <v>0</v>
      </c>
    </row>
    <row r="24" spans="1:26">
      <c r="A24" s="187">
        <v>0</v>
      </c>
      <c r="B24" s="50" t="s">
        <v>246</v>
      </c>
      <c r="E24" s="180">
        <f>A.2.0_TablaAntigüedad_NuevContr!K24</f>
        <v>2</v>
      </c>
      <c r="G24" s="188">
        <v>1</v>
      </c>
      <c r="H24" s="189">
        <f>'A.0_Tablas salariales SC'!$V$27</f>
        <v>1786.8840334816668</v>
      </c>
      <c r="I24" s="189">
        <f>A.2.0_TablaAntigüedad_NuevContr!V24</f>
        <v>0</v>
      </c>
      <c r="J24" s="189">
        <f>H24+I24</f>
        <v>1786.8840334816668</v>
      </c>
      <c r="K24" s="189">
        <f>H24+I24</f>
        <v>1786.8840334816668</v>
      </c>
      <c r="L24" s="189">
        <v>461.42333333333301</v>
      </c>
      <c r="M24" s="189">
        <f>H24*0.25*0</f>
        <v>0</v>
      </c>
      <c r="N24" s="189"/>
      <c r="O24" s="189">
        <v>0</v>
      </c>
      <c r="P24" s="189">
        <f>IF(A24&gt;0,((H24*H$4)+(I24*I$4)+(J24*J$4)+(O24*O$4)+(K24*K$4)+(L24*L$4)+(M24*M$4)+(N24*N$4)),0)</f>
        <v>0</v>
      </c>
      <c r="Q24" s="189">
        <v>118.63</v>
      </c>
      <c r="R24" s="189">
        <v>35.593333333333298</v>
      </c>
      <c r="S24" s="189"/>
      <c r="T24" s="189">
        <f t="shared" si="0"/>
        <v>0</v>
      </c>
      <c r="U24" s="189">
        <f>+P24+T24</f>
        <v>0</v>
      </c>
      <c r="V24" s="189">
        <f>U24*G24*A24</f>
        <v>0</v>
      </c>
      <c r="W24" s="193">
        <v>0.309</v>
      </c>
      <c r="X24" s="189">
        <f>U24*A24*G24*W24</f>
        <v>0</v>
      </c>
      <c r="Y24" s="189">
        <f>X24+V24</f>
        <v>0</v>
      </c>
      <c r="Z24" s="194"/>
    </row>
    <row r="25" spans="1:26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92"/>
      <c r="N25" s="182"/>
      <c r="O25" s="182"/>
      <c r="P25" s="191"/>
      <c r="Q25" s="182"/>
      <c r="R25" s="182"/>
      <c r="S25" s="182"/>
      <c r="T25" s="191"/>
      <c r="U25" s="191"/>
      <c r="V25" s="191"/>
      <c r="W25" s="195"/>
      <c r="X25" s="191"/>
      <c r="Y25" s="191"/>
      <c r="Z25" s="197">
        <f>+Y24</f>
        <v>0</v>
      </c>
    </row>
    <row r="26" spans="1:26">
      <c r="A26" s="187">
        <v>0</v>
      </c>
      <c r="B26" s="50" t="s">
        <v>248</v>
      </c>
      <c r="E26" s="180">
        <f>A.2.0_TablaAntigüedad_NuevContr!K26</f>
        <v>2</v>
      </c>
      <c r="G26" s="188">
        <v>1</v>
      </c>
      <c r="H26" s="189">
        <f>'A.0_Tablas salariales SC'!$V$21</f>
        <v>1328.1263340989999</v>
      </c>
      <c r="I26" s="189">
        <f>A.2.0_TablaAntigüedad_NuevContr!V26</f>
        <v>0</v>
      </c>
      <c r="J26" s="189">
        <f>H26+I26</f>
        <v>1328.1263340989999</v>
      </c>
      <c r="K26" s="189">
        <f>H26+I26</f>
        <v>1328.1263340989999</v>
      </c>
      <c r="L26" s="189">
        <v>461.42333333333301</v>
      </c>
      <c r="M26" s="189">
        <f>H26*0.25*0</f>
        <v>0</v>
      </c>
      <c r="N26" s="189"/>
      <c r="O26" s="189">
        <v>0</v>
      </c>
      <c r="P26" s="189">
        <f>IF(A26&gt;0,((H26*H$4)+(I26*I$4)+(J26*J$4)+(O26*O$4)+(K26*K$4)+(L26*L$4)+(M26*M$4)+(N26*N$4)),0)</f>
        <v>0</v>
      </c>
      <c r="Q26" s="189">
        <v>118.63</v>
      </c>
      <c r="R26" s="189">
        <v>35.593333333333298</v>
      </c>
      <c r="S26" s="189"/>
      <c r="T26" s="189">
        <f t="shared" si="0"/>
        <v>0</v>
      </c>
      <c r="U26" s="189">
        <f>+P26+T26</f>
        <v>0</v>
      </c>
      <c r="V26" s="189">
        <f>U26*G26*A26</f>
        <v>0</v>
      </c>
      <c r="W26" s="193">
        <v>0.33800000000000002</v>
      </c>
      <c r="X26" s="189">
        <f>U26*A26*G26*W26</f>
        <v>0</v>
      </c>
      <c r="Y26" s="189">
        <f>X26+V26</f>
        <v>0</v>
      </c>
      <c r="Z26" s="194"/>
    </row>
    <row r="27" spans="1:26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97">
        <f>+Y26</f>
        <v>0</v>
      </c>
    </row>
    <row r="28" spans="1:26" ht="6" customHeight="1">
      <c r="B28" s="52"/>
      <c r="C28" s="52"/>
      <c r="D28" s="340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337"/>
      <c r="W28" s="52"/>
      <c r="X28" s="52"/>
      <c r="Y28" s="52"/>
      <c r="Z28" s="53"/>
    </row>
    <row r="29" spans="1:26">
      <c r="A29" s="288"/>
      <c r="B29" s="672" t="s">
        <v>249</v>
      </c>
      <c r="C29" s="672"/>
      <c r="D29" s="672"/>
      <c r="E29" s="672"/>
      <c r="F29" s="672"/>
      <c r="G29" s="672"/>
      <c r="H29" s="672"/>
      <c r="I29" s="672"/>
      <c r="J29" s="672"/>
      <c r="K29" s="672"/>
      <c r="L29" s="672"/>
      <c r="M29" s="672"/>
      <c r="N29" s="672"/>
      <c r="O29" s="672"/>
      <c r="P29" s="672"/>
      <c r="Q29" s="672"/>
      <c r="R29" s="672"/>
      <c r="S29" s="672"/>
      <c r="T29" s="672"/>
      <c r="U29" s="672"/>
      <c r="V29" s="672"/>
      <c r="W29" s="672"/>
      <c r="X29" s="672"/>
      <c r="Y29" s="291"/>
      <c r="Z29" s="292">
        <f>SUM(Z5:Z27)</f>
        <v>138691.9663509721</v>
      </c>
    </row>
    <row r="30" spans="1:26">
      <c r="B30" s="50" t="s">
        <v>250</v>
      </c>
      <c r="H30" s="50" t="s">
        <v>250</v>
      </c>
      <c r="I30" s="50" t="s">
        <v>250</v>
      </c>
      <c r="J30" s="50" t="s">
        <v>250</v>
      </c>
      <c r="O30" s="50" t="s">
        <v>250</v>
      </c>
      <c r="P30" s="50" t="s">
        <v>250</v>
      </c>
      <c r="Q30" s="50" t="s">
        <v>250</v>
      </c>
      <c r="R30" s="50" t="s">
        <v>250</v>
      </c>
      <c r="T30" s="50" t="s">
        <v>250</v>
      </c>
      <c r="U30" s="50" t="s">
        <v>250</v>
      </c>
      <c r="W30" s="50" t="s">
        <v>250</v>
      </c>
      <c r="X30" s="50" t="s">
        <v>250</v>
      </c>
      <c r="Y30" s="50" t="s">
        <v>250</v>
      </c>
    </row>
  </sheetData>
  <mergeCells count="3">
    <mergeCell ref="A1:Z1"/>
    <mergeCell ref="C4:G4"/>
    <mergeCell ref="B29:X29"/>
  </mergeCells>
  <conditionalFormatting sqref="P5">
    <cfRule type="cellIs" dxfId="6" priority="4" operator="equal">
      <formula>0</formula>
    </cfRule>
  </conditionalFormatting>
  <conditionalFormatting sqref="M5:X26">
    <cfRule type="cellIs" dxfId="5" priority="3" operator="equal">
      <formula>0</formula>
    </cfRule>
  </conditionalFormatting>
  <conditionalFormatting sqref="Y13:Y26">
    <cfRule type="cellIs" dxfId="4" priority="2" operator="equal">
      <formula>0</formula>
    </cfRule>
  </conditionalFormatting>
  <conditionalFormatting sqref="I5:I27">
    <cfRule type="cellIs" dxfId="0" priority="1" operator="equal">
      <formula>0</formula>
    </cfRule>
  </conditionalFormatting>
  <pageMargins left="0.74803149606299202" right="0.74803149606299202" top="0.98425196850393704" bottom="0.98425196850393704" header="0" footer="0"/>
  <pageSetup paperSize="9" scale="5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33</vt:i4>
      </vt:variant>
    </vt:vector>
  </HeadingPairs>
  <TitlesOfParts>
    <vt:vector size="62" baseType="lpstr">
      <vt:lpstr>Presentación</vt:lpstr>
      <vt:lpstr>PresupuestoBaseLicitación</vt:lpstr>
      <vt:lpstr>CanonAnual</vt:lpstr>
      <vt:lpstr>Trabajos Medición-Suministro</vt:lpstr>
      <vt:lpstr>A. Resumen Costes Personal</vt:lpstr>
      <vt:lpstr>A.0_Tablas salariales SC</vt:lpstr>
      <vt:lpstr>A.1_Tabla Costes Subrogación</vt:lpstr>
      <vt:lpstr>A.1.0_TablaAntigüedad_Sub</vt:lpstr>
      <vt:lpstr>A.2_Tabla Costes Nueva Contr</vt:lpstr>
      <vt:lpstr>A.2.0_TablaAntigüedad_NuevContr</vt:lpstr>
      <vt:lpstr>estudio coste RRHH</vt:lpstr>
      <vt:lpstr>B. Resumen Costes Veh_Maq</vt:lpstr>
      <vt:lpstr>B.0.ConsumiblesMaquinaria</vt:lpstr>
      <vt:lpstr>B.1.Vehículos</vt:lpstr>
      <vt:lpstr>B.2.Maquinaria</vt:lpstr>
      <vt:lpstr>C. Resumen Costes Vest_Util_Her</vt:lpstr>
      <vt:lpstr>C.1.1.Vestuario_Equip</vt:lpstr>
      <vt:lpstr>C.1.2.PRL</vt:lpstr>
      <vt:lpstr>C.2. Herramientas</vt:lpstr>
      <vt:lpstr>D. Resumen Costes Locales e ins</vt:lpstr>
      <vt:lpstr>D.1_2_Locales_Inst</vt:lpstr>
      <vt:lpstr>E. Resumen Costes Materiales </vt:lpstr>
      <vt:lpstr>E.1. Mat_Primas</vt:lpstr>
      <vt:lpstr>E.2. Productos Fitosanitarios</vt:lpstr>
      <vt:lpstr>F. Resumen Otros Costes</vt:lpstr>
      <vt:lpstr>F.1. Eq_Tecno_Soft</vt:lpstr>
      <vt:lpstr>F.2 Inventario</vt:lpstr>
      <vt:lpstr>F.3 ServiciosProfesionales</vt:lpstr>
      <vt:lpstr>F.4 Otros Costes</vt:lpstr>
      <vt:lpstr>'A. Resumen Costes Personal'!Área_de_impresión</vt:lpstr>
      <vt:lpstr>'A.0_Tablas salariales SC'!Área_de_impresión</vt:lpstr>
      <vt:lpstr>A.1.0_TablaAntigüedad_Sub!Área_de_impresión</vt:lpstr>
      <vt:lpstr>'A.1_Tabla Costes Subrogación'!Área_de_impresión</vt:lpstr>
      <vt:lpstr>A.2.0_TablaAntigüedad_NuevContr!Área_de_impresión</vt:lpstr>
      <vt:lpstr>'A.2_Tabla Costes Nueva Contr'!Área_de_impresión</vt:lpstr>
      <vt:lpstr>'B. Resumen Costes Veh_Maq'!Área_de_impresión</vt:lpstr>
      <vt:lpstr>B.0.ConsumiblesMaquinaria!Área_de_impresión</vt:lpstr>
      <vt:lpstr>B.1.Vehículos!Área_de_impresión</vt:lpstr>
      <vt:lpstr>B.2.Maquinaria!Área_de_impresión</vt:lpstr>
      <vt:lpstr>'C. Resumen Costes Vest_Util_Her'!Área_de_impresión</vt:lpstr>
      <vt:lpstr>C.1.1.Vestuario_Equip!Área_de_impresión</vt:lpstr>
      <vt:lpstr>C.1.2.PRL!Área_de_impresión</vt:lpstr>
      <vt:lpstr>'C.2. Herramientas'!Área_de_impresión</vt:lpstr>
      <vt:lpstr>CanonAnual!Área_de_impresión</vt:lpstr>
      <vt:lpstr>'D. Resumen Costes Locales e ins'!Área_de_impresión</vt:lpstr>
      <vt:lpstr>D.1_2_Locales_Inst!Área_de_impresión</vt:lpstr>
      <vt:lpstr>'E. Resumen Costes Materiales '!Área_de_impresión</vt:lpstr>
      <vt:lpstr>'E.1. Mat_Primas'!Área_de_impresión</vt:lpstr>
      <vt:lpstr>'E.2. Productos Fitosanitarios'!Área_de_impresión</vt:lpstr>
      <vt:lpstr>'F. Resumen Otros Costes'!Área_de_impresión</vt:lpstr>
      <vt:lpstr>'F.1. Eq_Tecno_Soft'!Área_de_impresión</vt:lpstr>
      <vt:lpstr>'F.2 Inventario'!Área_de_impresión</vt:lpstr>
      <vt:lpstr>'F.3 ServiciosProfesionales'!Área_de_impresión</vt:lpstr>
      <vt:lpstr>'F.4 Otros Costes'!Área_de_impresión</vt:lpstr>
      <vt:lpstr>PresupuestoBaseLicitación!Área_de_impresión</vt:lpstr>
      <vt:lpstr>'Trabajos Medición-Suministro'!Área_de_impresión</vt:lpstr>
      <vt:lpstr>'A.1_Tabla Costes Subrogación'!Títulos_a_imprimir</vt:lpstr>
      <vt:lpstr>'A.2_Tabla Costes Nueva Contr'!Títulos_a_imprimir</vt:lpstr>
      <vt:lpstr>B.1.Vehículos!Títulos_a_imprimir</vt:lpstr>
      <vt:lpstr>B.2.Maquinaria!Títulos_a_imprimir</vt:lpstr>
      <vt:lpstr>'C.2. Herramientas'!Títulos_a_imprimir</vt:lpstr>
      <vt:lpstr>'F.3 ServiciosProfesionales'!Títulos_a_imprimir</vt:lpstr>
    </vt:vector>
  </TitlesOfParts>
  <Manager/>
  <Company>Velasco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mblazquez</dc:creator>
  <cp:keywords/>
  <dc:description/>
  <cp:lastModifiedBy>María Blázquez</cp:lastModifiedBy>
  <cp:revision/>
  <dcterms:created xsi:type="dcterms:W3CDTF">2008-02-06T08:29:00Z</dcterms:created>
  <dcterms:modified xsi:type="dcterms:W3CDTF">2023-06-26T12:09:28Z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EEF5E5E76DBC468B8A175709FD60D4C2</vt:lpwstr>
  </property>
  <property fmtid="{D5CDD505-2E9C-101B-9397-08002B2CF9AE}" pid="3" name="KSOProductBuildVer">
    <vt:lpwstr>3082-11.2.0.11513</vt:lpwstr>
  </property>
</Properties>
</file>